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OneDrive\Desktop\shreyas\Excel Workbook\"/>
    </mc:Choice>
  </mc:AlternateContent>
  <xr:revisionPtr revIDLastSave="0" documentId="13_ncr:1_{DEBC547E-1306-40E9-A84F-5F9EDF45D3F2}" xr6:coauthVersionLast="47" xr6:coauthVersionMax="47" xr10:uidLastSave="{00000000-0000-0000-0000-000000000000}"/>
  <bookViews>
    <workbookView xWindow="-108" yWindow="-108" windowWidth="23256" windowHeight="12456" xr2:uid="{368EF120-EB0C-4249-80A3-DEEE833B8DB9}"/>
  </bookViews>
  <sheets>
    <sheet name="DCF" sheetId="1" r:id="rId1"/>
    <sheet name="WACC" sheetId="5" r:id="rId2"/>
    <sheet name="Estimates" sheetId="2" r:id="rId3"/>
    <sheet name="IS" sheetId="3" r:id="rId4"/>
    <sheet name="CFS" sheetId="4" r:id="rId5"/>
  </sheets>
  <definedNames>
    <definedName name="tgr">DCF!$E$19</definedName>
    <definedName name="wacc">DCF!$E$18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66" i="1" s="1"/>
  <c r="F29" i="1"/>
  <c r="F56" i="1" s="1"/>
  <c r="E29" i="1"/>
  <c r="E56" i="1" s="1"/>
  <c r="E35" i="1"/>
  <c r="E63" i="1"/>
  <c r="E22" i="1"/>
  <c r="J52" i="1"/>
  <c r="M52" i="1"/>
  <c r="J46" i="1"/>
  <c r="M80" i="1"/>
  <c r="M72" i="1"/>
  <c r="L72" i="1"/>
  <c r="K72" i="1"/>
  <c r="J72" i="1"/>
  <c r="I72" i="1"/>
  <c r="I73" i="1"/>
  <c r="E19" i="1"/>
  <c r="F9" i="5"/>
  <c r="F16" i="5"/>
  <c r="F20" i="5"/>
  <c r="F10" i="5"/>
  <c r="H60" i="1"/>
  <c r="H61" i="1" s="1"/>
  <c r="J61" i="1" s="1"/>
  <c r="M53" i="1"/>
  <c r="M51" i="1"/>
  <c r="M50" i="1" s="1"/>
  <c r="M44" i="1"/>
  <c r="M47" i="1"/>
  <c r="M45" i="1"/>
  <c r="F55" i="1"/>
  <c r="E55" i="1"/>
  <c r="H49" i="1"/>
  <c r="H50" i="1" s="1"/>
  <c r="F43" i="1"/>
  <c r="J41" i="1"/>
  <c r="H38" i="1"/>
  <c r="G38" i="1"/>
  <c r="F38" i="1"/>
  <c r="F40" i="1" s="1"/>
  <c r="H35" i="1"/>
  <c r="H36" i="1" s="1"/>
  <c r="G35" i="1"/>
  <c r="G36" i="1" s="1"/>
  <c r="F35" i="1"/>
  <c r="F36" i="1" s="1"/>
  <c r="H32" i="1"/>
  <c r="G32" i="1"/>
  <c r="G60" i="1" s="1"/>
  <c r="G61" i="1" s="1"/>
  <c r="I61" i="1" s="1"/>
  <c r="F32" i="1"/>
  <c r="F60" i="1" s="1"/>
  <c r="F61" i="1" s="1"/>
  <c r="E32" i="1"/>
  <c r="E60" i="1" s="1"/>
  <c r="L29" i="1"/>
  <c r="L56" i="1" s="1"/>
  <c r="M56" i="1" s="1"/>
  <c r="K29" i="1"/>
  <c r="K56" i="1" s="1"/>
  <c r="J29" i="1"/>
  <c r="J56" i="1" s="1"/>
  <c r="I29" i="1"/>
  <c r="I56" i="1" s="1"/>
  <c r="H29" i="1"/>
  <c r="H56" i="1" s="1"/>
  <c r="G29" i="1"/>
  <c r="G56" i="1" s="1"/>
  <c r="L28" i="1"/>
  <c r="K28" i="1"/>
  <c r="J28" i="1"/>
  <c r="I28" i="1"/>
  <c r="H28" i="1"/>
  <c r="H55" i="1" s="1"/>
  <c r="G28" i="1"/>
  <c r="G55" i="1" s="1"/>
  <c r="F28" i="1"/>
  <c r="E28" i="1"/>
  <c r="E25" i="1"/>
  <c r="E26" i="1" s="1"/>
  <c r="L26" i="1"/>
  <c r="K26" i="1"/>
  <c r="L25" i="1"/>
  <c r="K25" i="1"/>
  <c r="J25" i="1"/>
  <c r="I25" i="1"/>
  <c r="I26" i="1" s="1"/>
  <c r="I52" i="1" s="1"/>
  <c r="H25" i="1"/>
  <c r="H26" i="1" s="1"/>
  <c r="G25" i="1"/>
  <c r="G26" i="1" s="1"/>
  <c r="F25" i="1"/>
  <c r="F49" i="1" s="1"/>
  <c r="F50" i="1" s="1"/>
  <c r="L23" i="1"/>
  <c r="G23" i="1"/>
  <c r="L22" i="1"/>
  <c r="K22" i="1"/>
  <c r="K23" i="1" s="1"/>
  <c r="J22" i="1"/>
  <c r="J23" i="1" s="1"/>
  <c r="I22" i="1"/>
  <c r="I23" i="1" s="1"/>
  <c r="I46" i="1" s="1"/>
  <c r="H22" i="1"/>
  <c r="H43" i="1" s="1"/>
  <c r="G22" i="1"/>
  <c r="G43" i="1" s="1"/>
  <c r="G44" i="1" s="1"/>
  <c r="F22" i="1"/>
  <c r="F23" i="1" s="1"/>
  <c r="E43" i="1"/>
  <c r="E67" i="1" l="1"/>
  <c r="E36" i="1"/>
  <c r="E61" i="1"/>
  <c r="F44" i="1"/>
  <c r="E64" i="1"/>
  <c r="I51" i="1"/>
  <c r="I53" i="1"/>
  <c r="J53" i="1" s="1"/>
  <c r="K53" i="1" s="1"/>
  <c r="L53" i="1" s="1"/>
  <c r="H44" i="1"/>
  <c r="I44" i="1"/>
  <c r="I43" i="1" s="1"/>
  <c r="I60" i="1" s="1"/>
  <c r="I45" i="1"/>
  <c r="J45" i="1" s="1"/>
  <c r="K45" i="1" s="1"/>
  <c r="L45" i="1" s="1"/>
  <c r="I47" i="1"/>
  <c r="J47" i="1" s="1"/>
  <c r="K47" i="1" s="1"/>
  <c r="L47" i="1" s="1"/>
  <c r="K46" i="1"/>
  <c r="J44" i="1"/>
  <c r="J26" i="1"/>
  <c r="K52" i="1" s="1"/>
  <c r="L52" i="1" s="1"/>
  <c r="E39" i="1"/>
  <c r="G49" i="1"/>
  <c r="G50" i="1" s="1"/>
  <c r="F18" i="5"/>
  <c r="F22" i="5" s="1"/>
  <c r="O18" i="1" s="1"/>
  <c r="F63" i="1"/>
  <c r="F64" i="1" s="1"/>
  <c r="G40" i="1"/>
  <c r="G63" i="1"/>
  <c r="G64" i="1" s="1"/>
  <c r="I64" i="1" s="1"/>
  <c r="J64" i="1" s="1"/>
  <c r="E33" i="1"/>
  <c r="H40" i="1"/>
  <c r="H63" i="1"/>
  <c r="H64" i="1" s="1"/>
  <c r="F33" i="1"/>
  <c r="G33" i="1"/>
  <c r="F66" i="1"/>
  <c r="F67" i="1" s="1"/>
  <c r="H33" i="1"/>
  <c r="G66" i="1"/>
  <c r="G67" i="1" s="1"/>
  <c r="H23" i="1"/>
  <c r="F26" i="1"/>
  <c r="H66" i="1"/>
  <c r="H67" i="1" s="1"/>
  <c r="E49" i="1"/>
  <c r="E50" i="1" s="1"/>
  <c r="K61" i="1"/>
  <c r="L61" i="1" s="1"/>
  <c r="F39" i="1"/>
  <c r="G39" i="1"/>
  <c r="H39" i="1"/>
  <c r="I67" i="1" l="1"/>
  <c r="I66" i="1" s="1"/>
  <c r="J43" i="1"/>
  <c r="J60" i="1" s="1"/>
  <c r="K64" i="1"/>
  <c r="L64" i="1" s="1"/>
  <c r="M64" i="1" s="1"/>
  <c r="K44" i="1"/>
  <c r="L46" i="1"/>
  <c r="L44" i="1" s="1"/>
  <c r="I63" i="1"/>
  <c r="I50" i="1"/>
  <c r="I49" i="1" s="1"/>
  <c r="I55" i="1" s="1"/>
  <c r="I58" i="1" s="1"/>
  <c r="J51" i="1"/>
  <c r="J18" i="1"/>
  <c r="E18" i="1" s="1"/>
  <c r="T18" i="1"/>
  <c r="M61" i="1"/>
  <c r="J67" i="1" l="1"/>
  <c r="K67" i="1"/>
  <c r="I69" i="1"/>
  <c r="I70" i="1" s="1"/>
  <c r="J66" i="1"/>
  <c r="K43" i="1"/>
  <c r="K66" i="1" s="1"/>
  <c r="J63" i="1"/>
  <c r="J50" i="1"/>
  <c r="J49" i="1" s="1"/>
  <c r="J55" i="1" s="1"/>
  <c r="J58" i="1" s="1"/>
  <c r="K51" i="1"/>
  <c r="L67" i="1" l="1"/>
  <c r="M67" i="1" s="1"/>
  <c r="J69" i="1"/>
  <c r="J70" i="1" s="1"/>
  <c r="K60" i="1"/>
  <c r="L43" i="1"/>
  <c r="L63" i="1" s="1"/>
  <c r="K63" i="1"/>
  <c r="K50" i="1"/>
  <c r="K49" i="1" s="1"/>
  <c r="K55" i="1" s="1"/>
  <c r="K58" i="1" s="1"/>
  <c r="L51" i="1"/>
  <c r="L50" i="1" s="1"/>
  <c r="L49" i="1" l="1"/>
  <c r="L55" i="1" s="1"/>
  <c r="L58" i="1" s="1"/>
  <c r="K69" i="1"/>
  <c r="K70" i="1" s="1"/>
  <c r="L60" i="1"/>
  <c r="M43" i="1"/>
  <c r="M63" i="1" s="1"/>
  <c r="L66" i="1"/>
  <c r="M49" i="1" l="1"/>
  <c r="M55" i="1" s="1"/>
  <c r="M58" i="1" s="1"/>
  <c r="M66" i="1"/>
  <c r="M60" i="1"/>
  <c r="L69" i="1"/>
  <c r="L70" i="1" s="1"/>
  <c r="M69" i="1" l="1"/>
  <c r="M70" i="1" s="1"/>
  <c r="M75" i="1" l="1"/>
  <c r="M76" i="1" s="1"/>
  <c r="M78" i="1" s="1"/>
  <c r="M81" i="1" s="1"/>
  <c r="M84" i="1" s="1"/>
  <c r="H4" i="1" s="1"/>
  <c r="H6" i="1" s="1"/>
</calcChain>
</file>

<file path=xl/sharedStrings.xml><?xml version="1.0" encoding="utf-8"?>
<sst xmlns="http://schemas.openxmlformats.org/spreadsheetml/2006/main" count="288" uniqueCount="191">
  <si>
    <t>ABNB-US</t>
  </si>
  <si>
    <t>Income Statement (M)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</si>
  <si>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</si>
  <si>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</si>
  <si>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</si>
  <si>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</si>
  <si>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</si>
  <si>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</si>
  <si>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</si>
  <si>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</si>
  <si>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</si>
  <si>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</si>
  <si>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</si>
  <si>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</si>
  <si>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</si>
  <si>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</si>
  <si>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</si>
  <si>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</si>
  <si>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Sales</t>
  </si>
  <si>
    <t>Cost of Sales</t>
  </si>
  <si>
    <t>Gross Income</t>
  </si>
  <si>
    <t>EBITDA</t>
  </si>
  <si>
    <t>Operating Income</t>
  </si>
  <si>
    <t>Pretax Income</t>
  </si>
  <si>
    <t>Tax Expense</t>
  </si>
  <si>
    <t>Net Income</t>
  </si>
  <si>
    <t>Airbnb, Inc. Class A (ABNB)</t>
  </si>
  <si>
    <t>$160.46</t>
  </si>
  <si>
    <t>Airbnb, Inc. Class A</t>
  </si>
  <si>
    <t xml:space="preserve">ABNB   009066101   BMGYYH4   NASDAQ    Common stock    </t>
  </si>
  <si>
    <t>Source: FactSet Fundamentals</t>
  </si>
  <si>
    <t>DEC '17</t>
  </si>
  <si>
    <t>DEC '18</t>
  </si>
  <si>
    <t>DEC '19</t>
  </si>
  <si>
    <t>DEC '20</t>
  </si>
  <si>
    <t>DEC '21</t>
  </si>
  <si>
    <t>DEC '22</t>
  </si>
  <si>
    <t>DEC '23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</si>
  <si>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</si>
  <si>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</si>
  <si>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</si>
  <si>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</si>
  <si>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</si>
  <si>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</si>
  <si>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</si>
  <si>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</si>
  <si>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</si>
  <si>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</si>
  <si>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</si>
  <si>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Equity in Earnings of Affiliates</t>
  </si>
  <si>
    <t>Other Income (Expense)</t>
  </si>
  <si>
    <t>Interest Expense</t>
  </si>
  <si>
    <t>Gross Interest Expense</t>
  </si>
  <si>
    <t>Unusual Expense - Net</t>
  </si>
  <si>
    <t>Impairments</t>
  </si>
  <si>
    <t>Financial Fixed Assets</t>
  </si>
  <si>
    <t>Restructuring Expense</t>
  </si>
  <si>
    <t>Unrealized Valuation Gain/Loss</t>
  </si>
  <si>
    <t>Investments</t>
  </si>
  <si>
    <t>Hedges/Derivatives</t>
  </si>
  <si>
    <t>Excpl Chrgs - Others</t>
  </si>
  <si>
    <t>Restructuring of Debt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</si>
  <si>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</si>
  <si>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</si>
  <si>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</si>
  <si>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</si>
  <si>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</si>
  <si>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Consolidated Net Income</t>
  </si>
  <si>
    <t>Net Income available to Common</t>
  </si>
  <si>
    <t>Per Share</t>
  </si>
  <si>
    <t>EPS (recurring)</t>
  </si>
  <si>
    <t>Basic Shares Outstanding</t>
  </si>
  <si>
    <t>Total Shares Outstanding</t>
  </si>
  <si>
    <t>EPS (diluted)</t>
  </si>
  <si>
    <t>Diluted Shares Outstanding</t>
  </si>
  <si>
    <t>Earnings Persistence</t>
  </si>
  <si>
    <t>EBIT</t>
  </si>
  <si>
    <t>All figures in millions of U.S. Dollar except per share items.</t>
  </si>
  <si>
    <t>$160.41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</si>
  <si>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</si>
  <si>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</si>
  <si>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</si>
  <si>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</si>
  <si>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</si>
  <si>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</si>
  <si>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</si>
  <si>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</si>
  <si>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</si>
  <si>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</si>
  <si>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</si>
  <si>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</si>
  <si>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</si>
  <si>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</si>
  <si>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</si>
  <si>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</si>
  <si>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</si>
  <si>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</si>
  <si>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</si>
  <si>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</si>
  <si>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</si>
  <si>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</si>
  <si>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</si>
  <si>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</si>
  <si>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</si>
  <si>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Change in Capital Stock</t>
  </si>
  <si>
    <t>Repurchase of Common &amp; Preferred Stk.</t>
  </si>
  <si>
    <t>Sale of Common &amp; Preferred Stock</t>
  </si>
  <si>
    <t>Proceeds from Sale of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</si>
  <si>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</si>
  <si>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</si>
  <si>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</si>
  <si>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</si>
  <si>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</si>
  <si>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</si>
  <si>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</si>
  <si>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</si>
  <si>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</si>
  <si>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</si>
  <si>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</si>
  <si>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</si>
  <si>
    <t>Airbnb</t>
  </si>
  <si>
    <t>Ticker</t>
  </si>
  <si>
    <t>Date</t>
  </si>
  <si>
    <t>Assumptions</t>
  </si>
  <si>
    <t>Switches</t>
  </si>
  <si>
    <t>Conservative</t>
  </si>
  <si>
    <t>Base</t>
  </si>
  <si>
    <t>Optimistic</t>
  </si>
  <si>
    <t>x</t>
  </si>
  <si>
    <t>Revenue</t>
  </si>
  <si>
    <t>WACC</t>
  </si>
  <si>
    <t>TGR</t>
  </si>
  <si>
    <t>Valuation</t>
  </si>
  <si>
    <t>Year</t>
  </si>
  <si>
    <t>Metric</t>
  </si>
  <si>
    <t>Income Statement</t>
  </si>
  <si>
    <t>2020A</t>
  </si>
  <si>
    <t>2021A</t>
  </si>
  <si>
    <t>2022A</t>
  </si>
  <si>
    <t>2023A</t>
  </si>
  <si>
    <t>2024E</t>
  </si>
  <si>
    <t>2025E</t>
  </si>
  <si>
    <t>2026E</t>
  </si>
  <si>
    <t>2027E</t>
  </si>
  <si>
    <t>% growth</t>
  </si>
  <si>
    <t>% of sales</t>
  </si>
  <si>
    <t>Taxes</t>
  </si>
  <si>
    <t>Tax Rate</t>
  </si>
  <si>
    <t>--</t>
  </si>
  <si>
    <t>Cash flow items</t>
  </si>
  <si>
    <t>D&amp;A</t>
  </si>
  <si>
    <t>% of sale</t>
  </si>
  <si>
    <t>CapEx</t>
  </si>
  <si>
    <t>Change in NWC</t>
  </si>
  <si>
    <t>% of change in sales</t>
  </si>
  <si>
    <t>2028E</t>
  </si>
  <si>
    <t>Base Case</t>
  </si>
  <si>
    <t>Optimistic Case</t>
  </si>
  <si>
    <t>Conservative Case</t>
  </si>
  <si>
    <t>EBITA</t>
  </si>
  <si>
    <t xml:space="preserve"> </t>
  </si>
  <si>
    <t>Unlevered FCF</t>
  </si>
  <si>
    <t>PV of UFCF</t>
  </si>
  <si>
    <t>WACC = % of equity x cost of equity + % of debt x cost of debt x (1 - Tax Rate)</t>
  </si>
  <si>
    <t>Market Cap</t>
  </si>
  <si>
    <t>% of Equity</t>
  </si>
  <si>
    <t>Cost of Equity</t>
  </si>
  <si>
    <t>Risk Free Rate</t>
  </si>
  <si>
    <t>Beta</t>
  </si>
  <si>
    <t>Cost of equity = Risk free rate + Beta x Market Risk Premium</t>
  </si>
  <si>
    <t>Market Risk Premium</t>
  </si>
  <si>
    <t>Debt</t>
  </si>
  <si>
    <t>% of Debt</t>
  </si>
  <si>
    <t>Cost of Debt</t>
  </si>
  <si>
    <t>Total</t>
  </si>
  <si>
    <t>ARBNB</t>
  </si>
  <si>
    <t>EOY</t>
  </si>
  <si>
    <t>X</t>
  </si>
  <si>
    <t>Discount Period</t>
  </si>
  <si>
    <t>Period</t>
  </si>
  <si>
    <t>Terminal Value</t>
  </si>
  <si>
    <t>PV of Terminal Value</t>
  </si>
  <si>
    <t>Enterprise Value</t>
  </si>
  <si>
    <t>(+) Cash</t>
  </si>
  <si>
    <t>(-) Debt</t>
  </si>
  <si>
    <t>Equity Value</t>
  </si>
  <si>
    <t>Shares Outstanding</t>
  </si>
  <si>
    <t>Implied Share Price</t>
  </si>
  <si>
    <t>Implied share price</t>
  </si>
  <si>
    <t>Current share price</t>
  </si>
  <si>
    <t>Implied upside/downside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</si>
</sst>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#,##0_ ;[Red]\-#,##0\ "/>
    <numFmt numFmtId="166" formatCode="0.0%"/>
    <numFmt numFmtId="167" formatCode="_-[$$-409]* #,##0.00_ ;_-[$$-409]* \-#,##0.00\ ;_-[$$-409]* &quot;-&quot;??_ ;_-@_ "/>
    <numFmt numFmtId="168" formatCode="#,##0_ ;[Red]\(#,##0\)\ "/>
    <numFmt numFmtId="169" formatCode="#,##0_ ;[Red]\(#,##0\)"/>
    <numFmt numFmtId="170" formatCode="0.00%;[Red]\(0.00%\)"/>
    <numFmt numFmtId="172" formatCode="0%;[Red]\(0%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3366"/>
      <name val="Arial"/>
      <family val="2"/>
    </font>
    <font>
      <sz val="10"/>
      <color rgb="FF646464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3" fontId="6" fillId="0" borderId="0" xfId="2" applyNumberFormat="1" applyFont="1" applyAlignment="1">
      <alignment horizontal="right"/>
    </xf>
    <xf numFmtId="0" fontId="4" fillId="0" borderId="1" xfId="2" applyBorder="1"/>
    <xf numFmtId="0" fontId="4" fillId="0" borderId="2" xfId="2" applyBorder="1"/>
    <xf numFmtId="0" fontId="7" fillId="0" borderId="0" xfId="2" applyFont="1" applyAlignment="1">
      <alignment horizontal="left"/>
    </xf>
    <xf numFmtId="164" fontId="7" fillId="0" borderId="0" xfId="2" applyNumberFormat="1" applyFont="1" applyAlignment="1">
      <alignment horizontal="right"/>
    </xf>
    <xf numFmtId="0" fontId="7" fillId="3" borderId="0" xfId="2" applyFont="1" applyFill="1" applyAlignment="1">
      <alignment horizontal="left" indent="3"/>
    </xf>
    <xf numFmtId="164" fontId="7" fillId="3" borderId="0" xfId="2" applyNumberFormat="1" applyFont="1" applyFill="1" applyAlignment="1">
      <alignment horizontal="right"/>
    </xf>
    <xf numFmtId="0" fontId="4" fillId="0" borderId="0" xfId="2" applyAlignment="1">
      <alignment horizontal="left" indent="4"/>
    </xf>
    <xf numFmtId="164" fontId="4" fillId="0" borderId="0" xfId="2" applyNumberFormat="1" applyAlignment="1">
      <alignment horizontal="right"/>
    </xf>
    <xf numFmtId="0" fontId="7" fillId="3" borderId="0" xfId="2" applyFont="1" applyFill="1" applyAlignment="1">
      <alignment horizontal="left" indent="6"/>
    </xf>
    <xf numFmtId="0" fontId="4" fillId="0" borderId="0" xfId="2" applyAlignment="1">
      <alignment horizontal="left" indent="7"/>
    </xf>
    <xf numFmtId="0" fontId="4" fillId="3" borderId="0" xfId="2" applyFill="1" applyAlignment="1">
      <alignment horizontal="left" indent="7"/>
    </xf>
    <xf numFmtId="164" fontId="4" fillId="3" borderId="0" xfId="2" applyNumberFormat="1" applyFill="1" applyAlignment="1">
      <alignment horizontal="right"/>
    </xf>
    <xf numFmtId="0" fontId="4" fillId="3" borderId="0" xfId="2" applyFill="1" applyAlignment="1">
      <alignment horizontal="left" indent="4"/>
    </xf>
    <xf numFmtId="164" fontId="6" fillId="3" borderId="0" xfId="2" applyNumberFormat="1" applyFont="1" applyFill="1" applyAlignment="1">
      <alignment horizontal="right"/>
    </xf>
    <xf numFmtId="164" fontId="6" fillId="0" borderId="0" xfId="2" applyNumberFormat="1" applyFont="1" applyAlignment="1">
      <alignment horizontal="right"/>
    </xf>
    <xf numFmtId="0" fontId="7" fillId="0" borderId="0" xfId="2" applyFont="1" applyAlignment="1">
      <alignment horizontal="left" indent="6"/>
    </xf>
    <xf numFmtId="0" fontId="7" fillId="3" borderId="0" xfId="2" applyFont="1" applyFill="1" applyAlignment="1">
      <alignment horizontal="left"/>
    </xf>
    <xf numFmtId="0" fontId="4" fillId="0" borderId="0" xfId="2" applyAlignment="1">
      <alignment horizontal="left" indent="1"/>
    </xf>
    <xf numFmtId="0" fontId="7" fillId="0" borderId="0" xfId="2" applyFont="1" applyAlignment="1">
      <alignment horizontal="left" indent="3"/>
    </xf>
    <xf numFmtId="4" fontId="7" fillId="0" borderId="0" xfId="2" applyNumberFormat="1" applyFont="1" applyAlignment="1">
      <alignment horizontal="right"/>
    </xf>
    <xf numFmtId="4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4" fontId="7" fillId="3" borderId="0" xfId="2" applyNumberFormat="1" applyFont="1" applyFill="1" applyAlignment="1">
      <alignment horizontal="right"/>
    </xf>
    <xf numFmtId="0" fontId="8" fillId="0" borderId="0" xfId="2" applyFont="1" applyAlignment="1">
      <alignment horizontal="left"/>
    </xf>
    <xf numFmtId="0" fontId="4" fillId="3" borderId="0" xfId="2" applyFill="1" applyAlignment="1">
      <alignment horizontal="left" indent="1"/>
    </xf>
    <xf numFmtId="3" fontId="7" fillId="0" borderId="0" xfId="2" applyNumberFormat="1" applyFont="1" applyAlignment="1">
      <alignment horizontal="right"/>
    </xf>
    <xf numFmtId="3" fontId="7" fillId="3" borderId="0" xfId="2" applyNumberFormat="1" applyFont="1" applyFill="1" applyAlignment="1">
      <alignment horizontal="right"/>
    </xf>
    <xf numFmtId="4" fontId="6" fillId="0" borderId="0" xfId="2" applyNumberFormat="1" applyFont="1" applyAlignment="1">
      <alignment horizontal="right"/>
    </xf>
    <xf numFmtId="0" fontId="0" fillId="0" borderId="3" xfId="0" applyBorder="1"/>
    <xf numFmtId="0" fontId="9" fillId="0" borderId="3" xfId="0" applyFont="1" applyBorder="1"/>
    <xf numFmtId="0" fontId="0" fillId="4" borderId="4" xfId="0" applyFill="1" applyBorder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3" fillId="5" borderId="0" xfId="0" applyFont="1" applyFill="1" applyAlignment="1">
      <alignment horizontal="right"/>
    </xf>
    <xf numFmtId="3" fontId="0" fillId="0" borderId="0" xfId="0" applyNumberFormat="1"/>
    <xf numFmtId="0" fontId="11" fillId="0" borderId="0" xfId="0" quotePrefix="1" applyFont="1" applyAlignment="1">
      <alignment horizontal="right"/>
    </xf>
    <xf numFmtId="9" fontId="11" fillId="0" borderId="0" xfId="1" applyFont="1"/>
    <xf numFmtId="165" fontId="0" fillId="0" borderId="0" xfId="0" applyNumberFormat="1"/>
    <xf numFmtId="165" fontId="12" fillId="0" borderId="0" xfId="0" applyNumberFormat="1" applyFont="1"/>
    <xf numFmtId="9" fontId="11" fillId="0" borderId="0" xfId="1" quotePrefix="1" applyFont="1" applyAlignment="1">
      <alignment horizontal="right"/>
    </xf>
    <xf numFmtId="165" fontId="14" fillId="0" borderId="0" xfId="0" applyNumberFormat="1" applyFont="1"/>
    <xf numFmtId="165" fontId="12" fillId="7" borderId="0" xfId="0" applyNumberFormat="1" applyFont="1" applyFill="1"/>
    <xf numFmtId="9" fontId="0" fillId="4" borderId="4" xfId="0" applyNumberFormat="1" applyFill="1" applyBorder="1"/>
    <xf numFmtId="166" fontId="0" fillId="4" borderId="4" xfId="0" applyNumberFormat="1" applyFill="1" applyBorder="1"/>
    <xf numFmtId="9" fontId="11" fillId="4" borderId="4" xfId="0" applyNumberFormat="1" applyFont="1" applyFill="1" applyBorder="1"/>
    <xf numFmtId="166" fontId="0" fillId="4" borderId="4" xfId="1" applyNumberFormat="1" applyFont="1" applyFill="1" applyBorder="1"/>
    <xf numFmtId="0" fontId="0" fillId="4" borderId="4" xfId="0" applyFill="1" applyBorder="1" applyAlignment="1">
      <alignment horizontal="center"/>
    </xf>
    <xf numFmtId="165" fontId="15" fillId="0" borderId="0" xfId="0" applyNumberFormat="1" applyFont="1"/>
    <xf numFmtId="0" fontId="0" fillId="8" borderId="0" xfId="0" applyFill="1"/>
    <xf numFmtId="0" fontId="3" fillId="8" borderId="0" xfId="0" applyFont="1" applyFill="1"/>
    <xf numFmtId="2" fontId="0" fillId="0" borderId="0" xfId="0" applyNumberFormat="1"/>
    <xf numFmtId="166" fontId="0" fillId="0" borderId="0" xfId="0" applyNumberFormat="1"/>
    <xf numFmtId="10" fontId="0" fillId="4" borderId="4" xfId="0" applyNumberFormat="1" applyFill="1" applyBorder="1"/>
    <xf numFmtId="10" fontId="0" fillId="0" borderId="0" xfId="0" applyNumberFormat="1"/>
    <xf numFmtId="3" fontId="0" fillId="4" borderId="4" xfId="0" applyNumberFormat="1" applyFill="1" applyBorder="1"/>
    <xf numFmtId="166" fontId="0" fillId="0" borderId="0" xfId="1" applyNumberFormat="1" applyFont="1"/>
    <xf numFmtId="10" fontId="0" fillId="0" borderId="0" xfId="1" applyNumberFormat="1" applyFont="1"/>
    <xf numFmtId="14" fontId="0" fillId="4" borderId="4" xfId="0" applyNumberFormat="1" applyFill="1" applyBorder="1"/>
    <xf numFmtId="0" fontId="11" fillId="0" borderId="5" xfId="0" applyFont="1" applyBorder="1"/>
    <xf numFmtId="0" fontId="0" fillId="0" borderId="6" xfId="0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3" fontId="0" fillId="0" borderId="13" xfId="0" applyNumberFormat="1" applyBorder="1"/>
    <xf numFmtId="167" fontId="0" fillId="0" borderId="0" xfId="0" applyNumberFormat="1"/>
    <xf numFmtId="168" fontId="12" fillId="0" borderId="0" xfId="0" applyNumberFormat="1" applyFont="1"/>
    <xf numFmtId="168" fontId="12" fillId="7" borderId="0" xfId="0" applyNumberFormat="1" applyFont="1" applyFill="1"/>
    <xf numFmtId="168" fontId="14" fillId="0" borderId="0" xfId="0" applyNumberFormat="1" applyFont="1"/>
    <xf numFmtId="168" fontId="15" fillId="0" borderId="0" xfId="0" applyNumberFormat="1" applyFont="1"/>
    <xf numFmtId="169" fontId="14" fillId="0" borderId="0" xfId="0" applyNumberFormat="1" applyFont="1"/>
    <xf numFmtId="170" fontId="0" fillId="0" borderId="0" xfId="1" applyNumberFormat="1" applyFont="1"/>
    <xf numFmtId="172" fontId="13" fillId="0" borderId="0" xfId="1" applyNumberFormat="1" applyFont="1"/>
    <xf numFmtId="172" fontId="11" fillId="0" borderId="0" xfId="1" applyNumberFormat="1" applyFont="1"/>
    <xf numFmtId="9" fontId="16" fillId="0" borderId="0" xfId="0" applyNumberFormat="1" applyFont="1"/>
    <xf numFmtId="9" fontId="17" fillId="0" borderId="0" xfId="0" applyNumberFormat="1" applyFont="1"/>
    <xf numFmtId="9" fontId="18" fillId="0" borderId="0" xfId="0" applyNumberFormat="1" applyFont="1"/>
    <xf numFmtId="172" fontId="16" fillId="0" borderId="0" xfId="0" applyNumberFormat="1" applyFont="1"/>
    <xf numFmtId="172" fontId="17" fillId="0" borderId="0" xfId="0" applyNumberFormat="1" applyFont="1"/>
    <xf numFmtId="172" fontId="18" fillId="0" borderId="0" xfId="0" applyNumberFormat="1" applyFont="1"/>
    <xf numFmtId="168" fontId="12" fillId="9" borderId="0" xfId="0" applyNumberFormat="1" applyFont="1" applyFill="1"/>
  </cellXfs>
  <cellStyles count="3">
    <cellStyle name="Normal" xfId="0" builtinId="0"/>
    <cellStyle name="Normal 2" xfId="2" xr:uid="{EEB59079-F967-41B4-A9C3-A5A565DE84F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928-4643-4009-AF0D-BCE94CEA8AC9}">
  <dimension ref="A2:T84"/>
  <sheetViews>
    <sheetView showGridLines="0" tabSelected="1" zoomScaleNormal="100" workbookViewId="0">
      <selection activeCell="J72" sqref="J72"/>
    </sheetView>
  </sheetViews>
  <sheetFormatPr defaultRowHeight="14.4" x14ac:dyDescent="0.3"/>
  <cols>
    <col min="1" max="1" width="3.77734375" customWidth="1"/>
    <col min="3" max="3" width="10.5546875" bestFit="1" customWidth="1"/>
    <col min="8" max="9" width="8.88671875" customWidth="1"/>
    <col min="10" max="10" width="8.77734375" customWidth="1"/>
    <col min="11" max="11" width="8.88671875" customWidth="1"/>
    <col min="20" max="20" width="8.77734375" customWidth="1"/>
  </cols>
  <sheetData>
    <row r="2" spans="1:20" s="38" customFormat="1" ht="21" x14ac:dyDescent="0.4">
      <c r="B2" s="39" t="s">
        <v>120</v>
      </c>
    </row>
    <row r="4" spans="1:20" x14ac:dyDescent="0.3">
      <c r="B4" t="s">
        <v>121</v>
      </c>
      <c r="C4" s="62" t="s">
        <v>175</v>
      </c>
      <c r="E4" t="s">
        <v>188</v>
      </c>
      <c r="H4" s="86">
        <f ca="1">M84</f>
        <v>109.77788611613076</v>
      </c>
    </row>
    <row r="5" spans="1:20" x14ac:dyDescent="0.3">
      <c r="B5" t="s">
        <v>122</v>
      </c>
      <c r="C5" s="73">
        <v>45486</v>
      </c>
      <c r="E5" t="s">
        <v>189</v>
      </c>
      <c r="H5" s="86">
        <v>146.78</v>
      </c>
    </row>
    <row r="6" spans="1:20" x14ac:dyDescent="0.3">
      <c r="B6" t="s">
        <v>176</v>
      </c>
      <c r="C6" s="73">
        <v>45657</v>
      </c>
      <c r="E6" t="s">
        <v>190</v>
      </c>
      <c r="H6" s="92">
        <f ca="1">H4/H5-1</f>
        <v>-0.25209234148977544</v>
      </c>
    </row>
    <row r="8" spans="1:20" x14ac:dyDescent="0.3">
      <c r="A8" s="45" t="s">
        <v>128</v>
      </c>
      <c r="B8" s="42" t="s">
        <v>123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spans="1:20" ht="4.95" customHeight="1" x14ac:dyDescent="0.3"/>
    <row r="10" spans="1:20" x14ac:dyDescent="0.3">
      <c r="B10" s="44" t="s">
        <v>124</v>
      </c>
      <c r="C10" s="43"/>
      <c r="D10" s="43"/>
      <c r="E10" s="43"/>
      <c r="G10" s="44" t="s">
        <v>125</v>
      </c>
      <c r="H10" s="43"/>
      <c r="I10" s="43"/>
      <c r="J10" s="43"/>
      <c r="L10" s="44" t="s">
        <v>126</v>
      </c>
      <c r="M10" s="43"/>
      <c r="N10" s="43"/>
      <c r="O10" s="43"/>
      <c r="Q10" s="44" t="s">
        <v>127</v>
      </c>
      <c r="R10" s="43"/>
      <c r="S10" s="43"/>
      <c r="T10" s="43"/>
    </row>
    <row r="11" spans="1:20" x14ac:dyDescent="0.3">
      <c r="B11" s="46" t="s">
        <v>123</v>
      </c>
      <c r="G11" s="46" t="s">
        <v>123</v>
      </c>
      <c r="I11" s="46" t="s">
        <v>133</v>
      </c>
      <c r="J11" s="46" t="s">
        <v>134</v>
      </c>
      <c r="L11" s="46" t="s">
        <v>123</v>
      </c>
      <c r="N11" s="46" t="s">
        <v>133</v>
      </c>
      <c r="O11" s="46" t="s">
        <v>134</v>
      </c>
      <c r="Q11" s="46" t="s">
        <v>123</v>
      </c>
      <c r="R11" s="46" t="s">
        <v>133</v>
      </c>
      <c r="S11" s="46" t="s">
        <v>134</v>
      </c>
    </row>
    <row r="12" spans="1:20" x14ac:dyDescent="0.3">
      <c r="B12" t="s">
        <v>129</v>
      </c>
      <c r="E12" s="62">
        <v>2</v>
      </c>
      <c r="G12" t="s">
        <v>129</v>
      </c>
      <c r="I12" s="48">
        <v>2024</v>
      </c>
      <c r="J12" s="61">
        <v>0.9</v>
      </c>
      <c r="Q12" t="s">
        <v>129</v>
      </c>
      <c r="S12">
        <v>2024</v>
      </c>
      <c r="T12" s="61">
        <v>1.1000000000000001</v>
      </c>
    </row>
    <row r="13" spans="1:20" x14ac:dyDescent="0.3">
      <c r="B13" t="s">
        <v>76</v>
      </c>
      <c r="E13" s="62">
        <v>3</v>
      </c>
      <c r="G13" t="s">
        <v>129</v>
      </c>
      <c r="I13" s="48">
        <v>2028</v>
      </c>
      <c r="J13" s="59">
        <v>0.8</v>
      </c>
      <c r="L13" t="s">
        <v>129</v>
      </c>
      <c r="N13">
        <v>2028</v>
      </c>
      <c r="O13" s="61">
        <v>0.09</v>
      </c>
      <c r="Q13" t="s">
        <v>129</v>
      </c>
      <c r="S13">
        <v>2028</v>
      </c>
      <c r="T13" s="59">
        <v>1.2</v>
      </c>
    </row>
    <row r="14" spans="1:20" x14ac:dyDescent="0.3">
      <c r="B14" t="s">
        <v>130</v>
      </c>
      <c r="E14" s="62">
        <v>3</v>
      </c>
      <c r="G14" t="s">
        <v>76</v>
      </c>
      <c r="I14" s="48">
        <v>2024</v>
      </c>
      <c r="J14" s="59">
        <v>0.95</v>
      </c>
      <c r="Q14" t="s">
        <v>76</v>
      </c>
      <c r="S14">
        <v>2024</v>
      </c>
      <c r="T14" s="59">
        <v>1.05</v>
      </c>
    </row>
    <row r="15" spans="1:20" x14ac:dyDescent="0.3">
      <c r="B15" t="s">
        <v>131</v>
      </c>
      <c r="E15" s="62">
        <v>1</v>
      </c>
      <c r="G15" t="s">
        <v>76</v>
      </c>
      <c r="I15" s="48">
        <v>2028</v>
      </c>
      <c r="J15" s="59">
        <v>0.9</v>
      </c>
      <c r="L15" t="s">
        <v>76</v>
      </c>
      <c r="N15">
        <v>2028</v>
      </c>
      <c r="O15" s="59">
        <v>0.3</v>
      </c>
      <c r="Q15" t="s">
        <v>76</v>
      </c>
      <c r="S15">
        <v>2028</v>
      </c>
      <c r="T15" s="59">
        <v>1.1000000000000001</v>
      </c>
    </row>
    <row r="17" spans="1:20" x14ac:dyDescent="0.3">
      <c r="B17" s="46" t="s">
        <v>132</v>
      </c>
    </row>
    <row r="18" spans="1:20" x14ac:dyDescent="0.3">
      <c r="B18" t="s">
        <v>130</v>
      </c>
      <c r="E18" s="61">
        <f>CHOOSE(E14,J18,O18,T18)</f>
        <v>9.4509832088797305E-2</v>
      </c>
      <c r="G18" t="s">
        <v>130</v>
      </c>
      <c r="J18" s="68">
        <f>O18+0.5%</f>
        <v>0.10450983208879731</v>
      </c>
      <c r="L18" t="s">
        <v>130</v>
      </c>
      <c r="O18" s="68">
        <f>WACC!F22</f>
        <v>9.9509832088797309E-2</v>
      </c>
      <c r="Q18" t="s">
        <v>130</v>
      </c>
      <c r="T18" s="68">
        <f>O18-0.5%</f>
        <v>9.4509832088797305E-2</v>
      </c>
    </row>
    <row r="19" spans="1:20" x14ac:dyDescent="0.3">
      <c r="B19" t="s">
        <v>131</v>
      </c>
      <c r="E19" s="61">
        <f>CHOOSE(E15,J19,O19,T19)</f>
        <v>0.02</v>
      </c>
      <c r="G19" t="s">
        <v>131</v>
      </c>
      <c r="J19" s="59">
        <v>0.02</v>
      </c>
      <c r="L19" t="s">
        <v>131</v>
      </c>
      <c r="O19" s="59">
        <v>2.5000000000000001E-2</v>
      </c>
      <c r="Q19" t="s">
        <v>131</v>
      </c>
      <c r="T19" s="59">
        <v>0.03</v>
      </c>
    </row>
    <row r="21" spans="1:20" x14ac:dyDescent="0.3">
      <c r="A21" s="45" t="s">
        <v>128</v>
      </c>
      <c r="B21" s="42" t="s">
        <v>135</v>
      </c>
      <c r="C21" s="41"/>
      <c r="D21" s="41"/>
      <c r="E21" s="49" t="s">
        <v>136</v>
      </c>
      <c r="F21" s="49" t="s">
        <v>137</v>
      </c>
      <c r="G21" s="49" t="s">
        <v>138</v>
      </c>
      <c r="H21" s="49" t="s">
        <v>139</v>
      </c>
      <c r="I21" s="49" t="s">
        <v>140</v>
      </c>
      <c r="J21" s="49" t="s">
        <v>141</v>
      </c>
      <c r="K21" s="49" t="s">
        <v>142</v>
      </c>
      <c r="L21" s="49" t="s">
        <v>143</v>
      </c>
    </row>
    <row r="22" spans="1:20" x14ac:dyDescent="0.3">
      <c r="B22" t="s">
        <v>129</v>
      </c>
      <c r="E22" s="54">
        <f>Estimates!B5</f>
        <v>3378.2</v>
      </c>
      <c r="F22" s="54">
        <f>Estimates!C5</f>
        <v>5991.76</v>
      </c>
      <c r="G22" s="54">
        <f>Estimates!D5</f>
        <v>8399</v>
      </c>
      <c r="H22" s="54">
        <f>Estimates!E5</f>
        <v>9917</v>
      </c>
      <c r="I22" s="54">
        <f>Estimates!F5</f>
        <v>11077.6</v>
      </c>
      <c r="J22" s="54">
        <f>Estimates!G5</f>
        <v>12390.7</v>
      </c>
      <c r="K22" s="57">
        <f>Estimates!H5</f>
        <v>13847.1</v>
      </c>
      <c r="L22" s="57">
        <f>Estimates!I5</f>
        <v>15196.3</v>
      </c>
    </row>
    <row r="23" spans="1:20" x14ac:dyDescent="0.3">
      <c r="B23" s="47" t="s">
        <v>144</v>
      </c>
      <c r="E23" s="51" t="s">
        <v>148</v>
      </c>
      <c r="F23" s="52">
        <f>F22/E22-1</f>
        <v>0.77365460896335336</v>
      </c>
      <c r="G23" s="52">
        <f t="shared" ref="G23:L23" si="0">G22/F22-1</f>
        <v>0.40175841488978192</v>
      </c>
      <c r="H23" s="52">
        <f t="shared" si="0"/>
        <v>0.18073580188117644</v>
      </c>
      <c r="I23" s="52">
        <f t="shared" si="0"/>
        <v>0.1170313602904105</v>
      </c>
      <c r="J23" s="52">
        <f t="shared" si="0"/>
        <v>0.11853650610240485</v>
      </c>
      <c r="K23" s="52">
        <f t="shared" si="0"/>
        <v>0.11753976772902264</v>
      </c>
      <c r="L23" s="52">
        <f t="shared" si="0"/>
        <v>9.7435564125340157E-2</v>
      </c>
    </row>
    <row r="25" spans="1:20" x14ac:dyDescent="0.3">
      <c r="B25" t="s">
        <v>76</v>
      </c>
      <c r="E25" s="87">
        <f>Estimates!B9</f>
        <v>-3590.1</v>
      </c>
      <c r="F25" s="87">
        <f>Estimates!C9</f>
        <v>429.3</v>
      </c>
      <c r="G25" s="87">
        <f>Estimates!D9</f>
        <v>1802.1</v>
      </c>
      <c r="H25" s="87">
        <f>Estimates!E9</f>
        <v>1518</v>
      </c>
      <c r="I25" s="87">
        <f>Estimates!F9</f>
        <v>2661.26</v>
      </c>
      <c r="J25" s="87">
        <f>Estimates!G9</f>
        <v>3153.83</v>
      </c>
      <c r="K25" s="88">
        <f>Estimates!H9</f>
        <v>3764.17</v>
      </c>
      <c r="L25" s="88">
        <f>Estimates!I9</f>
        <v>4547.96</v>
      </c>
    </row>
    <row r="26" spans="1:20" x14ac:dyDescent="0.3">
      <c r="B26" s="47" t="s">
        <v>145</v>
      </c>
      <c r="E26" s="94">
        <f>E25/E22</f>
        <v>-1.0627257119175892</v>
      </c>
      <c r="F26" s="94">
        <f t="shared" ref="F26:L26" si="1">F25/F22</f>
        <v>7.1648397132061364E-2</v>
      </c>
      <c r="G26" s="94">
        <f t="shared" si="1"/>
        <v>0.21456125729253481</v>
      </c>
      <c r="H26" s="94">
        <f t="shared" si="1"/>
        <v>0.15307048502571341</v>
      </c>
      <c r="I26" s="94">
        <f t="shared" si="1"/>
        <v>0.24023795768036399</v>
      </c>
      <c r="J26" s="94">
        <f t="shared" si="1"/>
        <v>0.254532028053298</v>
      </c>
      <c r="K26" s="94">
        <f t="shared" si="1"/>
        <v>0.27183814661553685</v>
      </c>
      <c r="L26" s="94">
        <f t="shared" si="1"/>
        <v>0.29928074597105875</v>
      </c>
    </row>
    <row r="28" spans="1:20" x14ac:dyDescent="0.3">
      <c r="B28" t="s">
        <v>146</v>
      </c>
      <c r="E28" s="87">
        <f>Estimates!B11</f>
        <v>-97.2</v>
      </c>
      <c r="F28" s="87">
        <f>Estimates!C11</f>
        <v>51.8</v>
      </c>
      <c r="G28" s="87">
        <f>Estimates!D11</f>
        <v>96</v>
      </c>
      <c r="H28" s="87">
        <f>Estimates!E11</f>
        <v>-2690</v>
      </c>
      <c r="I28" s="87">
        <f>Estimates!F11</f>
        <v>512.22299999999996</v>
      </c>
      <c r="J28" s="87">
        <f>Estimates!G11</f>
        <v>637.89499999999998</v>
      </c>
      <c r="K28" s="88">
        <f>Estimates!H11</f>
        <v>790.73299999999995</v>
      </c>
      <c r="L28" s="88">
        <f>Estimates!I11</f>
        <v>1000.53</v>
      </c>
    </row>
    <row r="29" spans="1:20" x14ac:dyDescent="0.3">
      <c r="B29" s="47" t="s">
        <v>147</v>
      </c>
      <c r="E29" s="93">
        <f>Estimates!B11/Estimates!B10</f>
        <v>2.0760802238407487E-2</v>
      </c>
      <c r="F29" s="93">
        <f>Estimates!C11/Estimates!C10</f>
        <v>-0.17255163224516989</v>
      </c>
      <c r="G29" s="93">
        <f>Estimates!D11/Estimates!D10</f>
        <v>4.8267401403776923E-2</v>
      </c>
      <c r="H29" s="93">
        <f>Estimates!E11/Estimates!E10</f>
        <v>-1.2797335870599429</v>
      </c>
      <c r="I29" s="93">
        <f>Estimates!F11/Estimates!F10</f>
        <v>0.15458062608076337</v>
      </c>
      <c r="J29" s="93">
        <f>Estimates!G11/Estimates!G10</f>
        <v>0.16538888341534999</v>
      </c>
      <c r="K29" s="93">
        <f>Estimates!H11/Estimates!H10</f>
        <v>0.17635646293702548</v>
      </c>
      <c r="L29" s="93">
        <f>Estimates!I11/Estimates!I10</f>
        <v>0.18794801857445562</v>
      </c>
    </row>
    <row r="31" spans="1:20" x14ac:dyDescent="0.3">
      <c r="A31" s="45" t="s">
        <v>128</v>
      </c>
      <c r="B31" s="42" t="s">
        <v>149</v>
      </c>
      <c r="C31" s="41"/>
      <c r="D31" s="41"/>
      <c r="E31" s="49" t="s">
        <v>136</v>
      </c>
      <c r="F31" s="49" t="s">
        <v>137</v>
      </c>
      <c r="G31" s="49" t="s">
        <v>138</v>
      </c>
      <c r="H31" s="49" t="s">
        <v>139</v>
      </c>
      <c r="I31" s="49" t="s">
        <v>140</v>
      </c>
      <c r="J31" s="49" t="s">
        <v>141</v>
      </c>
      <c r="K31" s="49" t="s">
        <v>142</v>
      </c>
      <c r="L31" s="49" t="s">
        <v>143</v>
      </c>
    </row>
    <row r="32" spans="1:20" x14ac:dyDescent="0.3">
      <c r="B32" t="s">
        <v>150</v>
      </c>
      <c r="E32" s="54">
        <f>IS!E12</f>
        <v>125.876</v>
      </c>
      <c r="F32" s="54">
        <f>IS!F12</f>
        <v>175.5</v>
      </c>
      <c r="G32" s="54">
        <f>IS!G12</f>
        <v>89.3</v>
      </c>
      <c r="H32" s="54">
        <f>IS!H12</f>
        <v>44</v>
      </c>
      <c r="I32" s="54"/>
      <c r="J32" s="54"/>
      <c r="K32" s="54"/>
      <c r="L32" s="54"/>
    </row>
    <row r="33" spans="1:13" x14ac:dyDescent="0.3">
      <c r="B33" s="47" t="s">
        <v>151</v>
      </c>
      <c r="E33" s="55">
        <f>E32/E$22</f>
        <v>3.7261263394707242E-2</v>
      </c>
      <c r="F33" s="55">
        <f t="shared" ref="F33:H33" si="2">F32/F$22</f>
        <v>2.9290225242666595E-2</v>
      </c>
      <c r="G33" s="55">
        <f t="shared" si="2"/>
        <v>1.0632218121204904E-2</v>
      </c>
      <c r="H33" s="55">
        <f t="shared" si="2"/>
        <v>4.4368256529192292E-3</v>
      </c>
      <c r="I33" s="52"/>
      <c r="J33" s="52"/>
      <c r="K33" s="52"/>
      <c r="L33" s="52"/>
    </row>
    <row r="35" spans="1:13" x14ac:dyDescent="0.3">
      <c r="B35" t="s">
        <v>152</v>
      </c>
      <c r="E35" s="54">
        <f>-CFS!E24</f>
        <v>37.371000000000002</v>
      </c>
      <c r="F35" s="54">
        <f>-CFS!F24</f>
        <v>25.321999999999999</v>
      </c>
      <c r="G35" s="54">
        <f>-CFS!G24</f>
        <v>25</v>
      </c>
      <c r="H35" s="54">
        <f>-CFS!H24</f>
        <v>0</v>
      </c>
      <c r="I35" s="53"/>
      <c r="J35" s="53"/>
      <c r="K35" s="53"/>
      <c r="L35" s="53"/>
    </row>
    <row r="36" spans="1:13" x14ac:dyDescent="0.3">
      <c r="B36" s="47" t="s">
        <v>145</v>
      </c>
      <c r="E36" s="55">
        <f>E35/E$22</f>
        <v>1.1062400094725002E-2</v>
      </c>
      <c r="F36" s="55">
        <f t="shared" ref="F36" si="3">F35/F$22</f>
        <v>4.2261372284604186E-3</v>
      </c>
      <c r="G36" s="55">
        <f t="shared" ref="G36" si="4">G35/G$22</f>
        <v>2.9765448267650911E-3</v>
      </c>
      <c r="H36" s="55">
        <f t="shared" ref="H36" si="5">H35/H$22</f>
        <v>0</v>
      </c>
      <c r="I36" s="52"/>
      <c r="J36" s="52"/>
      <c r="K36" s="52"/>
      <c r="L36" s="52"/>
    </row>
    <row r="38" spans="1:13" x14ac:dyDescent="0.3">
      <c r="B38" t="s">
        <v>153</v>
      </c>
      <c r="E38" s="87">
        <f>-CFS!E18</f>
        <v>284.61</v>
      </c>
      <c r="F38" s="87">
        <f>-CFS!F18</f>
        <v>-637.923</v>
      </c>
      <c r="G38" s="87">
        <f>-CFS!G18</f>
        <v>-319</v>
      </c>
      <c r="H38" s="87">
        <f>-CFS!H18</f>
        <v>-720</v>
      </c>
      <c r="I38" s="87"/>
      <c r="J38" s="87"/>
      <c r="K38" s="101"/>
      <c r="L38" s="101"/>
    </row>
    <row r="39" spans="1:13" x14ac:dyDescent="0.3">
      <c r="B39" s="47" t="s">
        <v>145</v>
      </c>
      <c r="E39" s="94">
        <f>E38/E$22</f>
        <v>8.4249008347640764E-2</v>
      </c>
      <c r="F39" s="94">
        <f t="shared" ref="F39" si="6">F38/F$22</f>
        <v>-0.10646671428762167</v>
      </c>
      <c r="G39" s="94">
        <f t="shared" ref="G39" si="7">G38/G$22</f>
        <v>-3.7980711989522561E-2</v>
      </c>
      <c r="H39" s="94">
        <f t="shared" ref="H39" si="8">H38/H$22</f>
        <v>-7.2602601593223751E-2</v>
      </c>
      <c r="I39" s="52"/>
      <c r="J39" s="52"/>
      <c r="K39" s="52"/>
      <c r="L39" s="52"/>
    </row>
    <row r="40" spans="1:13" x14ac:dyDescent="0.3">
      <c r="B40" s="47" t="s">
        <v>154</v>
      </c>
      <c r="E40" s="94" t="s">
        <v>148</v>
      </c>
      <c r="F40" s="94">
        <f>F38/(F22-E22)</f>
        <v>-0.24408201839636354</v>
      </c>
      <c r="G40" s="94">
        <f t="shared" ref="G40:H40" si="9">G38/(G22-F22)</f>
        <v>-0.13251690732955584</v>
      </c>
      <c r="H40" s="94">
        <f t="shared" si="9"/>
        <v>-0.4743083003952569</v>
      </c>
    </row>
    <row r="41" spans="1:13" x14ac:dyDescent="0.3">
      <c r="I41">
        <v>1</v>
      </c>
      <c r="J41">
        <f>I41+1</f>
        <v>2</v>
      </c>
      <c r="K41">
        <v>3</v>
      </c>
      <c r="L41">
        <v>4</v>
      </c>
      <c r="M41">
        <v>5</v>
      </c>
    </row>
    <row r="42" spans="1:13" x14ac:dyDescent="0.3">
      <c r="A42" s="45" t="s">
        <v>128</v>
      </c>
      <c r="B42" s="42" t="s">
        <v>149</v>
      </c>
      <c r="C42" s="41"/>
      <c r="D42" s="41"/>
      <c r="E42" s="49" t="s">
        <v>136</v>
      </c>
      <c r="F42" s="49" t="s">
        <v>137</v>
      </c>
      <c r="G42" s="49" t="s">
        <v>138</v>
      </c>
      <c r="H42" s="49" t="s">
        <v>139</v>
      </c>
      <c r="I42" s="49" t="s">
        <v>140</v>
      </c>
      <c r="J42" s="49" t="s">
        <v>141</v>
      </c>
      <c r="K42" s="49" t="s">
        <v>142</v>
      </c>
      <c r="L42" s="49" t="s">
        <v>143</v>
      </c>
      <c r="M42" s="49" t="s">
        <v>155</v>
      </c>
    </row>
    <row r="43" spans="1:13" x14ac:dyDescent="0.3">
      <c r="B43" t="s">
        <v>129</v>
      </c>
      <c r="E43" s="56">
        <f>E22</f>
        <v>3378.2</v>
      </c>
      <c r="F43" s="56">
        <f t="shared" ref="F43:H43" si="10">F22</f>
        <v>5991.76</v>
      </c>
      <c r="G43" s="56">
        <f t="shared" si="10"/>
        <v>8399</v>
      </c>
      <c r="H43" s="56">
        <f t="shared" si="10"/>
        <v>9917</v>
      </c>
      <c r="I43" s="63">
        <f ca="1">H43*(1+I44)</f>
        <v>11077.6</v>
      </c>
      <c r="J43" s="63">
        <f t="shared" ref="J43:M43" ca="1" si="11">I43*(1+J44)</f>
        <v>12390.7</v>
      </c>
      <c r="K43" s="63">
        <f t="shared" ca="1" si="11"/>
        <v>13741.587857442048</v>
      </c>
      <c r="L43" s="63">
        <f t="shared" ca="1" si="11"/>
        <v>15109.043066528708</v>
      </c>
      <c r="M43" s="63">
        <f t="shared" ca="1" si="11"/>
        <v>16468.856942516293</v>
      </c>
    </row>
    <row r="44" spans="1:13" x14ac:dyDescent="0.3">
      <c r="B44" s="47" t="s">
        <v>144</v>
      </c>
      <c r="E44" s="51" t="s">
        <v>148</v>
      </c>
      <c r="F44" s="52">
        <f>F43/E43-1</f>
        <v>0.77365460896335336</v>
      </c>
      <c r="G44" s="52">
        <f t="shared" ref="G44:H44" si="12">G43/F43-1</f>
        <v>0.40175841488978192</v>
      </c>
      <c r="H44" s="52">
        <f t="shared" si="12"/>
        <v>0.18073580188117644</v>
      </c>
      <c r="I44" s="52">
        <f ca="1">OFFSET(I44,$E$12,0)</f>
        <v>0.1170313602904105</v>
      </c>
      <c r="J44" s="52">
        <f t="shared" ref="J44:M44" ca="1" si="13">OFFSET(J44,$E$12,0)</f>
        <v>0.11853650610240485</v>
      </c>
      <c r="K44" s="52">
        <f t="shared" ca="1" si="13"/>
        <v>0.10902433740160324</v>
      </c>
      <c r="L44" s="52">
        <f t="shared" ca="1" si="13"/>
        <v>9.9512168700801623E-2</v>
      </c>
      <c r="M44" s="52">
        <f t="shared" ca="1" si="13"/>
        <v>0.09</v>
      </c>
    </row>
    <row r="45" spans="1:13" x14ac:dyDescent="0.3">
      <c r="B45" s="47" t="s">
        <v>158</v>
      </c>
      <c r="H45" t="s">
        <v>160</v>
      </c>
      <c r="I45" s="60">
        <f>I46*J12</f>
        <v>0.10532822426136945</v>
      </c>
      <c r="J45" s="60">
        <f>I45-($I45-$M45)/($M$41-$I$41)</f>
        <v>9.6996168196027091E-2</v>
      </c>
      <c r="K45" s="60">
        <f t="shared" ref="K45:L47" si="14">J45-($I45-$M45)/($M$41-$I$41)</f>
        <v>8.866411213068473E-2</v>
      </c>
      <c r="L45" s="60">
        <f t="shared" si="14"/>
        <v>8.0332056065342369E-2</v>
      </c>
      <c r="M45" s="60">
        <f>M46*J13</f>
        <v>7.1999999999999995E-2</v>
      </c>
    </row>
    <row r="46" spans="1:13" x14ac:dyDescent="0.3">
      <c r="B46" s="47" t="s">
        <v>156</v>
      </c>
      <c r="I46" s="60">
        <f>I23</f>
        <v>0.1170313602904105</v>
      </c>
      <c r="J46" s="60">
        <f>J23</f>
        <v>0.11853650610240485</v>
      </c>
      <c r="K46" s="60">
        <f>J46-($J46-$M46)/($M$41-$J$41)</f>
        <v>0.10902433740160324</v>
      </c>
      <c r="L46" s="60">
        <f>K46-($J46-$M46)/($M$41-$J$41)</f>
        <v>9.9512168700801623E-2</v>
      </c>
      <c r="M46" s="60">
        <v>0.09</v>
      </c>
    </row>
    <row r="47" spans="1:13" x14ac:dyDescent="0.3">
      <c r="B47" s="47" t="s">
        <v>157</v>
      </c>
      <c r="I47" s="60">
        <f>I46*T12</f>
        <v>0.12873449631945155</v>
      </c>
      <c r="J47" s="60">
        <f>I47-($I47-$M47)/($M$41-$I$41)</f>
        <v>0.12355087223958866</v>
      </c>
      <c r="K47" s="60">
        <f t="shared" si="14"/>
        <v>0.11836724815972577</v>
      </c>
      <c r="L47" s="60">
        <f t="shared" si="14"/>
        <v>0.11318362407986288</v>
      </c>
      <c r="M47" s="60">
        <f>M46*T13</f>
        <v>0.108</v>
      </c>
    </row>
    <row r="49" spans="2:13" x14ac:dyDescent="0.3">
      <c r="B49" t="s">
        <v>76</v>
      </c>
      <c r="E49" s="89">
        <f>E25</f>
        <v>-3590.1</v>
      </c>
      <c r="F49" s="89">
        <f t="shared" ref="F49:H49" si="15">F25</f>
        <v>429.3</v>
      </c>
      <c r="G49" s="89">
        <f t="shared" si="15"/>
        <v>1802.1</v>
      </c>
      <c r="H49" s="89">
        <f t="shared" si="15"/>
        <v>1518</v>
      </c>
      <c r="I49" s="90">
        <f ca="1">I50*I43</f>
        <v>2794.3229999999999</v>
      </c>
      <c r="J49" s="90">
        <f t="shared" ref="J49:M49" ca="1" si="16">J50*J43</f>
        <v>3366.3969640061932</v>
      </c>
      <c r="K49" s="90">
        <f t="shared" ca="1" si="16"/>
        <v>4000.5187726104505</v>
      </c>
      <c r="L49" s="90">
        <f ca="1">L50*L43</f>
        <v>4692.3016417778299</v>
      </c>
      <c r="M49" s="90">
        <f t="shared" ca="1" si="16"/>
        <v>5434.7227910303773</v>
      </c>
    </row>
    <row r="50" spans="2:13" x14ac:dyDescent="0.3">
      <c r="B50" s="47" t="s">
        <v>145</v>
      </c>
      <c r="E50" s="94">
        <f>E49/E43</f>
        <v>-1.0627257119175892</v>
      </c>
      <c r="F50" s="94">
        <f t="shared" ref="F50:H50" si="17">F49/F43</f>
        <v>7.1648397132061364E-2</v>
      </c>
      <c r="G50" s="94">
        <f t="shared" si="17"/>
        <v>0.21456125729253481</v>
      </c>
      <c r="H50" s="94">
        <f t="shared" si="17"/>
        <v>0.15307048502571341</v>
      </c>
      <c r="I50" s="94">
        <f ca="1">OFFSET(I50,$E$13,0)</f>
        <v>0.25224985556438217</v>
      </c>
      <c r="J50" s="94">
        <f t="shared" ref="J50:M50" ca="1" si="18">OFFSET(J50,$E$13,0)</f>
        <v>0.27168739167328665</v>
      </c>
      <c r="K50" s="94">
        <f t="shared" ca="1" si="18"/>
        <v>0.29112492778219112</v>
      </c>
      <c r="L50" s="94">
        <f t="shared" ca="1" si="18"/>
        <v>0.3105624638910956</v>
      </c>
      <c r="M50" s="94">
        <f t="shared" ca="1" si="18"/>
        <v>0.33</v>
      </c>
    </row>
    <row r="51" spans="2:13" x14ac:dyDescent="0.3">
      <c r="B51" s="47" t="s">
        <v>158</v>
      </c>
      <c r="I51" s="60">
        <f>I52*J14</f>
        <v>0.22822605979634578</v>
      </c>
      <c r="J51" s="60">
        <f>I51+($M51-$I51)/($M$41-$I$41)</f>
        <v>0.23866954484725933</v>
      </c>
      <c r="K51" s="60">
        <f t="shared" ref="K51:L53" si="19">J51+($M51-$I51)/($M$41-$I$41)</f>
        <v>0.24911302989817288</v>
      </c>
      <c r="L51" s="60">
        <f t="shared" si="19"/>
        <v>0.25955651494908644</v>
      </c>
      <c r="M51" s="60">
        <f>M52*J15</f>
        <v>0.27</v>
      </c>
    </row>
    <row r="52" spans="2:13" x14ac:dyDescent="0.3">
      <c r="B52" s="47" t="s">
        <v>156</v>
      </c>
      <c r="I52" s="60">
        <f>I26</f>
        <v>0.24023795768036399</v>
      </c>
      <c r="J52" s="60">
        <f>J26</f>
        <v>0.254532028053298</v>
      </c>
      <c r="K52" s="60">
        <f>J52+($M52-$J52)/($M$41-$J$41)</f>
        <v>0.26968801870219866</v>
      </c>
      <c r="L52" s="60">
        <f>K52+($M52-$J52)/($M$41-$J$41)</f>
        <v>0.28484400935109933</v>
      </c>
      <c r="M52" s="60">
        <f>O15</f>
        <v>0.3</v>
      </c>
    </row>
    <row r="53" spans="2:13" x14ac:dyDescent="0.3">
      <c r="B53" s="47" t="s">
        <v>157</v>
      </c>
      <c r="I53" s="60">
        <f>I52*T14</f>
        <v>0.25224985556438217</v>
      </c>
      <c r="J53" s="60">
        <f>I53+($M53-$I53)/($M$41-$I$41)</f>
        <v>0.27168739167328665</v>
      </c>
      <c r="K53" s="60">
        <f t="shared" si="19"/>
        <v>0.29112492778219112</v>
      </c>
      <c r="L53" s="60">
        <f t="shared" si="19"/>
        <v>0.3105624638910956</v>
      </c>
      <c r="M53" s="60">
        <f>M52*T15</f>
        <v>0.33</v>
      </c>
    </row>
    <row r="55" spans="2:13" x14ac:dyDescent="0.3">
      <c r="B55" t="s">
        <v>146</v>
      </c>
      <c r="E55" s="89">
        <f>E28</f>
        <v>-97.2</v>
      </c>
      <c r="F55" s="89">
        <f t="shared" ref="F55:H55" si="20">F28</f>
        <v>51.8</v>
      </c>
      <c r="G55" s="89">
        <f t="shared" si="20"/>
        <v>96</v>
      </c>
      <c r="H55" s="89">
        <f t="shared" si="20"/>
        <v>-2690</v>
      </c>
      <c r="I55" s="90">
        <f ca="1">I56*I49</f>
        <v>431.94819881187692</v>
      </c>
      <c r="J55" s="90">
        <f t="shared" ref="J55:M55" ca="1" si="21">J56*J49</f>
        <v>556.76463500980844</v>
      </c>
      <c r="K55" s="90">
        <f t="shared" ca="1" si="21"/>
        <v>705.51734065074959</v>
      </c>
      <c r="L55" s="90">
        <f t="shared" ca="1" si="21"/>
        <v>881.90879612580818</v>
      </c>
      <c r="M55" s="90">
        <f t="shared" ca="1" si="21"/>
        <v>1021.4453800755946</v>
      </c>
    </row>
    <row r="56" spans="2:13" x14ac:dyDescent="0.3">
      <c r="B56" s="47" t="s">
        <v>147</v>
      </c>
      <c r="E56" s="100">
        <f>E29</f>
        <v>2.0760802238407487E-2</v>
      </c>
      <c r="F56" s="100">
        <f t="shared" ref="F56:L56" si="22">F29</f>
        <v>-0.17255163224516989</v>
      </c>
      <c r="G56" s="100">
        <f t="shared" si="22"/>
        <v>4.8267401403776923E-2</v>
      </c>
      <c r="H56" s="100">
        <f t="shared" si="22"/>
        <v>-1.2797335870599429</v>
      </c>
      <c r="I56" s="100">
        <f t="shared" si="22"/>
        <v>0.15458062608076337</v>
      </c>
      <c r="J56" s="100">
        <f t="shared" si="22"/>
        <v>0.16538888341534999</v>
      </c>
      <c r="K56" s="100">
        <f t="shared" si="22"/>
        <v>0.17635646293702548</v>
      </c>
      <c r="L56" s="100">
        <f t="shared" si="22"/>
        <v>0.18794801857445562</v>
      </c>
      <c r="M56" s="99">
        <f>L56</f>
        <v>0.18794801857445562</v>
      </c>
    </row>
    <row r="58" spans="2:13" x14ac:dyDescent="0.3">
      <c r="B58" s="74" t="s">
        <v>159</v>
      </c>
      <c r="C58" s="75"/>
      <c r="D58" s="75"/>
      <c r="E58" s="75"/>
      <c r="F58" s="75"/>
      <c r="G58" s="75"/>
      <c r="H58" s="75"/>
      <c r="I58" s="76">
        <f ca="1">I49-I55</f>
        <v>2362.374801188123</v>
      </c>
      <c r="J58" s="76">
        <f t="shared" ref="J58:M58" ca="1" si="23">J49-J55</f>
        <v>2809.6323289963848</v>
      </c>
      <c r="K58" s="76">
        <f t="shared" ca="1" si="23"/>
        <v>3295.0014319597008</v>
      </c>
      <c r="L58" s="76">
        <f t="shared" ca="1" si="23"/>
        <v>3810.3928456520216</v>
      </c>
      <c r="M58" s="77">
        <f t="shared" ca="1" si="23"/>
        <v>4413.2774109547827</v>
      </c>
    </row>
    <row r="60" spans="2:13" x14ac:dyDescent="0.3">
      <c r="B60" t="s">
        <v>150</v>
      </c>
      <c r="E60" s="56">
        <f>E32</f>
        <v>125.876</v>
      </c>
      <c r="F60" s="56">
        <f t="shared" ref="F60:H60" si="24">F32</f>
        <v>175.5</v>
      </c>
      <c r="G60" s="56">
        <f t="shared" si="24"/>
        <v>89.3</v>
      </c>
      <c r="H60" s="56">
        <f t="shared" si="24"/>
        <v>44</v>
      </c>
      <c r="I60" s="63">
        <f ca="1">I61*I$43</f>
        <v>83.46441965611875</v>
      </c>
      <c r="J60" s="63">
        <f t="shared" ref="J60:M60" ca="1" si="25">J61*J$43</f>
        <v>74.166687981823131</v>
      </c>
      <c r="K60" s="63">
        <f t="shared" ca="1" si="25"/>
        <v>92.894478235598143</v>
      </c>
      <c r="L60" s="63">
        <f t="shared" ca="1" si="25"/>
        <v>96.288205999065951</v>
      </c>
      <c r="M60" s="63">
        <f t="shared" ca="1" si="25"/>
        <v>108.14261429719875</v>
      </c>
    </row>
    <row r="61" spans="2:13" x14ac:dyDescent="0.3">
      <c r="B61" s="47" t="s">
        <v>151</v>
      </c>
      <c r="E61" s="95">
        <f>E60/E$43</f>
        <v>3.7261263394707242E-2</v>
      </c>
      <c r="F61" s="95">
        <f t="shared" ref="F61:H61" si="26">F60/F$43</f>
        <v>2.9290225242666595E-2</v>
      </c>
      <c r="G61" s="95">
        <f t="shared" si="26"/>
        <v>1.0632218121204904E-2</v>
      </c>
      <c r="H61" s="95">
        <f t="shared" si="26"/>
        <v>4.4368256529192292E-3</v>
      </c>
      <c r="I61" s="96">
        <f>AVERAGE(G61:H61)</f>
        <v>7.5345218870620668E-3</v>
      </c>
      <c r="J61" s="97">
        <f t="shared" ref="J61:M61" si="27">AVERAGE(H61:I61)</f>
        <v>5.985673769990648E-3</v>
      </c>
      <c r="K61" s="97">
        <f t="shared" si="27"/>
        <v>6.7600978285263574E-3</v>
      </c>
      <c r="L61" s="97">
        <f t="shared" si="27"/>
        <v>6.3728857992585031E-3</v>
      </c>
      <c r="M61" s="97">
        <f t="shared" si="27"/>
        <v>6.5664918138924298E-3</v>
      </c>
    </row>
    <row r="63" spans="2:13" x14ac:dyDescent="0.3">
      <c r="B63" t="s">
        <v>152</v>
      </c>
      <c r="E63" s="56">
        <f>E35</f>
        <v>37.371000000000002</v>
      </c>
      <c r="F63" s="56">
        <f t="shared" ref="F63:H63" si="28">F35</f>
        <v>25.321999999999999</v>
      </c>
      <c r="G63" s="56">
        <f t="shared" si="28"/>
        <v>25</v>
      </c>
      <c r="H63" s="56">
        <f t="shared" si="28"/>
        <v>0</v>
      </c>
      <c r="I63" s="63">
        <f ca="1">I64*I$43</f>
        <v>16.486486486486488</v>
      </c>
      <c r="J63" s="63">
        <f t="shared" ref="J63" ca="1" si="29">J64*J$43</f>
        <v>9.220368496249554</v>
      </c>
      <c r="K63" s="63">
        <f t="shared" ref="K63" ca="1" si="30">K64*K$43</f>
        <v>15.33841959322767</v>
      </c>
      <c r="L63" s="63">
        <f t="shared" ref="L63" ca="1" si="31">L64*L$43</f>
        <v>14.053982492827185</v>
      </c>
      <c r="M63" s="63">
        <f t="shared" ref="M63" ca="1" si="32">M64*M$43</f>
        <v>16.850725008899797</v>
      </c>
    </row>
    <row r="64" spans="2:13" x14ac:dyDescent="0.3">
      <c r="B64" s="47" t="s">
        <v>145</v>
      </c>
      <c r="E64" s="95">
        <f>E63/E$43</f>
        <v>1.1062400094725002E-2</v>
      </c>
      <c r="F64" s="95">
        <f t="shared" ref="F64" si="33">F63/F$43</f>
        <v>4.2261372284604186E-3</v>
      </c>
      <c r="G64" s="95">
        <f t="shared" ref="G64" si="34">G63/G$43</f>
        <v>2.9765448267650911E-3</v>
      </c>
      <c r="H64" s="95">
        <f t="shared" ref="H64" si="35">H63/H$43</f>
        <v>0</v>
      </c>
      <c r="I64" s="96">
        <f>AVERAGE(G64:H64)</f>
        <v>1.4882724133825455E-3</v>
      </c>
      <c r="J64" s="97">
        <f t="shared" ref="J64" si="36">AVERAGE(H64:I64)</f>
        <v>7.4413620669127277E-4</v>
      </c>
      <c r="K64" s="97">
        <f t="shared" ref="K64" si="37">AVERAGE(I64:J64)</f>
        <v>1.1162043100369091E-3</v>
      </c>
      <c r="L64" s="97">
        <f t="shared" ref="L64" si="38">AVERAGE(J64:K64)</f>
        <v>9.3017025836409088E-4</v>
      </c>
      <c r="M64" s="97">
        <f t="shared" ref="M64" si="39">AVERAGE(K64:L64)</f>
        <v>1.0231872842005E-3</v>
      </c>
    </row>
    <row r="66" spans="1:13" x14ac:dyDescent="0.3">
      <c r="B66" t="s">
        <v>153</v>
      </c>
      <c r="E66" s="91">
        <f>E38</f>
        <v>284.61</v>
      </c>
      <c r="F66" s="91">
        <f t="shared" ref="F66:H66" si="40">F38</f>
        <v>-637.923</v>
      </c>
      <c r="G66" s="91">
        <f t="shared" si="40"/>
        <v>-319</v>
      </c>
      <c r="H66" s="91">
        <f t="shared" si="40"/>
        <v>-720</v>
      </c>
      <c r="I66" s="91">
        <f ca="1">I67*I$43</f>
        <v>-612.49885727211529</v>
      </c>
      <c r="J66" s="91">
        <f t="shared" ref="J66" ca="1" si="41">J67*J$43</f>
        <v>-792.34969368301245</v>
      </c>
      <c r="K66" s="91">
        <f t="shared" ref="K66" ca="1" si="42">K67*K$43</f>
        <v>-819.26512680467636</v>
      </c>
      <c r="L66" s="91">
        <f t="shared" ref="L66" ca="1" si="43">L67*L$43</f>
        <v>-933.48595263062964</v>
      </c>
      <c r="M66" s="91">
        <f t="shared" ref="M66" ca="1" si="44">M67*M$43</f>
        <v>-999.68147127479438</v>
      </c>
    </row>
    <row r="67" spans="1:13" x14ac:dyDescent="0.3">
      <c r="B67" s="47" t="s">
        <v>145</v>
      </c>
      <c r="E67" s="98">
        <f>E66/E$43</f>
        <v>8.4249008347640764E-2</v>
      </c>
      <c r="F67" s="98">
        <f t="shared" ref="F67" si="45">F66/F$43</f>
        <v>-0.10646671428762167</v>
      </c>
      <c r="G67" s="98">
        <f t="shared" ref="G67" si="46">G66/G$43</f>
        <v>-3.7980711989522561E-2</v>
      </c>
      <c r="H67" s="98">
        <f t="shared" ref="H67" si="47">H66/H$43</f>
        <v>-7.2602601593223751E-2</v>
      </c>
      <c r="I67" s="99">
        <f>AVERAGE(G67:H67)</f>
        <v>-5.5291656791373156E-2</v>
      </c>
      <c r="J67" s="100">
        <f t="shared" ref="J67" si="48">AVERAGE(H67:I67)</f>
        <v>-6.3947129192298446E-2</v>
      </c>
      <c r="K67" s="100">
        <f t="shared" ref="K67" si="49">AVERAGE(I67:J67)</f>
        <v>-5.9619392991835801E-2</v>
      </c>
      <c r="L67" s="100">
        <f t="shared" ref="L67" si="50">AVERAGE(J67:K67)</f>
        <v>-6.1783261092067124E-2</v>
      </c>
      <c r="M67" s="100">
        <f t="shared" ref="M67" si="51">AVERAGE(K67:L67)</f>
        <v>-6.0701327041951463E-2</v>
      </c>
    </row>
    <row r="69" spans="1:13" x14ac:dyDescent="0.3">
      <c r="B69" s="78" t="s">
        <v>161</v>
      </c>
      <c r="C69" s="79"/>
      <c r="D69" s="79"/>
      <c r="E69" s="79"/>
      <c r="F69" s="79"/>
      <c r="G69" s="79"/>
      <c r="H69" s="79"/>
      <c r="I69" s="80">
        <f ca="1">I58+I60-I63-I66</f>
        <v>3041.8515916298707</v>
      </c>
      <c r="J69" s="80">
        <f t="shared" ref="J69:M69" ca="1" si="52">J58+J60-J63-J66</f>
        <v>3666.9283421649707</v>
      </c>
      <c r="K69" s="80">
        <f t="shared" ca="1" si="52"/>
        <v>4191.8226174067477</v>
      </c>
      <c r="L69" s="80">
        <f t="shared" ca="1" si="52"/>
        <v>4826.1130217888904</v>
      </c>
      <c r="M69" s="81">
        <f t="shared" ca="1" si="52"/>
        <v>5504.2507715178763</v>
      </c>
    </row>
    <row r="70" spans="1:13" x14ac:dyDescent="0.3">
      <c r="B70" s="82" t="s">
        <v>162</v>
      </c>
      <c r="C70" s="83"/>
      <c r="D70" s="83"/>
      <c r="E70" s="83"/>
      <c r="F70" s="83"/>
      <c r="G70" s="83"/>
      <c r="H70" s="83"/>
      <c r="I70" s="84">
        <f ca="1">I69/(1+wacc)^I72</f>
        <v>2978.4256670576679</v>
      </c>
      <c r="J70" s="84">
        <f ca="1">J69/(1+wacc)^J72</f>
        <v>3360.3930530702646</v>
      </c>
      <c r="K70" s="84">
        <f ca="1">K69/(1+wacc)^K72</f>
        <v>3509.7071819072908</v>
      </c>
      <c r="L70" s="84">
        <f ca="1">L69/(1+wacc)^L72</f>
        <v>3691.864974903553</v>
      </c>
      <c r="M70" s="85">
        <f ca="1">M69/(1+wacc)^M72</f>
        <v>3847.04144679003</v>
      </c>
    </row>
    <row r="72" spans="1:13" x14ac:dyDescent="0.3">
      <c r="A72" t="s">
        <v>177</v>
      </c>
      <c r="B72" t="s">
        <v>178</v>
      </c>
      <c r="I72" s="66">
        <f>I73/2</f>
        <v>0.23333333333333334</v>
      </c>
      <c r="J72" s="66">
        <f>I73+0.5</f>
        <v>0.96666666666666667</v>
      </c>
      <c r="K72" s="66">
        <f>J72+1</f>
        <v>1.9666666666666668</v>
      </c>
      <c r="L72" s="66">
        <f>K72+1</f>
        <v>2.9666666666666668</v>
      </c>
      <c r="M72" s="66">
        <f t="shared" ref="M72" si="53">L72+1</f>
        <v>3.9666666666666668</v>
      </c>
    </row>
    <row r="73" spans="1:13" x14ac:dyDescent="0.3">
      <c r="B73" t="s">
        <v>179</v>
      </c>
      <c r="I73" s="66">
        <f>YEARFRAC(C5,C6)</f>
        <v>0.46666666666666667</v>
      </c>
    </row>
    <row r="75" spans="1:13" x14ac:dyDescent="0.3">
      <c r="B75" t="s">
        <v>180</v>
      </c>
      <c r="M75" s="50">
        <f ca="1">M69*(1+tgr)/(wacc-tgr)</f>
        <v>75350.267603037064</v>
      </c>
    </row>
    <row r="76" spans="1:13" x14ac:dyDescent="0.3">
      <c r="B76" t="s">
        <v>181</v>
      </c>
      <c r="M76" s="50">
        <f ca="1">M75/(1+wacc)^M72</f>
        <v>52663.952739142056</v>
      </c>
    </row>
    <row r="78" spans="1:13" x14ac:dyDescent="0.3">
      <c r="B78" t="s">
        <v>182</v>
      </c>
      <c r="M78" s="53">
        <f ca="1">SUM(I70:M70,M76)</f>
        <v>70051.385062870861</v>
      </c>
    </row>
    <row r="79" spans="1:13" x14ac:dyDescent="0.3">
      <c r="B79" t="s">
        <v>183</v>
      </c>
      <c r="M79" s="53">
        <v>6874</v>
      </c>
    </row>
    <row r="80" spans="1:13" x14ac:dyDescent="0.3">
      <c r="B80" t="s">
        <v>184</v>
      </c>
      <c r="M80" s="50">
        <f>WACC!F15</f>
        <v>1991</v>
      </c>
    </row>
    <row r="81" spans="2:13" x14ac:dyDescent="0.3">
      <c r="B81" t="s">
        <v>185</v>
      </c>
      <c r="M81" s="53">
        <f ca="1">M78+M79-M80</f>
        <v>74934.385062870861</v>
      </c>
    </row>
    <row r="83" spans="2:13" x14ac:dyDescent="0.3">
      <c r="B83" t="s">
        <v>186</v>
      </c>
      <c r="M83">
        <v>682.6</v>
      </c>
    </row>
    <row r="84" spans="2:13" x14ac:dyDescent="0.3">
      <c r="B84" t="s">
        <v>187</v>
      </c>
      <c r="M84" s="86">
        <f ca="1">M81/M83</f>
        <v>109.77788611613076</v>
      </c>
    </row>
  </sheetData>
  <pageMargins left="0.7" right="0.7" top="0.75" bottom="0.75" header="0.3" footer="0.3"/>
  <ignoredErrors>
    <ignoredError sqref="J52:L52 J46:L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338D-4435-493C-B7F4-1A7623A50FE7}">
  <dimension ref="B2:F22"/>
  <sheetViews>
    <sheetView showGridLines="0" zoomScale="115" zoomScaleNormal="115" workbookViewId="0">
      <selection activeCell="F23" sqref="F23"/>
    </sheetView>
  </sheetViews>
  <sheetFormatPr defaultRowHeight="14.4" x14ac:dyDescent="0.3"/>
  <cols>
    <col min="1" max="1" width="3.77734375" customWidth="1"/>
    <col min="6" max="6" width="13.44140625" customWidth="1"/>
  </cols>
  <sheetData>
    <row r="2" spans="2:6" s="38" customFormat="1" ht="21" x14ac:dyDescent="0.4">
      <c r="B2" s="39" t="s">
        <v>130</v>
      </c>
    </row>
    <row r="4" spans="2:6" x14ac:dyDescent="0.3">
      <c r="B4" t="s">
        <v>163</v>
      </c>
    </row>
    <row r="5" spans="2:6" x14ac:dyDescent="0.3">
      <c r="B5" t="s">
        <v>169</v>
      </c>
    </row>
    <row r="7" spans="2:6" x14ac:dyDescent="0.3">
      <c r="B7" s="65" t="s">
        <v>130</v>
      </c>
      <c r="C7" s="64"/>
      <c r="D7" s="64"/>
      <c r="E7" s="64"/>
      <c r="F7" s="64"/>
    </row>
    <row r="8" spans="2:6" x14ac:dyDescent="0.3">
      <c r="B8" t="s">
        <v>164</v>
      </c>
      <c r="F8" s="50">
        <v>93000</v>
      </c>
    </row>
    <row r="9" spans="2:6" x14ac:dyDescent="0.3">
      <c r="B9" t="s">
        <v>165</v>
      </c>
      <c r="F9" s="67">
        <f>F8/F20</f>
        <v>0.97904011959027692</v>
      </c>
    </row>
    <row r="10" spans="2:6" x14ac:dyDescent="0.3">
      <c r="B10" t="s">
        <v>166</v>
      </c>
      <c r="F10" s="69">
        <f>F11+F12*F13</f>
        <v>0.101604</v>
      </c>
    </row>
    <row r="11" spans="2:6" x14ac:dyDescent="0.3">
      <c r="B11" t="s">
        <v>167</v>
      </c>
      <c r="F11" s="68">
        <v>4.3920000000000001E-2</v>
      </c>
    </row>
    <row r="12" spans="2:6" x14ac:dyDescent="0.3">
      <c r="B12" t="s">
        <v>168</v>
      </c>
      <c r="F12" s="40">
        <v>1.38</v>
      </c>
    </row>
    <row r="13" spans="2:6" x14ac:dyDescent="0.3">
      <c r="B13" t="s">
        <v>170</v>
      </c>
      <c r="F13" s="68">
        <v>4.1799999999999997E-2</v>
      </c>
    </row>
    <row r="15" spans="2:6" x14ac:dyDescent="0.3">
      <c r="B15" t="s">
        <v>171</v>
      </c>
      <c r="F15" s="70">
        <v>1991</v>
      </c>
    </row>
    <row r="16" spans="2:6" x14ac:dyDescent="0.3">
      <c r="B16" t="s">
        <v>172</v>
      </c>
      <c r="F16" s="71">
        <f>F15/F20</f>
        <v>2.0959880409723027E-2</v>
      </c>
    </row>
    <row r="17" spans="2:6" x14ac:dyDescent="0.3">
      <c r="B17" t="s">
        <v>173</v>
      </c>
      <c r="F17" s="68">
        <v>2E-3</v>
      </c>
    </row>
    <row r="18" spans="2:6" x14ac:dyDescent="0.3">
      <c r="B18" t="s">
        <v>147</v>
      </c>
      <c r="F18" s="58">
        <f>DCF!I29</f>
        <v>0.15458062608076337</v>
      </c>
    </row>
    <row r="19" spans="2:6" x14ac:dyDescent="0.3">
      <c r="B19" t="s">
        <v>160</v>
      </c>
    </row>
    <row r="20" spans="2:6" x14ac:dyDescent="0.3">
      <c r="B20" t="s">
        <v>174</v>
      </c>
      <c r="F20" s="50">
        <f>F8+F15</f>
        <v>94991</v>
      </c>
    </row>
    <row r="22" spans="2:6" x14ac:dyDescent="0.3">
      <c r="B22" t="s">
        <v>130</v>
      </c>
      <c r="F22" s="72">
        <f>F9*F10+F16*F17*(1-F18)</f>
        <v>9.9509832088797309E-2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D7B4-AD2C-40E0-AAC3-5B347536EDE4}">
  <sheetPr>
    <outlinePr summaryBelow="0" summaryRight="0"/>
  </sheetPr>
  <dimension ref="A1:I12"/>
  <sheetViews>
    <sheetView zoomScale="98" zoomScaleNormal="98" workbookViewId="0">
      <selection activeCell="G10" sqref="G10"/>
    </sheetView>
  </sheetViews>
  <sheetFormatPr defaultColWidth="9.109375" defaultRowHeight="15" customHeight="1" x14ac:dyDescent="0.25"/>
  <cols>
    <col min="1" max="1" width="19.6640625" style="2" customWidth="1"/>
    <col min="2" max="5" width="7.6640625" style="2" customWidth="1"/>
    <col min="6" max="9" width="8.77734375" style="2" customWidth="1"/>
    <col min="10" max="16384" width="9.109375" style="2"/>
  </cols>
  <sheetData>
    <row r="1" spans="1:9" ht="15" customHeight="1" x14ac:dyDescent="0.25">
      <c r="A1" s="1" t="s">
        <v>0</v>
      </c>
    </row>
    <row r="2" spans="1:9" ht="15" customHeight="1" x14ac:dyDescent="0.25">
      <c r="A2" s="2" t="s">
        <v>1</v>
      </c>
    </row>
    <row r="3" spans="1:9" ht="15" customHeight="1" x14ac:dyDescent="0.25">
      <c r="A3" s="3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 customHeight="1" x14ac:dyDescent="0.25">
      <c r="A4" s="3"/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</row>
    <row r="5" spans="1:9" ht="15" customHeight="1" x14ac:dyDescent="0.25">
      <c r="A5" s="4" t="s">
        <v>18</v>
      </c>
      <c r="B5" s="5">
        <v>3378.2</v>
      </c>
      <c r="C5" s="5">
        <v>5991.76</v>
      </c>
      <c r="D5" s="5">
        <v>8399</v>
      </c>
      <c r="E5" s="5">
        <v>9917</v>
      </c>
      <c r="F5" s="5">
        <v>11077.6</v>
      </c>
      <c r="G5" s="5">
        <v>12390.7</v>
      </c>
      <c r="H5" s="5">
        <v>13847.1</v>
      </c>
      <c r="I5" s="5">
        <v>15196.3</v>
      </c>
    </row>
    <row r="6" spans="1:9" ht="15" customHeight="1" x14ac:dyDescent="0.25">
      <c r="A6" s="6" t="s">
        <v>19</v>
      </c>
      <c r="B6" s="7">
        <v>876</v>
      </c>
      <c r="C6" s="7">
        <v>1155.83</v>
      </c>
      <c r="D6" s="7">
        <v>1499</v>
      </c>
      <c r="E6" s="7">
        <v>1703</v>
      </c>
      <c r="F6" s="7">
        <v>1879.24</v>
      </c>
      <c r="G6" s="7">
        <v>2075.9699999999998</v>
      </c>
      <c r="H6" s="7">
        <v>2302.2600000000002</v>
      </c>
      <c r="I6" s="7">
        <v>2531.71</v>
      </c>
    </row>
    <row r="7" spans="1:9" ht="15" customHeight="1" x14ac:dyDescent="0.25">
      <c r="A7" s="4" t="s">
        <v>20</v>
      </c>
      <c r="B7" s="5">
        <v>2502.1999999999998</v>
      </c>
      <c r="C7" s="5">
        <v>4835.8999999999996</v>
      </c>
      <c r="D7" s="5">
        <v>6900.6</v>
      </c>
      <c r="E7" s="5">
        <v>8214</v>
      </c>
      <c r="F7" s="5">
        <v>9162.8799999999992</v>
      </c>
      <c r="G7" s="5">
        <v>10192.1</v>
      </c>
      <c r="H7" s="5">
        <v>11329.3</v>
      </c>
      <c r="I7" s="5">
        <v>12632</v>
      </c>
    </row>
    <row r="8" spans="1:9" ht="15" customHeight="1" x14ac:dyDescent="0.25">
      <c r="A8" s="6" t="s">
        <v>21</v>
      </c>
      <c r="B8" s="8">
        <v>-250.7</v>
      </c>
      <c r="C8" s="7">
        <v>1593.37</v>
      </c>
      <c r="D8" s="7">
        <v>2900</v>
      </c>
      <c r="E8" s="7">
        <v>3653</v>
      </c>
      <c r="F8" s="7">
        <v>4027.42</v>
      </c>
      <c r="G8" s="7">
        <v>4628.5</v>
      </c>
      <c r="H8" s="7">
        <v>5339.16</v>
      </c>
      <c r="I8" s="7">
        <v>5988.86</v>
      </c>
    </row>
    <row r="9" spans="1:9" ht="15" customHeight="1" x14ac:dyDescent="0.25">
      <c r="A9" s="4" t="s">
        <v>22</v>
      </c>
      <c r="B9" s="9">
        <v>-3590.1</v>
      </c>
      <c r="C9" s="5">
        <v>429.3</v>
      </c>
      <c r="D9" s="5">
        <v>1802.1</v>
      </c>
      <c r="E9" s="5">
        <v>1518</v>
      </c>
      <c r="F9" s="5">
        <v>2661.26</v>
      </c>
      <c r="G9" s="5">
        <v>3153.83</v>
      </c>
      <c r="H9" s="5">
        <v>3764.17</v>
      </c>
      <c r="I9" s="5">
        <v>4547.96</v>
      </c>
    </row>
    <row r="10" spans="1:9" ht="15" customHeight="1" x14ac:dyDescent="0.25">
      <c r="A10" s="6" t="s">
        <v>23</v>
      </c>
      <c r="B10" s="8">
        <v>-4681.8999999999996</v>
      </c>
      <c r="C10" s="8">
        <v>-300.2</v>
      </c>
      <c r="D10" s="7">
        <v>1988.92</v>
      </c>
      <c r="E10" s="7">
        <v>2102</v>
      </c>
      <c r="F10" s="7">
        <v>3313.63</v>
      </c>
      <c r="G10" s="7">
        <v>3856.94</v>
      </c>
      <c r="H10" s="7">
        <v>4483.72</v>
      </c>
      <c r="I10" s="7">
        <v>5323.44</v>
      </c>
    </row>
    <row r="11" spans="1:9" ht="15" customHeight="1" x14ac:dyDescent="0.25">
      <c r="A11" s="4" t="s">
        <v>24</v>
      </c>
      <c r="B11" s="9">
        <v>-97.2</v>
      </c>
      <c r="C11" s="5">
        <v>51.8</v>
      </c>
      <c r="D11" s="5">
        <v>96</v>
      </c>
      <c r="E11" s="9">
        <v>-2690</v>
      </c>
      <c r="F11" s="5">
        <v>512.22299999999996</v>
      </c>
      <c r="G11" s="5">
        <v>637.89499999999998</v>
      </c>
      <c r="H11" s="5">
        <v>790.73299999999995</v>
      </c>
      <c r="I11" s="5">
        <v>1000.53</v>
      </c>
    </row>
    <row r="12" spans="1:9" ht="15" customHeight="1" x14ac:dyDescent="0.25">
      <c r="A12" s="6" t="s">
        <v>25</v>
      </c>
      <c r="B12" s="8">
        <v>-4584.72</v>
      </c>
      <c r="C12" s="8">
        <v>-352.03399999999999</v>
      </c>
      <c r="D12" s="7">
        <v>1893</v>
      </c>
      <c r="E12" s="7">
        <v>4792</v>
      </c>
      <c r="F12" s="7">
        <v>2836.99</v>
      </c>
      <c r="G12" s="7">
        <v>3239.33</v>
      </c>
      <c r="H12" s="7">
        <v>3765.37</v>
      </c>
      <c r="I12" s="7">
        <v>4237.6899999999996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1F9-8DDC-4DC8-8356-B4FE7EFFE6BC}">
  <sheetPr>
    <outlinePr summaryBelow="0" summaryRight="0"/>
  </sheetPr>
  <dimension ref="A1:H56"/>
  <sheetViews>
    <sheetView workbookViewId="0">
      <selection activeCell="E12" sqref="E12"/>
    </sheetView>
  </sheetViews>
  <sheetFormatPr defaultColWidth="9.109375" defaultRowHeight="15" customHeight="1" outlineLevelRow="3" x14ac:dyDescent="0.25"/>
  <cols>
    <col min="1" max="1" width="55.109375" style="2" customWidth="1"/>
    <col min="2" max="8" width="8" style="2" customWidth="1"/>
    <col min="9" max="16384" width="9.109375" style="2"/>
  </cols>
  <sheetData>
    <row r="1" spans="1:8" ht="15" customHeight="1" x14ac:dyDescent="0.25">
      <c r="A1" s="1" t="s">
        <v>26</v>
      </c>
    </row>
    <row r="2" spans="1:8" ht="15" customHeight="1" x14ac:dyDescent="0.25">
      <c r="A2" s="10" t="s">
        <v>27</v>
      </c>
    </row>
    <row r="3" spans="1:8" ht="15" customHeight="1" x14ac:dyDescent="0.25">
      <c r="A3" s="11"/>
      <c r="B3" s="11"/>
      <c r="C3" s="11"/>
      <c r="D3" s="11"/>
      <c r="E3" s="11"/>
      <c r="F3" s="11"/>
      <c r="G3" s="11"/>
      <c r="H3" s="11"/>
    </row>
    <row r="5" spans="1:8" ht="15" customHeight="1" x14ac:dyDescent="0.25">
      <c r="A5" s="3" t="s">
        <v>28</v>
      </c>
      <c r="B5" s="3"/>
      <c r="C5" s="3"/>
      <c r="D5" s="3"/>
      <c r="E5" s="3"/>
      <c r="F5" s="3"/>
      <c r="G5" s="3"/>
      <c r="H5" s="3"/>
    </row>
    <row r="6" spans="1:8" ht="15" customHeight="1" x14ac:dyDescent="0.25">
      <c r="A6" s="3" t="s">
        <v>29</v>
      </c>
      <c r="B6" s="3"/>
      <c r="C6" s="3"/>
      <c r="D6" s="3"/>
      <c r="E6" s="3"/>
      <c r="F6" s="3"/>
      <c r="G6" s="3"/>
      <c r="H6" s="3"/>
    </row>
    <row r="7" spans="1:8" ht="15" customHeight="1" x14ac:dyDescent="0.25">
      <c r="A7" s="3" t="s">
        <v>30</v>
      </c>
      <c r="B7" s="3"/>
      <c r="C7" s="3"/>
      <c r="D7" s="3"/>
      <c r="E7" s="3"/>
      <c r="F7" s="3"/>
      <c r="G7" s="3"/>
      <c r="H7" s="3"/>
    </row>
    <row r="8" spans="1:8" ht="15" customHeight="1" x14ac:dyDescent="0.25">
      <c r="A8" s="3"/>
      <c r="B8" s="3" t="s">
        <v>31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37</v>
      </c>
    </row>
    <row r="9" spans="1:8" ht="15" customHeight="1" x14ac:dyDescent="0.25">
      <c r="A9" s="12" t="s">
        <v>18</v>
      </c>
      <c r="B9" s="13">
        <v>2561.721</v>
      </c>
      <c r="C9" s="13">
        <v>3651.9850000000001</v>
      </c>
      <c r="D9" s="13">
        <v>4805.2389999999996</v>
      </c>
      <c r="E9" s="13">
        <v>3378.1990000000001</v>
      </c>
      <c r="F9" s="13">
        <v>5991.76</v>
      </c>
      <c r="G9" s="13">
        <v>8399</v>
      </c>
      <c r="H9" s="13">
        <v>9917</v>
      </c>
    </row>
    <row r="10" spans="1:8" ht="15" customHeight="1" outlineLevel="1" x14ac:dyDescent="0.25">
      <c r="A10" s="14" t="s">
        <v>38</v>
      </c>
      <c r="B10" s="15">
        <v>1043.4290000000001</v>
      </c>
      <c r="C10" s="15">
        <v>1473.2339999999999</v>
      </c>
      <c r="D10" s="15">
        <v>2011.3869999999999</v>
      </c>
      <c r="E10" s="15">
        <v>1753.943</v>
      </c>
      <c r="F10" s="15">
        <v>2002.89</v>
      </c>
      <c r="G10" s="15">
        <v>2540</v>
      </c>
      <c r="H10" s="15">
        <v>2889</v>
      </c>
    </row>
    <row r="11" spans="1:8" ht="15" customHeight="1" outlineLevel="2" x14ac:dyDescent="0.25">
      <c r="A11" s="16" t="s">
        <v>39</v>
      </c>
      <c r="B11" s="17">
        <v>964.08699999999999</v>
      </c>
      <c r="C11" s="17">
        <v>1390.8330000000001</v>
      </c>
      <c r="D11" s="17">
        <v>1897.2249999999999</v>
      </c>
      <c r="E11" s="17">
        <v>1628.067</v>
      </c>
      <c r="F11" s="17">
        <v>1827.39</v>
      </c>
      <c r="G11" s="17">
        <v>2450.6999999999998</v>
      </c>
      <c r="H11" s="17">
        <v>2845</v>
      </c>
    </row>
    <row r="12" spans="1:8" ht="15" customHeight="1" outlineLevel="2" x14ac:dyDescent="0.25">
      <c r="A12" s="18" t="s">
        <v>40</v>
      </c>
      <c r="B12" s="15">
        <v>79.341999999999999</v>
      </c>
      <c r="C12" s="15">
        <v>82.400999999999996</v>
      </c>
      <c r="D12" s="15">
        <v>114.16200000000001</v>
      </c>
      <c r="E12" s="15">
        <v>125.876</v>
      </c>
      <c r="F12" s="15">
        <v>175.5</v>
      </c>
      <c r="G12" s="15">
        <v>89.3</v>
      </c>
      <c r="H12" s="15">
        <v>44</v>
      </c>
    </row>
    <row r="13" spans="1:8" ht="15" customHeight="1" outlineLevel="3" x14ac:dyDescent="0.25">
      <c r="A13" s="19" t="s">
        <v>41</v>
      </c>
      <c r="B13" s="17">
        <v>42.942</v>
      </c>
      <c r="C13" s="17">
        <v>60.401000000000003</v>
      </c>
      <c r="D13" s="17">
        <v>68.061999999999998</v>
      </c>
      <c r="E13" s="17">
        <v>89.676000000000002</v>
      </c>
      <c r="F13" s="17">
        <v>151.9</v>
      </c>
      <c r="G13" s="17">
        <v>70.2</v>
      </c>
      <c r="H13" s="17">
        <v>31</v>
      </c>
    </row>
    <row r="14" spans="1:8" ht="15" customHeight="1" outlineLevel="3" x14ac:dyDescent="0.25">
      <c r="A14" s="20" t="s">
        <v>42</v>
      </c>
      <c r="B14" s="21">
        <v>36.4</v>
      </c>
      <c r="C14" s="21">
        <v>22</v>
      </c>
      <c r="D14" s="21">
        <v>46.1</v>
      </c>
      <c r="E14" s="21">
        <v>36.200000000000003</v>
      </c>
      <c r="F14" s="21">
        <v>23.6</v>
      </c>
      <c r="G14" s="21">
        <v>19.100000000000001</v>
      </c>
      <c r="H14" s="21">
        <v>13</v>
      </c>
    </row>
    <row r="15" spans="1:8" ht="15" customHeight="1" x14ac:dyDescent="0.25">
      <c r="A15" s="12" t="s">
        <v>20</v>
      </c>
      <c r="B15" s="13">
        <v>1518.2919999999999</v>
      </c>
      <c r="C15" s="13">
        <v>2178.7510000000002</v>
      </c>
      <c r="D15" s="13">
        <v>2793.8519999999999</v>
      </c>
      <c r="E15" s="13">
        <v>1624.2560000000001</v>
      </c>
      <c r="F15" s="13">
        <v>3988.87</v>
      </c>
      <c r="G15" s="13">
        <v>5859</v>
      </c>
      <c r="H15" s="13">
        <v>7028</v>
      </c>
    </row>
    <row r="16" spans="1:8" ht="15" customHeight="1" outlineLevel="1" x14ac:dyDescent="0.25">
      <c r="A16" s="14" t="s">
        <v>43</v>
      </c>
      <c r="B16" s="15">
        <v>1599.654</v>
      </c>
      <c r="C16" s="15">
        <v>2160.0070000000001</v>
      </c>
      <c r="D16" s="15">
        <v>3291.4949999999999</v>
      </c>
      <c r="E16" s="15">
        <v>5063.0479999999998</v>
      </c>
      <c r="F16" s="15">
        <v>3435.4560000000001</v>
      </c>
      <c r="G16" s="15">
        <v>3980</v>
      </c>
      <c r="H16" s="15">
        <v>5507</v>
      </c>
    </row>
    <row r="17" spans="1:8" ht="15" customHeight="1" outlineLevel="2" x14ac:dyDescent="0.25">
      <c r="A17" s="16" t="s">
        <v>44</v>
      </c>
      <c r="B17" s="17">
        <v>400.74900000000002</v>
      </c>
      <c r="C17" s="17">
        <v>579.19299999999998</v>
      </c>
      <c r="D17" s="17">
        <v>976.69500000000005</v>
      </c>
      <c r="E17" s="17">
        <v>2752.8719999999998</v>
      </c>
      <c r="F17" s="17">
        <v>1425.048</v>
      </c>
      <c r="G17" s="17">
        <v>1502</v>
      </c>
      <c r="H17" s="17">
        <v>1722</v>
      </c>
    </row>
    <row r="18" spans="1:8" ht="15" customHeight="1" outlineLevel="2" x14ac:dyDescent="0.25">
      <c r="A18" s="22" t="s">
        <v>45</v>
      </c>
      <c r="B18" s="21">
        <v>1198.905</v>
      </c>
      <c r="C18" s="21">
        <v>1580.8140000000001</v>
      </c>
      <c r="D18" s="21">
        <v>2314.8000000000002</v>
      </c>
      <c r="E18" s="21">
        <v>2310.1759999999999</v>
      </c>
      <c r="F18" s="21">
        <v>2010.4079999999999</v>
      </c>
      <c r="G18" s="21">
        <v>2478</v>
      </c>
      <c r="H18" s="21">
        <v>3785</v>
      </c>
    </row>
    <row r="19" spans="1:8" ht="15" customHeight="1" x14ac:dyDescent="0.25">
      <c r="A19" s="12" t="s">
        <v>46</v>
      </c>
      <c r="B19" s="13">
        <v>-81.361999999999995</v>
      </c>
      <c r="C19" s="13">
        <v>18.744</v>
      </c>
      <c r="D19" s="13">
        <v>-497.64299999999997</v>
      </c>
      <c r="E19" s="13">
        <v>-3438.7919999999999</v>
      </c>
      <c r="F19" s="13">
        <v>553.41399999999999</v>
      </c>
      <c r="G19" s="13">
        <v>1879</v>
      </c>
      <c r="H19" s="13">
        <v>1521</v>
      </c>
    </row>
    <row r="20" spans="1:8" ht="15" customHeight="1" outlineLevel="1" x14ac:dyDescent="0.25">
      <c r="A20" s="14" t="s">
        <v>47</v>
      </c>
      <c r="B20" s="15">
        <v>38.665999999999997</v>
      </c>
      <c r="C20" s="15">
        <v>54.432000000000002</v>
      </c>
      <c r="D20" s="15">
        <v>104.80800000000001</v>
      </c>
      <c r="E20" s="15">
        <v>-844.803</v>
      </c>
      <c r="F20" s="15">
        <v>-619.73099999999999</v>
      </c>
      <c r="G20" s="15">
        <v>224.5</v>
      </c>
      <c r="H20" s="15">
        <v>673</v>
      </c>
    </row>
    <row r="21" spans="1:8" ht="15" customHeight="1" outlineLevel="2" x14ac:dyDescent="0.25">
      <c r="A21" s="16" t="s">
        <v>48</v>
      </c>
      <c r="B21" s="17">
        <v>32.101999999999997</v>
      </c>
      <c r="C21" s="17">
        <v>66.793000000000006</v>
      </c>
      <c r="D21" s="17">
        <v>85.902000000000001</v>
      </c>
      <c r="E21" s="17">
        <v>27.117000000000001</v>
      </c>
      <c r="F21" s="17">
        <v>12.734</v>
      </c>
      <c r="G21" s="17">
        <v>186</v>
      </c>
      <c r="H21" s="17">
        <v>721</v>
      </c>
    </row>
    <row r="22" spans="1:8" ht="15" customHeight="1" outlineLevel="2" x14ac:dyDescent="0.25">
      <c r="A22" s="22" t="s">
        <v>49</v>
      </c>
      <c r="B22" s="23">
        <v>-0.8</v>
      </c>
      <c r="C22" s="23">
        <v>-3.2</v>
      </c>
      <c r="D22" s="23">
        <v>-6</v>
      </c>
      <c r="E22" s="23">
        <v>-8.1999999999999993</v>
      </c>
      <c r="F22" s="23">
        <v>-3.5</v>
      </c>
      <c r="G22" s="23">
        <v>-5.4</v>
      </c>
      <c r="H22" s="23">
        <v>-6</v>
      </c>
    </row>
    <row r="23" spans="1:8" ht="15" customHeight="1" outlineLevel="2" x14ac:dyDescent="0.25">
      <c r="A23" s="16" t="s">
        <v>50</v>
      </c>
      <c r="B23" s="17">
        <v>7.3639999999999999</v>
      </c>
      <c r="C23" s="24">
        <v>-9.1609999999999996</v>
      </c>
      <c r="D23" s="17">
        <v>24.905999999999999</v>
      </c>
      <c r="E23" s="24">
        <v>-863.72</v>
      </c>
      <c r="F23" s="24">
        <v>-628.96500000000003</v>
      </c>
      <c r="G23" s="17">
        <v>43.9</v>
      </c>
      <c r="H23" s="24">
        <v>-42</v>
      </c>
    </row>
    <row r="24" spans="1:8" ht="15" customHeight="1" outlineLevel="1" x14ac:dyDescent="0.25">
      <c r="A24" s="14" t="s">
        <v>51</v>
      </c>
      <c r="B24" s="15">
        <v>16.402999999999999</v>
      </c>
      <c r="C24" s="15">
        <v>26.143000000000001</v>
      </c>
      <c r="D24" s="15">
        <v>9.968</v>
      </c>
      <c r="E24" s="15">
        <v>171.68799999999999</v>
      </c>
      <c r="F24" s="15">
        <v>60.350999999999999</v>
      </c>
      <c r="G24" s="15">
        <v>24</v>
      </c>
      <c r="H24" s="15">
        <v>83</v>
      </c>
    </row>
    <row r="25" spans="1:8" ht="15" customHeight="1" outlineLevel="2" x14ac:dyDescent="0.25">
      <c r="A25" s="16" t="s">
        <v>52</v>
      </c>
      <c r="B25" s="17">
        <v>16.402999999999999</v>
      </c>
      <c r="C25" s="17">
        <v>26.143000000000001</v>
      </c>
      <c r="D25" s="17">
        <v>9.968</v>
      </c>
      <c r="E25" s="17">
        <v>171.68799999999999</v>
      </c>
      <c r="F25" s="17">
        <v>60.350999999999999</v>
      </c>
      <c r="G25" s="17">
        <v>24</v>
      </c>
      <c r="H25" s="17">
        <v>83</v>
      </c>
    </row>
    <row r="26" spans="1:8" ht="15" customHeight="1" outlineLevel="1" x14ac:dyDescent="0.25">
      <c r="A26" s="14" t="s">
        <v>53</v>
      </c>
      <c r="B26" s="15">
        <v>0</v>
      </c>
      <c r="C26" s="15">
        <v>0</v>
      </c>
      <c r="D26" s="15">
        <v>8.9</v>
      </c>
      <c r="E26" s="15">
        <v>226.655</v>
      </c>
      <c r="F26" s="15">
        <v>173.53899999999999</v>
      </c>
      <c r="G26" s="15">
        <v>90.5</v>
      </c>
      <c r="H26" s="15">
        <v>9</v>
      </c>
    </row>
    <row r="27" spans="1:8" ht="15" customHeight="1" outlineLevel="2" x14ac:dyDescent="0.25">
      <c r="A27" s="25" t="s">
        <v>54</v>
      </c>
      <c r="B27" s="12"/>
      <c r="C27" s="12"/>
      <c r="D27" s="13">
        <v>9.8000000000000007</v>
      </c>
      <c r="E27" s="13">
        <v>29</v>
      </c>
      <c r="F27" s="13">
        <v>3.081</v>
      </c>
      <c r="G27" s="12"/>
      <c r="H27" s="12"/>
    </row>
    <row r="28" spans="1:8" ht="15" customHeight="1" outlineLevel="3" x14ac:dyDescent="0.25">
      <c r="A28" s="20" t="s">
        <v>55</v>
      </c>
      <c r="B28" s="6"/>
      <c r="C28" s="6"/>
      <c r="D28" s="21">
        <v>9.8000000000000007</v>
      </c>
      <c r="E28" s="21">
        <v>29</v>
      </c>
      <c r="F28" s="21">
        <v>3.081</v>
      </c>
      <c r="G28" s="6"/>
      <c r="H28" s="6"/>
    </row>
    <row r="29" spans="1:8" ht="15" customHeight="1" outlineLevel="2" x14ac:dyDescent="0.25">
      <c r="A29" s="16" t="s">
        <v>56</v>
      </c>
      <c r="B29" s="17">
        <v>0</v>
      </c>
      <c r="C29" s="17">
        <v>0</v>
      </c>
      <c r="D29" s="17">
        <v>3.9</v>
      </c>
      <c r="E29" s="17">
        <v>151.35499999999999</v>
      </c>
      <c r="F29" s="17">
        <v>124.09699999999999</v>
      </c>
      <c r="G29" s="17">
        <v>77</v>
      </c>
      <c r="H29" s="17">
        <v>3</v>
      </c>
    </row>
    <row r="30" spans="1:8" ht="15" customHeight="1" outlineLevel="2" x14ac:dyDescent="0.25">
      <c r="A30" s="18" t="s">
        <v>57</v>
      </c>
      <c r="B30" s="26"/>
      <c r="C30" s="26"/>
      <c r="D30" s="15">
        <v>4.8</v>
      </c>
      <c r="E30" s="15">
        <v>-46.3</v>
      </c>
      <c r="F30" s="15">
        <v>330.887</v>
      </c>
      <c r="G30" s="15">
        <v>-13.5</v>
      </c>
      <c r="H30" s="15">
        <v>-6</v>
      </c>
    </row>
    <row r="31" spans="1:8" ht="15" customHeight="1" outlineLevel="3" x14ac:dyDescent="0.25">
      <c r="A31" s="19" t="s">
        <v>58</v>
      </c>
      <c r="B31" s="4"/>
      <c r="C31" s="4"/>
      <c r="D31" s="4"/>
      <c r="E31" s="24">
        <v>-21.7</v>
      </c>
      <c r="F31" s="17">
        <v>3.5</v>
      </c>
      <c r="G31" s="17">
        <v>19.399999999999999</v>
      </c>
      <c r="H31" s="24">
        <v>-16</v>
      </c>
    </row>
    <row r="32" spans="1:8" ht="15" customHeight="1" outlineLevel="3" x14ac:dyDescent="0.25">
      <c r="A32" s="20" t="s">
        <v>59</v>
      </c>
      <c r="B32" s="6"/>
      <c r="C32" s="6"/>
      <c r="D32" s="21">
        <v>4.8</v>
      </c>
      <c r="E32" s="23">
        <v>-24.6</v>
      </c>
      <c r="F32" s="21">
        <v>327.387</v>
      </c>
      <c r="G32" s="23">
        <v>-32.9</v>
      </c>
      <c r="H32" s="21">
        <v>10</v>
      </c>
    </row>
    <row r="33" spans="1:8" ht="15" customHeight="1" outlineLevel="2" x14ac:dyDescent="0.25">
      <c r="A33" s="25" t="s">
        <v>60</v>
      </c>
      <c r="B33" s="12"/>
      <c r="C33" s="12"/>
      <c r="D33" s="12"/>
      <c r="E33" s="12"/>
      <c r="F33" s="13">
        <v>377.24799999999999</v>
      </c>
      <c r="G33" s="13">
        <v>0</v>
      </c>
      <c r="H33" s="13">
        <v>0</v>
      </c>
    </row>
    <row r="34" spans="1:8" ht="15" customHeight="1" outlineLevel="3" x14ac:dyDescent="0.25">
      <c r="A34" s="20" t="s">
        <v>61</v>
      </c>
      <c r="B34" s="6"/>
      <c r="C34" s="6"/>
      <c r="D34" s="6"/>
      <c r="E34" s="6"/>
      <c r="F34" s="21">
        <v>377.24799999999999</v>
      </c>
      <c r="G34" s="21">
        <v>0</v>
      </c>
      <c r="H34" s="21">
        <v>0</v>
      </c>
    </row>
    <row r="35" spans="1:8" ht="15" customHeight="1" x14ac:dyDescent="0.25">
      <c r="A35" s="12" t="s">
        <v>23</v>
      </c>
      <c r="B35" s="13">
        <v>-59.098999999999997</v>
      </c>
      <c r="C35" s="13">
        <v>47.033000000000001</v>
      </c>
      <c r="D35" s="13">
        <v>-411.70299999999997</v>
      </c>
      <c r="E35" s="13">
        <v>-4681.9380000000001</v>
      </c>
      <c r="F35" s="13">
        <v>-300.20699999999999</v>
      </c>
      <c r="G35" s="13">
        <v>1989</v>
      </c>
      <c r="H35" s="13">
        <v>2102</v>
      </c>
    </row>
    <row r="36" spans="1:8" ht="15" customHeight="1" outlineLevel="1" x14ac:dyDescent="0.25">
      <c r="A36" s="14" t="s">
        <v>62</v>
      </c>
      <c r="B36" s="15">
        <v>10.946999999999999</v>
      </c>
      <c r="C36" s="15">
        <v>63.893000000000001</v>
      </c>
      <c r="D36" s="15">
        <v>262.63600000000002</v>
      </c>
      <c r="E36" s="15">
        <v>-97.221999999999994</v>
      </c>
      <c r="F36" s="15">
        <v>51.826999999999998</v>
      </c>
      <c r="G36" s="15">
        <v>96</v>
      </c>
      <c r="H36" s="15">
        <v>-2690</v>
      </c>
    </row>
    <row r="37" spans="1:8" ht="15" customHeight="1" outlineLevel="2" x14ac:dyDescent="0.25">
      <c r="A37" s="16" t="s">
        <v>63</v>
      </c>
      <c r="B37" s="17">
        <v>4.13</v>
      </c>
      <c r="C37" s="17">
        <v>12.808999999999999</v>
      </c>
      <c r="D37" s="17">
        <v>229.60300000000001</v>
      </c>
      <c r="E37" s="24">
        <v>-92.07</v>
      </c>
      <c r="F37" s="17">
        <v>6.9420000000000002</v>
      </c>
      <c r="G37" s="17">
        <v>29</v>
      </c>
      <c r="H37" s="17">
        <v>27</v>
      </c>
    </row>
    <row r="38" spans="1:8" ht="15" customHeight="1" outlineLevel="2" x14ac:dyDescent="0.25">
      <c r="A38" s="22" t="s">
        <v>64</v>
      </c>
      <c r="B38" s="21">
        <v>10.997</v>
      </c>
      <c r="C38" s="21">
        <v>56.100999999999999</v>
      </c>
      <c r="D38" s="21">
        <v>38.659999999999997</v>
      </c>
      <c r="E38" s="21">
        <v>14.449</v>
      </c>
      <c r="F38" s="21">
        <v>33.950000000000003</v>
      </c>
      <c r="G38" s="21">
        <v>68</v>
      </c>
      <c r="H38" s="21">
        <v>158</v>
      </c>
    </row>
    <row r="39" spans="1:8" ht="15" customHeight="1" outlineLevel="2" x14ac:dyDescent="0.25">
      <c r="A39" s="16" t="s">
        <v>65</v>
      </c>
      <c r="B39" s="24">
        <v>-2.871</v>
      </c>
      <c r="C39" s="24">
        <v>-2.1059999999999999</v>
      </c>
      <c r="D39" s="24">
        <v>-1.8109999999999999</v>
      </c>
      <c r="E39" s="17">
        <v>0.10199999999999999</v>
      </c>
      <c r="F39" s="17">
        <v>9.8000000000000004E-2</v>
      </c>
      <c r="G39" s="17">
        <v>0</v>
      </c>
      <c r="H39" s="24">
        <v>-2871</v>
      </c>
    </row>
    <row r="40" spans="1:8" ht="15" customHeight="1" outlineLevel="2" x14ac:dyDescent="0.25">
      <c r="A40" s="22" t="s">
        <v>66</v>
      </c>
      <c r="B40" s="23">
        <v>-1.3089999999999999</v>
      </c>
      <c r="C40" s="23">
        <v>-2.911</v>
      </c>
      <c r="D40" s="23">
        <v>-3.8159999999999998</v>
      </c>
      <c r="E40" s="23">
        <v>-19.702999999999999</v>
      </c>
      <c r="F40" s="21">
        <v>10.837</v>
      </c>
      <c r="G40" s="23">
        <v>-1</v>
      </c>
      <c r="H40" s="23">
        <v>-4</v>
      </c>
    </row>
    <row r="41" spans="1:8" ht="15" customHeight="1" x14ac:dyDescent="0.25">
      <c r="A41" s="4" t="s">
        <v>67</v>
      </c>
      <c r="B41" s="24">
        <v>-70.046000000000006</v>
      </c>
      <c r="C41" s="24">
        <v>-16.86</v>
      </c>
      <c r="D41" s="24">
        <v>-674.33900000000006</v>
      </c>
      <c r="E41" s="24">
        <v>-4584.7160000000003</v>
      </c>
      <c r="F41" s="24">
        <v>-352.03399999999999</v>
      </c>
      <c r="G41" s="17">
        <v>1893</v>
      </c>
      <c r="H41" s="17">
        <v>4792</v>
      </c>
    </row>
    <row r="42" spans="1:8" ht="15" customHeight="1" x14ac:dyDescent="0.25">
      <c r="A42" s="26" t="s">
        <v>25</v>
      </c>
      <c r="B42" s="15">
        <v>-70.046000000000006</v>
      </c>
      <c r="C42" s="15">
        <v>-16.86</v>
      </c>
      <c r="D42" s="15">
        <v>-674.33900000000006</v>
      </c>
      <c r="E42" s="15">
        <v>-4584.7160000000003</v>
      </c>
      <c r="F42" s="15">
        <v>-352.03399999999999</v>
      </c>
      <c r="G42" s="15">
        <v>1893</v>
      </c>
      <c r="H42" s="15">
        <v>4792</v>
      </c>
    </row>
    <row r="43" spans="1:8" ht="15" customHeight="1" outlineLevel="1" x14ac:dyDescent="0.25">
      <c r="A43" s="27" t="s">
        <v>68</v>
      </c>
      <c r="B43" s="24">
        <v>-70.046000000000006</v>
      </c>
      <c r="C43" s="24">
        <v>-16.86</v>
      </c>
      <c r="D43" s="24">
        <v>-674.33900000000006</v>
      </c>
      <c r="E43" s="24">
        <v>-4584.7160000000003</v>
      </c>
      <c r="F43" s="24">
        <v>-352.03399999999999</v>
      </c>
      <c r="G43" s="17">
        <v>1893</v>
      </c>
      <c r="H43" s="17">
        <v>4792</v>
      </c>
    </row>
    <row r="44" spans="1:8" ht="15" customHeight="1" x14ac:dyDescent="0.25">
      <c r="A44" s="26" t="s">
        <v>69</v>
      </c>
      <c r="B44" s="26"/>
      <c r="C44" s="26"/>
      <c r="D44" s="26"/>
      <c r="E44" s="26"/>
      <c r="F44" s="26"/>
      <c r="G44" s="26"/>
      <c r="H44" s="26"/>
    </row>
    <row r="45" spans="1:8" ht="15" customHeight="1" outlineLevel="1" x14ac:dyDescent="0.25">
      <c r="A45" s="28" t="s">
        <v>70</v>
      </c>
      <c r="B45" s="29">
        <v>-0.118281</v>
      </c>
      <c r="C45" s="29">
        <v>-2.8469999999999999E-2</v>
      </c>
      <c r="D45" s="29">
        <v>-1.1281829999999999</v>
      </c>
      <c r="E45" s="29">
        <v>-7.3866480000000001</v>
      </c>
      <c r="F45" s="29">
        <v>-0.37434699999999999</v>
      </c>
      <c r="G45" s="29">
        <v>2.8769849999999999</v>
      </c>
      <c r="H45" s="29">
        <v>7.2481869999999997</v>
      </c>
    </row>
    <row r="46" spans="1:8" ht="15" customHeight="1" outlineLevel="2" x14ac:dyDescent="0.25">
      <c r="A46" s="22" t="s">
        <v>71</v>
      </c>
      <c r="B46" s="30">
        <v>592.19900700000005</v>
      </c>
      <c r="C46" s="30">
        <v>592.19900700000005</v>
      </c>
      <c r="D46" s="30">
        <v>592.19900700000005</v>
      </c>
      <c r="E46" s="30">
        <v>599.19703700000002</v>
      </c>
      <c r="F46" s="30">
        <v>615.89099999999996</v>
      </c>
      <c r="G46" s="30">
        <v>637</v>
      </c>
      <c r="H46" s="30">
        <v>637</v>
      </c>
    </row>
    <row r="47" spans="1:8" ht="15" customHeight="1" outlineLevel="2" x14ac:dyDescent="0.25">
      <c r="A47" s="16" t="s">
        <v>72</v>
      </c>
      <c r="B47" s="4"/>
      <c r="C47" s="31">
        <v>592.19900700000005</v>
      </c>
      <c r="D47" s="31">
        <v>592.19900700000005</v>
      </c>
      <c r="E47" s="31">
        <v>599.19703700000002</v>
      </c>
      <c r="F47" s="31">
        <v>633.524</v>
      </c>
      <c r="G47" s="31">
        <v>631</v>
      </c>
      <c r="H47" s="31">
        <v>638</v>
      </c>
    </row>
    <row r="48" spans="1:8" ht="15" customHeight="1" outlineLevel="1" x14ac:dyDescent="0.25">
      <c r="A48" s="14" t="s">
        <v>73</v>
      </c>
      <c r="B48" s="32">
        <v>-0.1183</v>
      </c>
      <c r="C48" s="32">
        <v>-2.8500000000000001E-2</v>
      </c>
      <c r="D48" s="32">
        <v>-1.1387</v>
      </c>
      <c r="E48" s="32">
        <v>-7.6513999999999998</v>
      </c>
      <c r="F48" s="32">
        <v>-0.5716</v>
      </c>
      <c r="G48" s="32">
        <v>2.7837999999999998</v>
      </c>
      <c r="H48" s="32">
        <v>7.2386999999999997</v>
      </c>
    </row>
    <row r="49" spans="1:8" ht="15" customHeight="1" outlineLevel="2" x14ac:dyDescent="0.25">
      <c r="A49" s="16" t="s">
        <v>74</v>
      </c>
      <c r="B49" s="31">
        <v>592.19900700000005</v>
      </c>
      <c r="C49" s="31">
        <v>592.19900700000005</v>
      </c>
      <c r="D49" s="31">
        <v>592.19900700000005</v>
      </c>
      <c r="E49" s="31">
        <v>599.19703700000002</v>
      </c>
      <c r="F49" s="31">
        <v>615.89099999999996</v>
      </c>
      <c r="G49" s="31">
        <v>680</v>
      </c>
      <c r="H49" s="31">
        <v>662</v>
      </c>
    </row>
    <row r="50" spans="1:8" ht="15" customHeight="1" outlineLevel="2" x14ac:dyDescent="0.25">
      <c r="A50" s="22" t="s">
        <v>72</v>
      </c>
      <c r="B50" s="6"/>
      <c r="C50" s="30">
        <v>592.19900700000005</v>
      </c>
      <c r="D50" s="30">
        <v>592.19900700000005</v>
      </c>
      <c r="E50" s="30">
        <v>599.19703700000002</v>
      </c>
      <c r="F50" s="30">
        <v>633.524</v>
      </c>
      <c r="G50" s="30">
        <v>631</v>
      </c>
      <c r="H50" s="30">
        <v>638</v>
      </c>
    </row>
    <row r="51" spans="1:8" ht="15" customHeight="1" outlineLevel="1" x14ac:dyDescent="0.25">
      <c r="A51" s="27" t="s">
        <v>75</v>
      </c>
      <c r="B51" s="4"/>
      <c r="C51" s="4"/>
      <c r="D51" s="31">
        <v>47.61</v>
      </c>
      <c r="E51" s="31">
        <v>7.0439999999999996</v>
      </c>
      <c r="F51" s="31">
        <v>63.536000000000001</v>
      </c>
      <c r="G51" s="31">
        <v>57.37</v>
      </c>
      <c r="H51" s="31">
        <v>13.98</v>
      </c>
    </row>
    <row r="52" spans="1:8" ht="15" customHeight="1" x14ac:dyDescent="0.25">
      <c r="A52" s="26" t="s">
        <v>21</v>
      </c>
      <c r="B52" s="26"/>
      <c r="C52" s="26"/>
      <c r="D52" s="26"/>
      <c r="E52" s="26"/>
      <c r="F52" s="26"/>
      <c r="G52" s="26"/>
      <c r="H52" s="26"/>
    </row>
    <row r="53" spans="1:8" ht="15" customHeight="1" outlineLevel="1" x14ac:dyDescent="0.25">
      <c r="A53" s="28" t="s">
        <v>21</v>
      </c>
      <c r="B53" s="13">
        <v>-2.02</v>
      </c>
      <c r="C53" s="13">
        <v>101.145</v>
      </c>
      <c r="D53" s="13">
        <v>-383.48099999999999</v>
      </c>
      <c r="E53" s="13">
        <v>-3312.9160000000002</v>
      </c>
      <c r="F53" s="13">
        <v>728.91399999999999</v>
      </c>
      <c r="G53" s="13">
        <v>1968.3</v>
      </c>
      <c r="H53" s="13">
        <v>1565</v>
      </c>
    </row>
    <row r="54" spans="1:8" ht="15" customHeight="1" outlineLevel="2" x14ac:dyDescent="0.25">
      <c r="A54" s="22" t="s">
        <v>76</v>
      </c>
      <c r="B54" s="23">
        <v>-81.361999999999995</v>
      </c>
      <c r="C54" s="21">
        <v>18.744</v>
      </c>
      <c r="D54" s="23">
        <v>-497.64299999999997</v>
      </c>
      <c r="E54" s="23">
        <v>-3438.7919999999999</v>
      </c>
      <c r="F54" s="21">
        <v>553.41399999999999</v>
      </c>
      <c r="G54" s="21">
        <v>1879</v>
      </c>
      <c r="H54" s="21">
        <v>1521</v>
      </c>
    </row>
    <row r="55" spans="1:8" ht="15" customHeight="1" outlineLevel="2" x14ac:dyDescent="0.25">
      <c r="A55" s="16" t="s">
        <v>40</v>
      </c>
      <c r="B55" s="17">
        <v>79.341999999999999</v>
      </c>
      <c r="C55" s="17">
        <v>82.400999999999996</v>
      </c>
      <c r="D55" s="17">
        <v>114.16200000000001</v>
      </c>
      <c r="E55" s="17">
        <v>125.876</v>
      </c>
      <c r="F55" s="17">
        <v>175.5</v>
      </c>
      <c r="G55" s="17">
        <v>89.3</v>
      </c>
      <c r="H55" s="17">
        <v>44</v>
      </c>
    </row>
    <row r="56" spans="1:8" ht="15" customHeight="1" x14ac:dyDescent="0.25">
      <c r="A56" s="33" t="s">
        <v>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50E5-3F96-4DBB-B6B4-D772F35D00E7}">
  <sheetPr>
    <outlinePr summaryBelow="0" summaryRight="0"/>
  </sheetPr>
  <dimension ref="A1:H54"/>
  <sheetViews>
    <sheetView workbookViewId="0">
      <selection activeCell="E18" sqref="E18"/>
    </sheetView>
  </sheetViews>
  <sheetFormatPr defaultColWidth="9.109375" defaultRowHeight="15" customHeight="1" outlineLevelRow="3" x14ac:dyDescent="0.25"/>
  <cols>
    <col min="1" max="1" width="55.109375" style="2" customWidth="1"/>
    <col min="2" max="8" width="8" style="2" customWidth="1"/>
    <col min="9" max="16384" width="9.109375" style="2"/>
  </cols>
  <sheetData>
    <row r="1" spans="1:8" ht="15" customHeight="1" x14ac:dyDescent="0.25">
      <c r="A1" s="1" t="s">
        <v>26</v>
      </c>
    </row>
    <row r="2" spans="1:8" ht="15" customHeight="1" x14ac:dyDescent="0.25">
      <c r="A2" s="10" t="s">
        <v>78</v>
      </c>
    </row>
    <row r="3" spans="1:8" ht="15" customHeight="1" x14ac:dyDescent="0.25">
      <c r="A3" s="11"/>
      <c r="B3" s="11"/>
      <c r="C3" s="11"/>
      <c r="D3" s="11"/>
      <c r="E3" s="11"/>
      <c r="F3" s="11"/>
      <c r="G3" s="11"/>
      <c r="H3" s="11"/>
    </row>
    <row r="5" spans="1:8" ht="15" customHeight="1" x14ac:dyDescent="0.25">
      <c r="A5" s="3" t="s">
        <v>28</v>
      </c>
      <c r="B5" s="3"/>
      <c r="C5" s="3"/>
      <c r="D5" s="3"/>
      <c r="E5" s="3"/>
      <c r="F5" s="3"/>
      <c r="G5" s="3"/>
      <c r="H5" s="3"/>
    </row>
    <row r="6" spans="1:8" ht="15" customHeight="1" x14ac:dyDescent="0.25">
      <c r="A6" s="3" t="s">
        <v>29</v>
      </c>
      <c r="B6" s="3"/>
      <c r="C6" s="3"/>
      <c r="D6" s="3"/>
      <c r="E6" s="3"/>
      <c r="F6" s="3"/>
      <c r="G6" s="3"/>
      <c r="H6" s="3"/>
    </row>
    <row r="7" spans="1:8" ht="15" customHeight="1" x14ac:dyDescent="0.25">
      <c r="A7" s="3" t="s">
        <v>30</v>
      </c>
      <c r="B7" s="3"/>
      <c r="C7" s="3"/>
      <c r="D7" s="3"/>
      <c r="E7" s="3"/>
      <c r="F7" s="3"/>
      <c r="G7" s="3"/>
      <c r="H7" s="3"/>
    </row>
    <row r="8" spans="1:8" ht="15" customHeight="1" x14ac:dyDescent="0.25">
      <c r="A8" s="3"/>
      <c r="B8" s="3" t="s">
        <v>31</v>
      </c>
      <c r="C8" s="3" t="s">
        <v>32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37</v>
      </c>
    </row>
    <row r="9" spans="1:8" ht="15" customHeight="1" x14ac:dyDescent="0.25">
      <c r="A9" s="12" t="s">
        <v>79</v>
      </c>
      <c r="B9" s="12"/>
      <c r="C9" s="12"/>
      <c r="D9" s="12"/>
      <c r="E9" s="12"/>
      <c r="F9" s="12"/>
      <c r="G9" s="12"/>
      <c r="H9" s="12"/>
    </row>
    <row r="10" spans="1:8" ht="15" customHeight="1" outlineLevel="1" x14ac:dyDescent="0.25">
      <c r="A10" s="34" t="s">
        <v>80</v>
      </c>
      <c r="B10" s="23">
        <v>-70.046000000000006</v>
      </c>
      <c r="C10" s="23">
        <v>-16.86</v>
      </c>
      <c r="D10" s="23">
        <v>-674.33900000000006</v>
      </c>
      <c r="E10" s="23">
        <v>-4584.7160000000003</v>
      </c>
      <c r="F10" s="23">
        <v>-352.03399999999999</v>
      </c>
      <c r="G10" s="21">
        <v>1893</v>
      </c>
      <c r="H10" s="21">
        <v>4792</v>
      </c>
    </row>
    <row r="11" spans="1:8" ht="15" customHeight="1" outlineLevel="1" x14ac:dyDescent="0.25">
      <c r="A11" s="28" t="s">
        <v>81</v>
      </c>
      <c r="B11" s="13">
        <v>79.341999999999999</v>
      </c>
      <c r="C11" s="13">
        <v>82.400999999999996</v>
      </c>
      <c r="D11" s="13">
        <v>114.16200000000001</v>
      </c>
      <c r="E11" s="13">
        <v>125.876</v>
      </c>
      <c r="F11" s="13">
        <v>138.31899999999999</v>
      </c>
      <c r="G11" s="13">
        <v>81</v>
      </c>
      <c r="H11" s="13">
        <v>44</v>
      </c>
    </row>
    <row r="12" spans="1:8" ht="15" customHeight="1" outlineLevel="2" x14ac:dyDescent="0.25">
      <c r="A12" s="22" t="s">
        <v>82</v>
      </c>
      <c r="B12" s="21">
        <v>42.942</v>
      </c>
      <c r="C12" s="21">
        <v>60.401000000000003</v>
      </c>
      <c r="D12" s="21">
        <v>68.061999999999998</v>
      </c>
      <c r="E12" s="21">
        <v>89.676000000000002</v>
      </c>
      <c r="F12" s="6"/>
      <c r="G12" s="6"/>
      <c r="H12" s="21">
        <v>31</v>
      </c>
    </row>
    <row r="13" spans="1:8" ht="15" customHeight="1" outlineLevel="2" x14ac:dyDescent="0.25">
      <c r="A13" s="16" t="s">
        <v>83</v>
      </c>
      <c r="B13" s="17">
        <v>36.4</v>
      </c>
      <c r="C13" s="17">
        <v>22</v>
      </c>
      <c r="D13" s="17">
        <v>46.1</v>
      </c>
      <c r="E13" s="17">
        <v>36.200000000000003</v>
      </c>
      <c r="F13" s="4"/>
      <c r="G13" s="4"/>
      <c r="H13" s="17">
        <v>13</v>
      </c>
    </row>
    <row r="14" spans="1:8" ht="15" customHeight="1" outlineLevel="1" x14ac:dyDescent="0.25">
      <c r="A14" s="14" t="s">
        <v>84</v>
      </c>
      <c r="B14" s="15">
        <v>-4.18</v>
      </c>
      <c r="C14" s="15">
        <v>-5.0170000000000003</v>
      </c>
      <c r="D14" s="15">
        <v>-5.6269999999999998</v>
      </c>
      <c r="E14" s="15">
        <v>-19.600999999999999</v>
      </c>
      <c r="F14" s="15">
        <v>10.935</v>
      </c>
      <c r="G14" s="15">
        <v>-1</v>
      </c>
      <c r="H14" s="15">
        <v>-2875</v>
      </c>
    </row>
    <row r="15" spans="1:8" ht="15" customHeight="1" outlineLevel="2" x14ac:dyDescent="0.25">
      <c r="A15" s="16" t="s">
        <v>85</v>
      </c>
      <c r="B15" s="24">
        <v>-4.18</v>
      </c>
      <c r="C15" s="24">
        <v>-5.0170000000000003</v>
      </c>
      <c r="D15" s="24">
        <v>-5.6269999999999998</v>
      </c>
      <c r="E15" s="24">
        <v>-19.600999999999999</v>
      </c>
      <c r="F15" s="17">
        <v>10.935</v>
      </c>
      <c r="G15" s="24">
        <v>-1</v>
      </c>
      <c r="H15" s="24">
        <v>-2875</v>
      </c>
    </row>
    <row r="16" spans="1:8" ht="15" customHeight="1" outlineLevel="1" x14ac:dyDescent="0.25">
      <c r="A16" s="34" t="s">
        <v>86</v>
      </c>
      <c r="B16" s="21">
        <v>62.906999999999996</v>
      </c>
      <c r="C16" s="21">
        <v>114.004</v>
      </c>
      <c r="D16" s="21">
        <v>168.149</v>
      </c>
      <c r="E16" s="21">
        <v>4133.3190000000004</v>
      </c>
      <c r="F16" s="21">
        <v>1754.5509999999999</v>
      </c>
      <c r="G16" s="21">
        <v>1138</v>
      </c>
      <c r="H16" s="21">
        <v>1203</v>
      </c>
    </row>
    <row r="17" spans="1:8" ht="15" customHeight="1" outlineLevel="1" x14ac:dyDescent="0.25">
      <c r="A17" s="27" t="s">
        <v>87</v>
      </c>
      <c r="B17" s="17">
        <v>68.022999999999996</v>
      </c>
      <c r="C17" s="17">
        <v>174.52799999999999</v>
      </c>
      <c r="D17" s="24">
        <v>-397.65499999999997</v>
      </c>
      <c r="E17" s="24">
        <v>-345.12200000000001</v>
      </c>
      <c r="F17" s="17">
        <v>1551.771</v>
      </c>
      <c r="G17" s="17">
        <v>3111</v>
      </c>
      <c r="H17" s="17">
        <v>3164</v>
      </c>
    </row>
    <row r="18" spans="1:8" ht="15" customHeight="1" outlineLevel="1" x14ac:dyDescent="0.25">
      <c r="A18" s="14" t="s">
        <v>88</v>
      </c>
      <c r="B18" s="15">
        <v>183.202</v>
      </c>
      <c r="C18" s="15">
        <v>421.029</v>
      </c>
      <c r="D18" s="15">
        <v>620.38199999999995</v>
      </c>
      <c r="E18" s="15">
        <v>-284.61</v>
      </c>
      <c r="F18" s="15">
        <v>637.923</v>
      </c>
      <c r="G18" s="15">
        <v>319</v>
      </c>
      <c r="H18" s="15">
        <v>720</v>
      </c>
    </row>
    <row r="19" spans="1:8" ht="15" customHeight="1" outlineLevel="2" x14ac:dyDescent="0.25">
      <c r="A19" s="16" t="s">
        <v>89</v>
      </c>
      <c r="B19" s="17">
        <v>11.757999999999999</v>
      </c>
      <c r="C19" s="17">
        <v>29.837</v>
      </c>
      <c r="D19" s="17">
        <v>75.715999999999994</v>
      </c>
      <c r="E19" s="24">
        <v>-73.111000000000004</v>
      </c>
      <c r="F19" s="17">
        <v>39.945999999999998</v>
      </c>
      <c r="G19" s="17">
        <v>20</v>
      </c>
      <c r="H19" s="4"/>
    </row>
    <row r="20" spans="1:8" ht="15" customHeight="1" outlineLevel="2" x14ac:dyDescent="0.25">
      <c r="A20" s="22" t="s">
        <v>90</v>
      </c>
      <c r="B20" s="21">
        <v>174.80799999999999</v>
      </c>
      <c r="C20" s="21">
        <v>348.10500000000002</v>
      </c>
      <c r="D20" s="21">
        <v>547.654</v>
      </c>
      <c r="E20" s="21">
        <v>43.756</v>
      </c>
      <c r="F20" s="21">
        <v>165.13</v>
      </c>
      <c r="G20" s="21">
        <v>273</v>
      </c>
      <c r="H20" s="21">
        <v>580</v>
      </c>
    </row>
    <row r="21" spans="1:8" ht="15" customHeight="1" outlineLevel="2" x14ac:dyDescent="0.25">
      <c r="A21" s="16" t="s">
        <v>91</v>
      </c>
      <c r="B21" s="24">
        <v>-3.3639999999999999</v>
      </c>
      <c r="C21" s="17">
        <v>43.087000000000003</v>
      </c>
      <c r="D21" s="24">
        <v>-2.988</v>
      </c>
      <c r="E21" s="24">
        <v>-255.255</v>
      </c>
      <c r="F21" s="17">
        <v>432.84699999999998</v>
      </c>
      <c r="G21" s="17">
        <v>26</v>
      </c>
      <c r="H21" s="17">
        <v>140</v>
      </c>
    </row>
    <row r="22" spans="1:8" ht="15" customHeight="1" outlineLevel="1" x14ac:dyDescent="0.25">
      <c r="A22" s="34" t="s">
        <v>92</v>
      </c>
      <c r="B22" s="21">
        <v>251.22499999999999</v>
      </c>
      <c r="C22" s="21">
        <v>595.55700000000002</v>
      </c>
      <c r="D22" s="21">
        <v>222.727</v>
      </c>
      <c r="E22" s="23">
        <v>-629.73199999999997</v>
      </c>
      <c r="F22" s="21">
        <v>2189.694</v>
      </c>
      <c r="G22" s="21">
        <v>3430</v>
      </c>
      <c r="H22" s="21">
        <v>3884</v>
      </c>
    </row>
    <row r="23" spans="1:8" ht="15" customHeight="1" x14ac:dyDescent="0.25">
      <c r="A23" s="12" t="s">
        <v>93</v>
      </c>
      <c r="B23" s="12"/>
      <c r="C23" s="12"/>
      <c r="D23" s="12"/>
      <c r="E23" s="12"/>
      <c r="F23" s="12"/>
      <c r="G23" s="12"/>
      <c r="H23" s="12"/>
    </row>
    <row r="24" spans="1:8" ht="15" customHeight="1" outlineLevel="1" x14ac:dyDescent="0.25">
      <c r="A24" s="14" t="s">
        <v>94</v>
      </c>
      <c r="B24" s="15">
        <v>-100.20399999999999</v>
      </c>
      <c r="C24" s="15">
        <v>-90.623999999999995</v>
      </c>
      <c r="D24" s="15">
        <v>-125.452</v>
      </c>
      <c r="E24" s="15">
        <v>-37.371000000000002</v>
      </c>
      <c r="F24" s="15">
        <v>-25.321999999999999</v>
      </c>
      <c r="G24" s="15">
        <v>-25</v>
      </c>
      <c r="H24" s="15">
        <v>0</v>
      </c>
    </row>
    <row r="25" spans="1:8" ht="15" customHeight="1" outlineLevel="2" x14ac:dyDescent="0.25">
      <c r="A25" s="16" t="s">
        <v>95</v>
      </c>
      <c r="B25" s="24">
        <v>-100.20399999999999</v>
      </c>
      <c r="C25" s="24">
        <v>-90.623999999999995</v>
      </c>
      <c r="D25" s="24">
        <v>-125.452</v>
      </c>
      <c r="E25" s="24">
        <v>-37.371000000000002</v>
      </c>
      <c r="F25" s="24">
        <v>-25.321999999999999</v>
      </c>
      <c r="G25" s="24">
        <v>-25</v>
      </c>
      <c r="H25" s="17">
        <v>0</v>
      </c>
    </row>
    <row r="26" spans="1:8" ht="15" customHeight="1" outlineLevel="1" x14ac:dyDescent="0.25">
      <c r="A26" s="34" t="s">
        <v>96</v>
      </c>
      <c r="B26" s="23">
        <v>-172.649</v>
      </c>
      <c r="C26" s="23">
        <v>-31.3</v>
      </c>
      <c r="D26" s="23">
        <v>-192.11600000000001</v>
      </c>
      <c r="E26" s="21">
        <v>0</v>
      </c>
      <c r="F26" s="21">
        <v>0</v>
      </c>
      <c r="G26" s="21">
        <v>0</v>
      </c>
      <c r="H26" s="21">
        <v>0</v>
      </c>
    </row>
    <row r="27" spans="1:8" ht="15" customHeight="1" outlineLevel="1" x14ac:dyDescent="0.25">
      <c r="A27" s="28" t="s">
        <v>97</v>
      </c>
      <c r="B27" s="13">
        <v>-516.09100000000001</v>
      </c>
      <c r="C27" s="13">
        <v>-542.95699999999999</v>
      </c>
      <c r="D27" s="13">
        <v>-63.252000000000002</v>
      </c>
      <c r="E27" s="13">
        <v>125.56100000000001</v>
      </c>
      <c r="F27" s="13">
        <v>-1327.133</v>
      </c>
      <c r="G27" s="13">
        <v>-1</v>
      </c>
      <c r="H27" s="13">
        <v>-928</v>
      </c>
    </row>
    <row r="28" spans="1:8" ht="15" customHeight="1" outlineLevel="2" x14ac:dyDescent="0.25">
      <c r="A28" s="22" t="s">
        <v>98</v>
      </c>
      <c r="B28" s="21">
        <v>1044.2460000000001</v>
      </c>
      <c r="C28" s="21">
        <v>1299.4280000000001</v>
      </c>
      <c r="D28" s="21">
        <v>1224.337</v>
      </c>
      <c r="E28" s="21">
        <v>3032.6640000000002</v>
      </c>
      <c r="F28" s="21">
        <v>4938.1880000000001</v>
      </c>
      <c r="G28" s="21">
        <v>4072</v>
      </c>
      <c r="H28" s="21">
        <v>3308</v>
      </c>
    </row>
    <row r="29" spans="1:8" ht="15" customHeight="1" outlineLevel="2" x14ac:dyDescent="0.25">
      <c r="A29" s="16" t="s">
        <v>99</v>
      </c>
      <c r="B29" s="17">
        <v>528.15499999999997</v>
      </c>
      <c r="C29" s="17">
        <v>756.471</v>
      </c>
      <c r="D29" s="17">
        <v>1161.085</v>
      </c>
      <c r="E29" s="17">
        <v>3158.2249999999999</v>
      </c>
      <c r="F29" s="17">
        <v>3611.0549999999998</v>
      </c>
      <c r="G29" s="17">
        <v>4071</v>
      </c>
      <c r="H29" s="17">
        <v>2380</v>
      </c>
    </row>
    <row r="30" spans="1:8" ht="15" customHeight="1" outlineLevel="1" x14ac:dyDescent="0.25">
      <c r="A30" s="14" t="s">
        <v>86</v>
      </c>
      <c r="B30" s="15">
        <v>0</v>
      </c>
      <c r="C30" s="15">
        <v>-3.29</v>
      </c>
      <c r="D30" s="15">
        <v>33.664999999999999</v>
      </c>
      <c r="E30" s="15">
        <v>-8.6</v>
      </c>
      <c r="F30" s="15">
        <v>0.5</v>
      </c>
      <c r="G30" s="15">
        <v>-2</v>
      </c>
      <c r="H30" s="15">
        <v>-114</v>
      </c>
    </row>
    <row r="31" spans="1:8" ht="15" customHeight="1" outlineLevel="2" x14ac:dyDescent="0.25">
      <c r="A31" s="16" t="s">
        <v>100</v>
      </c>
      <c r="B31" s="17">
        <v>0</v>
      </c>
      <c r="C31" s="24">
        <v>-3.29</v>
      </c>
      <c r="D31" s="17">
        <v>0</v>
      </c>
      <c r="E31" s="24">
        <v>-8.6</v>
      </c>
      <c r="F31" s="17">
        <v>0</v>
      </c>
      <c r="G31" s="24">
        <v>-2</v>
      </c>
      <c r="H31" s="24">
        <v>-114</v>
      </c>
    </row>
    <row r="32" spans="1:8" ht="15" customHeight="1" outlineLevel="2" x14ac:dyDescent="0.25">
      <c r="A32" s="22" t="s">
        <v>101</v>
      </c>
      <c r="B32" s="21">
        <v>0</v>
      </c>
      <c r="C32" s="21">
        <v>0</v>
      </c>
      <c r="D32" s="21">
        <v>33.664999999999999</v>
      </c>
      <c r="E32" s="21">
        <v>0</v>
      </c>
      <c r="F32" s="21">
        <v>0.5</v>
      </c>
      <c r="G32" s="21">
        <v>0</v>
      </c>
      <c r="H32" s="21">
        <v>0</v>
      </c>
    </row>
    <row r="33" spans="1:8" ht="15" customHeight="1" outlineLevel="1" x14ac:dyDescent="0.25">
      <c r="A33" s="27" t="s">
        <v>102</v>
      </c>
      <c r="B33" s="24">
        <v>-788.94399999999996</v>
      </c>
      <c r="C33" s="24">
        <v>-668.17100000000005</v>
      </c>
      <c r="D33" s="24">
        <v>-347.15499999999997</v>
      </c>
      <c r="E33" s="17">
        <v>79.59</v>
      </c>
      <c r="F33" s="24">
        <v>-1351.9549999999999</v>
      </c>
      <c r="G33" s="24">
        <v>-28</v>
      </c>
      <c r="H33" s="24">
        <v>-1042</v>
      </c>
    </row>
    <row r="34" spans="1:8" ht="15" customHeight="1" x14ac:dyDescent="0.25">
      <c r="A34" s="26" t="s">
        <v>103</v>
      </c>
      <c r="B34" s="26"/>
      <c r="C34" s="26"/>
      <c r="D34" s="26"/>
      <c r="E34" s="26"/>
      <c r="F34" s="26"/>
      <c r="G34" s="26"/>
      <c r="H34" s="26"/>
    </row>
    <row r="35" spans="1:8" ht="15" customHeight="1" outlineLevel="1" x14ac:dyDescent="0.25">
      <c r="A35" s="28" t="s">
        <v>104</v>
      </c>
      <c r="B35" s="35">
        <v>50.872</v>
      </c>
      <c r="C35" s="35">
        <v>16.042999999999999</v>
      </c>
      <c r="D35" s="35">
        <v>5.8730000000000002</v>
      </c>
      <c r="E35" s="35">
        <v>3665.944</v>
      </c>
      <c r="F35" s="35">
        <v>188.19300000000001</v>
      </c>
      <c r="G35" s="35">
        <v>-1412</v>
      </c>
      <c r="H35" s="35">
        <v>-2142</v>
      </c>
    </row>
    <row r="36" spans="1:8" ht="15" customHeight="1" outlineLevel="2" x14ac:dyDescent="0.25">
      <c r="A36" s="22" t="s">
        <v>105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8">
        <v>-1500</v>
      </c>
      <c r="H36" s="8">
        <v>-2252</v>
      </c>
    </row>
    <row r="37" spans="1:8" ht="15" customHeight="1" outlineLevel="2" x14ac:dyDescent="0.25">
      <c r="A37" s="25" t="s">
        <v>106</v>
      </c>
      <c r="B37" s="35">
        <v>50.872</v>
      </c>
      <c r="C37" s="35">
        <v>16.042999999999999</v>
      </c>
      <c r="D37" s="35">
        <v>5.8730000000000002</v>
      </c>
      <c r="E37" s="35">
        <v>3665.944</v>
      </c>
      <c r="F37" s="35">
        <v>188.19300000000001</v>
      </c>
      <c r="G37" s="35">
        <v>88</v>
      </c>
      <c r="H37" s="35">
        <v>110</v>
      </c>
    </row>
    <row r="38" spans="1:8" ht="15" customHeight="1" outlineLevel="3" x14ac:dyDescent="0.25">
      <c r="A38" s="20" t="s">
        <v>107</v>
      </c>
      <c r="B38" s="7">
        <v>49.865000000000002</v>
      </c>
      <c r="C38" s="7">
        <v>0</v>
      </c>
      <c r="D38" s="7">
        <v>0</v>
      </c>
      <c r="E38" s="7">
        <v>3650.87</v>
      </c>
      <c r="F38" s="7">
        <v>50.621000000000002</v>
      </c>
      <c r="G38" s="7">
        <v>48</v>
      </c>
      <c r="H38" s="7">
        <v>0</v>
      </c>
    </row>
    <row r="39" spans="1:8" ht="15" customHeight="1" outlineLevel="3" x14ac:dyDescent="0.25">
      <c r="A39" s="19" t="s">
        <v>108</v>
      </c>
      <c r="B39" s="5">
        <v>1.0069999999999999</v>
      </c>
      <c r="C39" s="5">
        <v>16.042999999999999</v>
      </c>
      <c r="D39" s="5">
        <v>5.8730000000000002</v>
      </c>
      <c r="E39" s="5">
        <v>15.074</v>
      </c>
      <c r="F39" s="5">
        <v>137.572</v>
      </c>
      <c r="G39" s="5">
        <v>40</v>
      </c>
      <c r="H39" s="5">
        <v>110</v>
      </c>
    </row>
    <row r="40" spans="1:8" ht="15" customHeight="1" outlineLevel="1" x14ac:dyDescent="0.25">
      <c r="A40" s="14" t="s">
        <v>109</v>
      </c>
      <c r="B40" s="36">
        <v>0</v>
      </c>
      <c r="C40" s="36">
        <v>0</v>
      </c>
      <c r="D40" s="36">
        <v>0</v>
      </c>
      <c r="E40" s="36">
        <v>1923.88</v>
      </c>
      <c r="F40" s="36">
        <v>-328.91699999999997</v>
      </c>
      <c r="G40" s="36">
        <v>0</v>
      </c>
      <c r="H40" s="36">
        <v>0</v>
      </c>
    </row>
    <row r="41" spans="1:8" ht="15" customHeight="1" outlineLevel="2" x14ac:dyDescent="0.25">
      <c r="A41" s="25" t="s">
        <v>110</v>
      </c>
      <c r="B41" s="35">
        <v>0</v>
      </c>
      <c r="C41" s="35">
        <v>0</v>
      </c>
      <c r="D41" s="35">
        <v>0</v>
      </c>
      <c r="E41" s="35">
        <v>1923.88</v>
      </c>
      <c r="F41" s="35">
        <v>-328.91699999999997</v>
      </c>
      <c r="G41" s="35">
        <v>0</v>
      </c>
      <c r="H41" s="35">
        <v>0</v>
      </c>
    </row>
    <row r="42" spans="1:8" ht="15" customHeight="1" outlineLevel="3" x14ac:dyDescent="0.25">
      <c r="A42" s="20" t="s">
        <v>111</v>
      </c>
      <c r="B42" s="7">
        <v>0</v>
      </c>
      <c r="C42" s="7">
        <v>0</v>
      </c>
      <c r="D42" s="7">
        <v>0</v>
      </c>
      <c r="E42" s="7">
        <v>1928.88</v>
      </c>
      <c r="F42" s="7">
        <v>1979.1659999999999</v>
      </c>
      <c r="G42" s="7">
        <v>0</v>
      </c>
      <c r="H42" s="7">
        <v>0</v>
      </c>
    </row>
    <row r="43" spans="1:8" ht="15" customHeight="1" outlineLevel="3" x14ac:dyDescent="0.25">
      <c r="A43" s="19" t="s">
        <v>112</v>
      </c>
      <c r="B43" s="5">
        <v>0</v>
      </c>
      <c r="C43" s="5">
        <v>0</v>
      </c>
      <c r="D43" s="5">
        <v>0</v>
      </c>
      <c r="E43" s="9">
        <v>-5</v>
      </c>
      <c r="F43" s="9">
        <v>-2308.0830000000001</v>
      </c>
      <c r="G43" s="5">
        <v>0</v>
      </c>
      <c r="H43" s="5">
        <v>0</v>
      </c>
    </row>
    <row r="44" spans="1:8" ht="15" customHeight="1" outlineLevel="1" x14ac:dyDescent="0.25">
      <c r="A44" s="14" t="s">
        <v>86</v>
      </c>
      <c r="B44" s="36">
        <v>622.08199999999999</v>
      </c>
      <c r="C44" s="36">
        <v>124.473</v>
      </c>
      <c r="D44" s="36">
        <v>848.70600000000002</v>
      </c>
      <c r="E44" s="36">
        <v>-2649.01</v>
      </c>
      <c r="F44" s="36">
        <v>1571.883</v>
      </c>
      <c r="G44" s="36">
        <v>723</v>
      </c>
      <c r="H44" s="36">
        <v>-288</v>
      </c>
    </row>
    <row r="45" spans="1:8" ht="15" customHeight="1" outlineLevel="2" x14ac:dyDescent="0.25">
      <c r="A45" s="16" t="s">
        <v>100</v>
      </c>
      <c r="B45" s="4"/>
      <c r="C45" s="4"/>
      <c r="D45" s="4"/>
      <c r="E45" s="9">
        <v>-2662.5349999999999</v>
      </c>
      <c r="F45" s="9">
        <v>-53.954999999999998</v>
      </c>
      <c r="G45" s="9">
        <v>-607</v>
      </c>
      <c r="H45" s="9">
        <v>-1224</v>
      </c>
    </row>
    <row r="46" spans="1:8" ht="15" customHeight="1" outlineLevel="2" x14ac:dyDescent="0.25">
      <c r="A46" s="22" t="s">
        <v>101</v>
      </c>
      <c r="B46" s="7">
        <v>622.08199999999999</v>
      </c>
      <c r="C46" s="7">
        <v>124.473</v>
      </c>
      <c r="D46" s="7">
        <v>848.70600000000002</v>
      </c>
      <c r="E46" s="7">
        <v>13.525</v>
      </c>
      <c r="F46" s="7">
        <v>1625.838</v>
      </c>
      <c r="G46" s="7">
        <v>1330</v>
      </c>
      <c r="H46" s="7">
        <v>936</v>
      </c>
    </row>
    <row r="47" spans="1:8" ht="15" customHeight="1" outlineLevel="1" x14ac:dyDescent="0.25">
      <c r="A47" s="27" t="s">
        <v>113</v>
      </c>
      <c r="B47" s="5">
        <v>672.95399999999995</v>
      </c>
      <c r="C47" s="5">
        <v>140.51599999999999</v>
      </c>
      <c r="D47" s="5">
        <v>854.57899999999995</v>
      </c>
      <c r="E47" s="5">
        <v>2940.8139999999999</v>
      </c>
      <c r="F47" s="5">
        <v>1431.1590000000001</v>
      </c>
      <c r="G47" s="9">
        <v>-689</v>
      </c>
      <c r="H47" s="9">
        <v>-2430</v>
      </c>
    </row>
    <row r="48" spans="1:8" ht="15" customHeight="1" x14ac:dyDescent="0.25">
      <c r="A48" s="26" t="s">
        <v>114</v>
      </c>
      <c r="B48" s="26"/>
      <c r="C48" s="26"/>
      <c r="D48" s="26"/>
      <c r="E48" s="26"/>
      <c r="F48" s="26"/>
      <c r="G48" s="26"/>
      <c r="H48" s="26"/>
    </row>
    <row r="49" spans="1:8" ht="15" customHeight="1" outlineLevel="1" x14ac:dyDescent="0.25">
      <c r="A49" s="27" t="s">
        <v>115</v>
      </c>
      <c r="B49" s="17">
        <v>227.172</v>
      </c>
      <c r="C49" s="24">
        <v>-158.91900000000001</v>
      </c>
      <c r="D49" s="24">
        <v>-25.283999999999999</v>
      </c>
      <c r="E49" s="17">
        <v>134.137</v>
      </c>
      <c r="F49" s="24">
        <v>-209.86099999999999</v>
      </c>
      <c r="G49" s="24">
        <v>-337</v>
      </c>
      <c r="H49" s="17">
        <v>152</v>
      </c>
    </row>
    <row r="50" spans="1:8" ht="15" customHeight="1" outlineLevel="1" x14ac:dyDescent="0.25">
      <c r="A50" s="34" t="s">
        <v>116</v>
      </c>
      <c r="B50" s="21">
        <v>362.40699999999998</v>
      </c>
      <c r="C50" s="23">
        <v>-91.016999999999996</v>
      </c>
      <c r="D50" s="21">
        <v>704.86699999999996</v>
      </c>
      <c r="E50" s="21">
        <v>2524.8090000000002</v>
      </c>
      <c r="F50" s="21">
        <v>2059.0369999999998</v>
      </c>
      <c r="G50" s="21">
        <v>2376</v>
      </c>
      <c r="H50" s="21">
        <v>564</v>
      </c>
    </row>
    <row r="51" spans="1:8" ht="15" customHeight="1" outlineLevel="1" x14ac:dyDescent="0.25">
      <c r="A51" s="28" t="s">
        <v>117</v>
      </c>
      <c r="B51" s="13">
        <v>151.02099999999999</v>
      </c>
      <c r="C51" s="13">
        <v>504.93299999999999</v>
      </c>
      <c r="D51" s="13">
        <v>97.275000000000006</v>
      </c>
      <c r="E51" s="13">
        <v>-667.10299999999995</v>
      </c>
      <c r="F51" s="13">
        <v>2164.3719999999998</v>
      </c>
      <c r="G51" s="13">
        <v>3405</v>
      </c>
      <c r="H51" s="13">
        <v>3884</v>
      </c>
    </row>
    <row r="52" spans="1:8" ht="15" customHeight="1" outlineLevel="2" x14ac:dyDescent="0.25">
      <c r="A52" s="22" t="s">
        <v>118</v>
      </c>
      <c r="B52" s="21">
        <v>0.25501699999999999</v>
      </c>
      <c r="C52" s="21">
        <v>0.85264099999999998</v>
      </c>
      <c r="D52" s="21">
        <v>0.16426099999999999</v>
      </c>
      <c r="E52" s="23">
        <v>-1.1133280000000001</v>
      </c>
      <c r="F52" s="21">
        <v>3.5142129999999998</v>
      </c>
      <c r="G52" s="21">
        <v>5.0073530000000002</v>
      </c>
      <c r="H52" s="21">
        <v>5.8670689999999999</v>
      </c>
    </row>
    <row r="53" spans="1:8" ht="15" customHeight="1" outlineLevel="2" x14ac:dyDescent="0.25">
      <c r="A53" s="16" t="s">
        <v>119</v>
      </c>
      <c r="B53" s="4"/>
      <c r="C53" s="4"/>
      <c r="D53" s="4"/>
      <c r="E53" s="37">
        <v>-0.75839800000000002</v>
      </c>
      <c r="F53" s="31">
        <v>2.1107649999999998</v>
      </c>
      <c r="G53" s="31">
        <v>5.8565529999999999</v>
      </c>
      <c r="H53" s="31">
        <v>4.3095850000000002</v>
      </c>
    </row>
    <row r="54" spans="1:8" ht="15" customHeight="1" x14ac:dyDescent="0.25">
      <c r="A54" s="33" t="s"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DCF</vt:lpstr>
      <vt:lpstr>WACC</vt:lpstr>
      <vt:lpstr>Estimates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Tawde</dc:creator>
  <cp:lastModifiedBy>Shreyas Tawde</cp:lastModifiedBy>
  <dcterms:created xsi:type="dcterms:W3CDTF">2024-07-11T21:35:50Z</dcterms:created>
  <dcterms:modified xsi:type="dcterms:W3CDTF">2024-07-17T11:34:32Z</dcterms:modified>
</cp:coreProperties>
</file>