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480efi\OneDrive\Desktop\"/>
    </mc:Choice>
  </mc:AlternateContent>
  <bookViews>
    <workbookView xWindow="0" yWindow="0" windowWidth="19200" windowHeight="60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1" i="2"/>
  <c r="E11" i="2" s="1"/>
  <c r="D9" i="2"/>
  <c r="D10" i="2" s="1"/>
  <c r="B9" i="2"/>
  <c r="B10" i="2" s="1"/>
  <c r="E8" i="2"/>
  <c r="C8" i="2"/>
  <c r="E7" i="2"/>
  <c r="C7" i="2"/>
  <c r="E6" i="2"/>
  <c r="C6" i="2"/>
  <c r="E5" i="2"/>
  <c r="C5" i="2"/>
  <c r="E4" i="2"/>
  <c r="C4" i="2"/>
  <c r="E3" i="2"/>
  <c r="C3" i="2"/>
  <c r="E2" i="2"/>
  <c r="E9" i="2" s="1"/>
  <c r="E10" i="2" s="1"/>
  <c r="C2" i="2"/>
  <c r="C9" i="2" s="1"/>
  <c r="C10" i="2" s="1"/>
  <c r="F53" i="1"/>
  <c r="F52" i="1"/>
  <c r="F51" i="1"/>
  <c r="F50" i="1"/>
  <c r="F49" i="1"/>
  <c r="H48" i="1"/>
  <c r="G48" i="1"/>
  <c r="F48" i="1"/>
  <c r="F47" i="1"/>
  <c r="F46" i="1"/>
  <c r="F45" i="1"/>
  <c r="F44" i="1"/>
  <c r="G52" i="1" s="1"/>
  <c r="H52" i="1" s="1"/>
  <c r="D42" i="1"/>
  <c r="F42" i="1" s="1"/>
  <c r="F41" i="1"/>
  <c r="D41" i="1"/>
  <c r="D40" i="1"/>
  <c r="F40" i="1" s="1"/>
  <c r="F39" i="1"/>
  <c r="D39" i="1"/>
  <c r="F38" i="1"/>
  <c r="D38" i="1"/>
  <c r="D37" i="1"/>
  <c r="F37" i="1" s="1"/>
  <c r="F36" i="1"/>
  <c r="D36" i="1"/>
  <c r="D35" i="1"/>
  <c r="F35" i="1" s="1"/>
  <c r="D34" i="1"/>
  <c r="F34" i="1" s="1"/>
  <c r="F33" i="1"/>
  <c r="D33" i="1"/>
  <c r="D32" i="1"/>
  <c r="F32" i="1" s="1"/>
  <c r="F31" i="1"/>
  <c r="D31" i="1"/>
  <c r="D30" i="1"/>
  <c r="G34" i="1" s="1"/>
  <c r="H34" i="1" s="1"/>
  <c r="F28" i="1"/>
  <c r="D28" i="1"/>
  <c r="D27" i="1"/>
  <c r="F27" i="1" s="1"/>
  <c r="F26" i="1"/>
  <c r="D26" i="1"/>
  <c r="F25" i="1"/>
  <c r="D25" i="1"/>
  <c r="D24" i="1"/>
  <c r="F24" i="1" s="1"/>
  <c r="F23" i="1"/>
  <c r="D23" i="1"/>
  <c r="D22" i="1"/>
  <c r="F22" i="1" s="1"/>
  <c r="D21" i="1"/>
  <c r="F21" i="1" s="1"/>
  <c r="F20" i="1"/>
  <c r="D20" i="1"/>
  <c r="D19" i="1"/>
  <c r="F19" i="1" s="1"/>
  <c r="F18" i="1"/>
  <c r="D18" i="1"/>
  <c r="D17" i="1"/>
  <c r="G21" i="1" s="1"/>
  <c r="H21" i="1" s="1"/>
  <c r="F15" i="1"/>
  <c r="D15" i="1"/>
  <c r="D14" i="1"/>
  <c r="F14" i="1" s="1"/>
  <c r="F13" i="1"/>
  <c r="D13" i="1"/>
  <c r="F12" i="1"/>
  <c r="D12" i="1"/>
  <c r="D11" i="1"/>
  <c r="F11" i="1" s="1"/>
  <c r="F10" i="1"/>
  <c r="D10" i="1"/>
  <c r="D9" i="1"/>
  <c r="F9" i="1" s="1"/>
  <c r="D8" i="1"/>
  <c r="F8" i="1" s="1"/>
  <c r="F7" i="1"/>
  <c r="D7" i="1"/>
  <c r="D6" i="1"/>
  <c r="F6" i="1" s="1"/>
  <c r="F5" i="1"/>
  <c r="D5" i="1"/>
  <c r="D4" i="1"/>
  <c r="G8" i="1" s="1"/>
  <c r="H8" i="1" s="1"/>
  <c r="F4" i="1" l="1"/>
  <c r="G12" i="1" s="1"/>
  <c r="H12" i="1" s="1"/>
  <c r="F17" i="1"/>
  <c r="G25" i="1" s="1"/>
  <c r="H25" i="1" s="1"/>
  <c r="F30" i="1"/>
  <c r="G38" i="1" s="1"/>
  <c r="H38" i="1" s="1"/>
</calcChain>
</file>

<file path=xl/sharedStrings.xml><?xml version="1.0" encoding="utf-8"?>
<sst xmlns="http://schemas.openxmlformats.org/spreadsheetml/2006/main" count="164" uniqueCount="156">
  <si>
    <t xml:space="preserve">Month </t>
  </si>
  <si>
    <t>Period</t>
  </si>
  <si>
    <t>Billing  Units</t>
  </si>
  <si>
    <t>Rate/Unit</t>
  </si>
  <si>
    <t>Invoice Amount</t>
  </si>
  <si>
    <t>Annual Units</t>
  </si>
  <si>
    <t>Average Units</t>
  </si>
  <si>
    <t>&amp; Year</t>
  </si>
  <si>
    <t>From</t>
  </si>
  <si>
    <t>To</t>
  </si>
  <si>
    <t>Annual Revenue</t>
  </si>
  <si>
    <t>Average Revenue</t>
  </si>
  <si>
    <t>Apr-21</t>
  </si>
  <si>
    <t>01.04.2021</t>
  </si>
  <si>
    <t>30.04.2021</t>
  </si>
  <si>
    <t>FY 2021-22</t>
  </si>
  <si>
    <t>May-21</t>
  </si>
  <si>
    <t>01.05.2021</t>
  </si>
  <si>
    <t>31.05.2021</t>
  </si>
  <si>
    <t>June-21</t>
  </si>
  <si>
    <t>01.06.2021</t>
  </si>
  <si>
    <t>30.06.2021</t>
  </si>
  <si>
    <t>July-21</t>
  </si>
  <si>
    <t>01.07.2021</t>
  </si>
  <si>
    <t>31.07.2021</t>
  </si>
  <si>
    <t>Aug-21</t>
  </si>
  <si>
    <t>01.08.2021</t>
  </si>
  <si>
    <t>31.08.2021</t>
  </si>
  <si>
    <t>Sep-21</t>
  </si>
  <si>
    <t>01.09.2021</t>
  </si>
  <si>
    <t>30.09.2021</t>
  </si>
  <si>
    <t>Oct-21</t>
  </si>
  <si>
    <t>01.10.2021</t>
  </si>
  <si>
    <t>31.10.2021</t>
  </si>
  <si>
    <t>Nov-21</t>
  </si>
  <si>
    <t>01.11.2021</t>
  </si>
  <si>
    <t>30.11.2021</t>
  </si>
  <si>
    <t>Dec-21</t>
  </si>
  <si>
    <t>01.12.2021</t>
  </si>
  <si>
    <t>31.12.2021</t>
  </si>
  <si>
    <t>Jan-22</t>
  </si>
  <si>
    <t>01.01.2022</t>
  </si>
  <si>
    <t>31.01.2022</t>
  </si>
  <si>
    <t>Feb-22</t>
  </si>
  <si>
    <t>01.02.2022</t>
  </si>
  <si>
    <t>28.02.2022</t>
  </si>
  <si>
    <t>Mar-22</t>
  </si>
  <si>
    <t>01.03.2022</t>
  </si>
  <si>
    <t>31.03.2022</t>
  </si>
  <si>
    <t>Apr-22</t>
  </si>
  <si>
    <t>01.04.2022</t>
  </si>
  <si>
    <t>30.04.2022</t>
  </si>
  <si>
    <t>FY 2022-23</t>
  </si>
  <si>
    <t>May-22</t>
  </si>
  <si>
    <t>01.05.2022</t>
  </si>
  <si>
    <t>31.05.2022</t>
  </si>
  <si>
    <t>June-22</t>
  </si>
  <si>
    <t>01.06.2022</t>
  </si>
  <si>
    <t>30.06.2022</t>
  </si>
  <si>
    <t>July-22</t>
  </si>
  <si>
    <t>01.07.2022</t>
  </si>
  <si>
    <t>31.07.2022</t>
  </si>
  <si>
    <t>Aug-22</t>
  </si>
  <si>
    <t>01.08.2022</t>
  </si>
  <si>
    <t>31.08.2022</t>
  </si>
  <si>
    <t>Sep-22</t>
  </si>
  <si>
    <t>01.09.2022</t>
  </si>
  <si>
    <t>30.09.2022</t>
  </si>
  <si>
    <t>Oct-22</t>
  </si>
  <si>
    <t>01.10.2022</t>
  </si>
  <si>
    <t>31.10.2022</t>
  </si>
  <si>
    <t>Nov-22</t>
  </si>
  <si>
    <t>01.11.2022</t>
  </si>
  <si>
    <t>30.11.2022</t>
  </si>
  <si>
    <t>01.12.2022</t>
  </si>
  <si>
    <t>31.12.2022</t>
  </si>
  <si>
    <t>01.01.2023</t>
  </si>
  <si>
    <t>31.01.2023</t>
  </si>
  <si>
    <t>Feb-23</t>
  </si>
  <si>
    <t>01.02.2023</t>
  </si>
  <si>
    <t>28.02.2023</t>
  </si>
  <si>
    <t>Mar-23</t>
  </si>
  <si>
    <t>01.03.2023</t>
  </si>
  <si>
    <t>31.03.2023</t>
  </si>
  <si>
    <t>Apr-23</t>
  </si>
  <si>
    <t>01.04.2023</t>
  </si>
  <si>
    <t>30.04.2023</t>
  </si>
  <si>
    <t>FY 2023-24</t>
  </si>
  <si>
    <t>May-23</t>
  </si>
  <si>
    <t>01.05.2023</t>
  </si>
  <si>
    <t>31.05.2023</t>
  </si>
  <si>
    <t>June-23</t>
  </si>
  <si>
    <t>01.06.2023</t>
  </si>
  <si>
    <t>30.06.2023</t>
  </si>
  <si>
    <t>July-23</t>
  </si>
  <si>
    <t>01.07.2023</t>
  </si>
  <si>
    <t>31.07.2023</t>
  </si>
  <si>
    <t>Aug-23</t>
  </si>
  <si>
    <t>01.08.2023</t>
  </si>
  <si>
    <t>31.08.2023</t>
  </si>
  <si>
    <t>Sept-23</t>
  </si>
  <si>
    <t>01.09.2023</t>
  </si>
  <si>
    <t>30.09.2023</t>
  </si>
  <si>
    <t>Oct-23</t>
  </si>
  <si>
    <t>01.10.2023</t>
  </si>
  <si>
    <t>31.10.2023</t>
  </si>
  <si>
    <t>Nov-23</t>
  </si>
  <si>
    <t>01.11.2023</t>
  </si>
  <si>
    <t>30.11.2023</t>
  </si>
  <si>
    <t>Dec-23</t>
  </si>
  <si>
    <t>01.12.2023</t>
  </si>
  <si>
    <t>31.12.2023</t>
  </si>
  <si>
    <t>Jan-24</t>
  </si>
  <si>
    <t>01.01.2024</t>
  </si>
  <si>
    <t>31.01.2024</t>
  </si>
  <si>
    <t>Feb-24</t>
  </si>
  <si>
    <t>01.02.2024</t>
  </si>
  <si>
    <t>29.02.2024</t>
  </si>
  <si>
    <t>Mar-24</t>
  </si>
  <si>
    <t>01.03.2024</t>
  </si>
  <si>
    <t>31.03.2024</t>
  </si>
  <si>
    <t>01.04.2024</t>
  </si>
  <si>
    <t>30.04.2024</t>
  </si>
  <si>
    <t>FY 2024-25</t>
  </si>
  <si>
    <t>01.05.2024</t>
  </si>
  <si>
    <t>31.05.2024</t>
  </si>
  <si>
    <t>01.06.2024</t>
  </si>
  <si>
    <t>30.06.2024</t>
  </si>
  <si>
    <t>01.07.2024</t>
  </si>
  <si>
    <t>31.07.2024</t>
  </si>
  <si>
    <t>01.08.2024</t>
  </si>
  <si>
    <t>31.08.2024</t>
  </si>
  <si>
    <t>01.09.2024</t>
  </si>
  <si>
    <t>30.09.2024</t>
  </si>
  <si>
    <t>01.10.2024</t>
  </si>
  <si>
    <t>31.10.2024</t>
  </si>
  <si>
    <t>01.11.2024</t>
  </si>
  <si>
    <t>30.11.2024</t>
  </si>
  <si>
    <t>01.12.2024</t>
  </si>
  <si>
    <t>31.12.2024</t>
  </si>
  <si>
    <t>01.01.2025</t>
  </si>
  <si>
    <t>31.01.2025</t>
  </si>
  <si>
    <t>01.02.2025</t>
  </si>
  <si>
    <t>28.02.2025</t>
  </si>
  <si>
    <t>01.03.2025</t>
  </si>
  <si>
    <t>31.03.2025</t>
  </si>
  <si>
    <t>Finacial Year</t>
  </si>
  <si>
    <t xml:space="preserve">Annual Units </t>
  </si>
  <si>
    <t>Average Monthly Units</t>
  </si>
  <si>
    <t>Average Monthly Revenue</t>
  </si>
  <si>
    <t>FY 2018-19</t>
  </si>
  <si>
    <t>FY 2019-20</t>
  </si>
  <si>
    <t>FY 2020-21</t>
  </si>
  <si>
    <t>TOTAL</t>
  </si>
  <si>
    <t>AVERAGE</t>
  </si>
  <si>
    <t>FY 2024-25                      (Apr24 to Jan25 - 10Months)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</si>
</sst>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_);_(* \(#,##0\);_(* &quot;-&quot;??_);_(@_)"/>
    <numFmt numFmtId="165" formatCode="#,##0;[Red]#,##0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164" fontId="1" fillId="0" borderId="5" xfId="1" applyNumberFormat="1" applyFont="1" applyFill="1" applyBorder="1" applyAlignment="1">
      <alignment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19" xfId="0" quotePrefix="1" applyFont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64" fontId="1" fillId="0" borderId="20" xfId="1" applyNumberFormat="1" applyFont="1" applyFill="1" applyBorder="1" applyAlignment="1">
      <alignment vertical="center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65" fontId="2" fillId="5" borderId="17" xfId="0" applyNumberFormat="1" applyFont="1" applyFill="1" applyBorder="1" applyAlignment="1">
      <alignment horizontal="center" vertical="center" wrapText="1"/>
    </xf>
    <xf numFmtId="166" fontId="2" fillId="5" borderId="4" xfId="0" applyNumberFormat="1" applyFont="1" applyFill="1" applyBorder="1" applyAlignment="1">
      <alignment horizontal="center" vertical="center" wrapText="1"/>
    </xf>
    <xf numFmtId="165" fontId="2" fillId="5" borderId="22" xfId="0" applyNumberFormat="1" applyFont="1" applyFill="1" applyBorder="1" applyAlignment="1">
      <alignment horizontal="center" vertical="center" wrapText="1"/>
    </xf>
    <xf numFmtId="166" fontId="2" fillId="5" borderId="24" xfId="0" applyNumberFormat="1" applyFont="1" applyFill="1" applyBorder="1" applyAlignment="1">
      <alignment horizontal="center" vertical="center" wrapText="1"/>
    </xf>
    <xf numFmtId="165" fontId="2" fillId="5" borderId="25" xfId="0" applyNumberFormat="1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 wrapText="1"/>
    </xf>
    <xf numFmtId="165" fontId="2" fillId="6" borderId="22" xfId="0" applyNumberFormat="1" applyFont="1" applyFill="1" applyBorder="1" applyAlignment="1">
      <alignment horizontal="center" vertical="center" wrapText="1"/>
    </xf>
    <xf numFmtId="164" fontId="2" fillId="6" borderId="24" xfId="0" applyNumberFormat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164" fontId="1" fillId="0" borderId="11" xfId="1" applyNumberFormat="1" applyFont="1" applyFill="1" applyBorder="1" applyAlignment="1">
      <alignment vertical="center"/>
    </xf>
    <xf numFmtId="165" fontId="2" fillId="6" borderId="25" xfId="0" applyNumberFormat="1" applyFont="1" applyFill="1" applyBorder="1" applyAlignment="1">
      <alignment horizontal="center" vertical="center" wrapText="1"/>
    </xf>
    <xf numFmtId="164" fontId="2" fillId="6" borderId="10" xfId="0" applyNumberFormat="1" applyFont="1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17" fontId="2" fillId="0" borderId="19" xfId="0" quotePrefix="1" applyNumberFormat="1" applyFont="1" applyFill="1" applyBorder="1" applyAlignment="1">
      <alignment horizontal="center" vertical="center"/>
    </xf>
    <xf numFmtId="17" fontId="2" fillId="0" borderId="1" xfId="0" quotePrefix="1" applyNumberFormat="1" applyFont="1" applyFill="1" applyBorder="1" applyAlignment="1">
      <alignment horizontal="center" vertical="center"/>
    </xf>
    <xf numFmtId="165" fontId="2" fillId="4" borderId="17" xfId="0" applyNumberFormat="1" applyFont="1" applyFill="1" applyBorder="1" applyAlignment="1">
      <alignment horizontal="center" vertical="center" wrapText="1"/>
    </xf>
    <xf numFmtId="165" fontId="2" fillId="4" borderId="18" xfId="0" applyNumberFormat="1" applyFont="1" applyFill="1" applyBorder="1" applyAlignment="1">
      <alignment horizontal="center" vertical="center" wrapText="1"/>
    </xf>
    <xf numFmtId="165" fontId="2" fillId="4" borderId="22" xfId="0" applyNumberFormat="1" applyFont="1" applyFill="1" applyBorder="1" applyAlignment="1">
      <alignment horizontal="center" vertical="center" wrapText="1"/>
    </xf>
    <xf numFmtId="165" fontId="2" fillId="4" borderId="2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164" fontId="2" fillId="5" borderId="24" xfId="0" applyNumberFormat="1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horizontal="center" vertical="center" wrapText="1"/>
    </xf>
    <xf numFmtId="17" fontId="2" fillId="0" borderId="7" xfId="0" quotePrefix="1" applyNumberFormat="1" applyFont="1" applyFill="1" applyBorder="1" applyAlignment="1">
      <alignment horizontal="center" vertical="center"/>
    </xf>
    <xf numFmtId="0" fontId="2" fillId="0" borderId="0" xfId="0" applyFont="1"/>
    <xf numFmtId="0" fontId="2" fillId="7" borderId="1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65" fontId="0" fillId="6" borderId="16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vertical="center"/>
    </xf>
    <xf numFmtId="165" fontId="0" fillId="3" borderId="6" xfId="0" applyNumberFormat="1" applyFill="1" applyBorder="1"/>
    <xf numFmtId="0" fontId="2" fillId="5" borderId="19" xfId="0" applyFon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center" vertical="center"/>
    </xf>
    <xf numFmtId="165" fontId="0" fillId="3" borderId="20" xfId="0" applyNumberFormat="1" applyFill="1" applyBorder="1"/>
    <xf numFmtId="165" fontId="0" fillId="3" borderId="28" xfId="0" applyNumberFormat="1" applyFill="1" applyBorder="1"/>
    <xf numFmtId="0" fontId="2" fillId="5" borderId="7" xfId="0" applyFont="1" applyFill="1" applyBorder="1" applyAlignment="1">
      <alignment horizontal="center" vertical="center"/>
    </xf>
    <xf numFmtId="165" fontId="0" fillId="6" borderId="26" xfId="0" applyNumberForma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/>
    </xf>
    <xf numFmtId="165" fontId="2" fillId="6" borderId="10" xfId="0" applyNumberFormat="1" applyFont="1" applyFill="1" applyBorder="1" applyAlignment="1">
      <alignment horizontal="center"/>
    </xf>
    <xf numFmtId="165" fontId="2" fillId="6" borderId="29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right"/>
    </xf>
    <xf numFmtId="165" fontId="2" fillId="3" borderId="30" xfId="0" applyNumberFormat="1" applyFont="1" applyFill="1" applyBorder="1" applyAlignment="1">
      <alignment horizontal="right"/>
    </xf>
    <xf numFmtId="166" fontId="0" fillId="6" borderId="11" xfId="0" applyNumberFormat="1" applyFill="1" applyBorder="1" applyAlignment="1">
      <alignment wrapText="1"/>
    </xf>
    <xf numFmtId="165" fontId="0" fillId="3" borderId="11" xfId="0" applyNumberFormat="1" applyFill="1" applyBorder="1" applyAlignment="1">
      <alignment horizontal="right"/>
    </xf>
    <xf numFmtId="165" fontId="0" fillId="3" borderId="12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165" fontId="0" fillId="6" borderId="11" xfId="0" applyNumberFormat="1" applyFill="1" applyBorder="1" applyAlignment="1">
      <alignment horizontal="center" vertical="center" wrapText="1"/>
    </xf>
    <xf numFmtId="165" fontId="0" fillId="6" borderId="26" xfId="0" applyNumberFormat="1" applyFill="1" applyBorder="1" applyAlignment="1">
      <alignment horizontal="center" vertical="center" wrapText="1"/>
    </xf>
    <xf numFmtId="165" fontId="0" fillId="3" borderId="11" xfId="0" applyNumberFormat="1" applyFill="1" applyBorder="1" applyAlignment="1">
      <alignment horizontal="right" vertical="center" wrapText="1"/>
    </xf>
    <xf numFmtId="165" fontId="0" fillId="3" borderId="12" xfId="0" applyNumberForma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sqref="A1:XFD1048576"/>
    </sheetView>
  </sheetViews>
  <sheetFormatPr defaultRowHeight="14.25" x14ac:dyDescent="0.45"/>
  <cols>
    <col min="1" max="1" width="10.73046875" style="61" customWidth="1"/>
    <col min="2" max="2" width="12.9296875" customWidth="1"/>
    <col min="3" max="3" width="12.86328125" customWidth="1"/>
    <col min="4" max="4" width="12.265625" customWidth="1"/>
    <col min="5" max="5" width="12.19921875" customWidth="1"/>
    <col min="6" max="6" width="13.796875" customWidth="1"/>
    <col min="7" max="7" width="14.6640625" style="61" customWidth="1"/>
    <col min="8" max="8" width="18.73046875" style="61" customWidth="1"/>
  </cols>
  <sheetData>
    <row r="1" spans="1:8" x14ac:dyDescent="0.45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5" t="s">
        <v>5</v>
      </c>
      <c r="H1" s="6" t="s">
        <v>6</v>
      </c>
    </row>
    <row r="2" spans="1:8" ht="14.65" thickBot="1" x14ac:dyDescent="0.5">
      <c r="A2" s="7" t="s">
        <v>7</v>
      </c>
      <c r="B2" s="8" t="s">
        <v>8</v>
      </c>
      <c r="C2" s="9" t="s">
        <v>9</v>
      </c>
      <c r="D2" s="10"/>
      <c r="E2" s="10"/>
      <c r="F2" s="10"/>
      <c r="G2" s="11" t="s">
        <v>10</v>
      </c>
      <c r="H2" s="12" t="s">
        <v>11</v>
      </c>
    </row>
    <row r="3" spans="1:8" ht="14.65" thickBot="1" x14ac:dyDescent="0.5">
      <c r="A3" s="13"/>
      <c r="B3" s="14"/>
      <c r="C3" s="14"/>
      <c r="D3" s="14"/>
      <c r="E3" s="14"/>
      <c r="F3" s="14"/>
      <c r="G3" s="14"/>
      <c r="H3" s="15"/>
    </row>
    <row r="4" spans="1:8" x14ac:dyDescent="0.45">
      <c r="A4" s="16" t="s">
        <v>12</v>
      </c>
      <c r="B4" s="17" t="s">
        <v>13</v>
      </c>
      <c r="C4" s="18" t="s">
        <v>14</v>
      </c>
      <c r="D4" s="19">
        <f>168000+52825</f>
        <v>220825</v>
      </c>
      <c r="E4" s="20">
        <v>5.27</v>
      </c>
      <c r="F4" s="21">
        <f>D4*E4</f>
        <v>1163747.75</v>
      </c>
      <c r="G4" s="22" t="s">
        <v>15</v>
      </c>
      <c r="H4" s="23"/>
    </row>
    <row r="5" spans="1:8" x14ac:dyDescent="0.45">
      <c r="A5" s="24" t="s">
        <v>16</v>
      </c>
      <c r="B5" s="25" t="s">
        <v>17</v>
      </c>
      <c r="C5" s="26" t="s">
        <v>18</v>
      </c>
      <c r="D5" s="27">
        <f>168000+63622</f>
        <v>231622</v>
      </c>
      <c r="E5" s="28">
        <v>5.27</v>
      </c>
      <c r="F5" s="29">
        <f t="shared" ref="F5:F33" si="0">D5*E5</f>
        <v>1220647.94</v>
      </c>
      <c r="G5" s="30"/>
      <c r="H5" s="31"/>
    </row>
    <row r="6" spans="1:8" x14ac:dyDescent="0.45">
      <c r="A6" s="24" t="s">
        <v>19</v>
      </c>
      <c r="B6" s="25" t="s">
        <v>20</v>
      </c>
      <c r="C6" s="26" t="s">
        <v>21</v>
      </c>
      <c r="D6" s="27">
        <f>168000+4424</f>
        <v>172424</v>
      </c>
      <c r="E6" s="28">
        <v>5.27</v>
      </c>
      <c r="F6" s="29">
        <f t="shared" si="0"/>
        <v>908674.48</v>
      </c>
      <c r="G6" s="30"/>
      <c r="H6" s="31"/>
    </row>
    <row r="7" spans="1:8" ht="14.65" thickBot="1" x14ac:dyDescent="0.5">
      <c r="A7" s="24" t="s">
        <v>22</v>
      </c>
      <c r="B7" s="25" t="s">
        <v>23</v>
      </c>
      <c r="C7" s="26" t="s">
        <v>24</v>
      </c>
      <c r="D7" s="27">
        <f>168000+2305</f>
        <v>170305</v>
      </c>
      <c r="E7" s="28">
        <v>5.27</v>
      </c>
      <c r="F7" s="29">
        <f t="shared" si="0"/>
        <v>897507.35</v>
      </c>
      <c r="G7" s="30"/>
      <c r="H7" s="31"/>
    </row>
    <row r="8" spans="1:8" x14ac:dyDescent="0.45">
      <c r="A8" s="24" t="s">
        <v>25</v>
      </c>
      <c r="B8" s="25" t="s">
        <v>26</v>
      </c>
      <c r="C8" s="26" t="s">
        <v>27</v>
      </c>
      <c r="D8" s="27">
        <f>168000+4318</f>
        <v>172318</v>
      </c>
      <c r="E8" s="28">
        <v>5.27</v>
      </c>
      <c r="F8" s="29">
        <f t="shared" si="0"/>
        <v>908115.85999999987</v>
      </c>
      <c r="G8" s="32">
        <f>SUM(D4:D15)</f>
        <v>2214552</v>
      </c>
      <c r="H8" s="33">
        <f>G8/12</f>
        <v>184546</v>
      </c>
    </row>
    <row r="9" spans="1:8" x14ac:dyDescent="0.45">
      <c r="A9" s="24" t="s">
        <v>28</v>
      </c>
      <c r="B9" s="25" t="s">
        <v>29</v>
      </c>
      <c r="C9" s="26" t="s">
        <v>30</v>
      </c>
      <c r="D9" s="27">
        <f>168000-6167</f>
        <v>161833</v>
      </c>
      <c r="E9" s="28">
        <v>5.27</v>
      </c>
      <c r="F9" s="29">
        <f t="shared" si="0"/>
        <v>852859.90999999992</v>
      </c>
      <c r="G9" s="34"/>
      <c r="H9" s="35"/>
    </row>
    <row r="10" spans="1:8" x14ac:dyDescent="0.45">
      <c r="A10" s="24" t="s">
        <v>31</v>
      </c>
      <c r="B10" s="25" t="s">
        <v>32</v>
      </c>
      <c r="C10" s="26" t="s">
        <v>33</v>
      </c>
      <c r="D10" s="27">
        <f>168000-5025</f>
        <v>162975</v>
      </c>
      <c r="E10" s="28">
        <v>5.27</v>
      </c>
      <c r="F10" s="29">
        <f t="shared" si="0"/>
        <v>858878.24999999988</v>
      </c>
      <c r="G10" s="34"/>
      <c r="H10" s="35"/>
    </row>
    <row r="11" spans="1:8" ht="14.65" thickBot="1" x14ac:dyDescent="0.5">
      <c r="A11" s="24" t="s">
        <v>34</v>
      </c>
      <c r="B11" s="25" t="s">
        <v>35</v>
      </c>
      <c r="C11" s="26" t="s">
        <v>36</v>
      </c>
      <c r="D11" s="27">
        <f>168000-4485</f>
        <v>163515</v>
      </c>
      <c r="E11" s="28">
        <v>5.27</v>
      </c>
      <c r="F11" s="29">
        <f t="shared" si="0"/>
        <v>861724.04999999993</v>
      </c>
      <c r="G11" s="36"/>
      <c r="H11" s="37"/>
    </row>
    <row r="12" spans="1:8" x14ac:dyDescent="0.45">
      <c r="A12" s="24" t="s">
        <v>37</v>
      </c>
      <c r="B12" s="25" t="s">
        <v>38</v>
      </c>
      <c r="C12" s="26" t="s">
        <v>39</v>
      </c>
      <c r="D12" s="27">
        <f>168000-12759</f>
        <v>155241</v>
      </c>
      <c r="E12" s="28">
        <v>5.27</v>
      </c>
      <c r="F12" s="29">
        <f t="shared" si="0"/>
        <v>818120.07</v>
      </c>
      <c r="G12" s="38">
        <f>SUM(F4:F15)</f>
        <v>11670689.039999999</v>
      </c>
      <c r="H12" s="39">
        <f>G12/12</f>
        <v>972557.41999999993</v>
      </c>
    </row>
    <row r="13" spans="1:8" x14ac:dyDescent="0.45">
      <c r="A13" s="24" t="s">
        <v>40</v>
      </c>
      <c r="B13" s="25" t="s">
        <v>41</v>
      </c>
      <c r="C13" s="26" t="s">
        <v>42</v>
      </c>
      <c r="D13" s="27">
        <f>168000+56129</f>
        <v>224129</v>
      </c>
      <c r="E13" s="28">
        <v>5.27</v>
      </c>
      <c r="F13" s="29">
        <f t="shared" si="0"/>
        <v>1181159.8299999998</v>
      </c>
      <c r="G13" s="38"/>
      <c r="H13" s="39"/>
    </row>
    <row r="14" spans="1:8" x14ac:dyDescent="0.45">
      <c r="A14" s="24" t="s">
        <v>43</v>
      </c>
      <c r="B14" s="25" t="s">
        <v>44</v>
      </c>
      <c r="C14" s="26" t="s">
        <v>45</v>
      </c>
      <c r="D14" s="27">
        <f>168000+38210</f>
        <v>206210</v>
      </c>
      <c r="E14" s="28">
        <v>5.27</v>
      </c>
      <c r="F14" s="29">
        <f t="shared" si="0"/>
        <v>1086726.7</v>
      </c>
      <c r="G14" s="38"/>
      <c r="H14" s="39"/>
    </row>
    <row r="15" spans="1:8" ht="14.65" thickBot="1" x14ac:dyDescent="0.5">
      <c r="A15" s="40" t="s">
        <v>46</v>
      </c>
      <c r="B15" s="41" t="s">
        <v>47</v>
      </c>
      <c r="C15" s="42" t="s">
        <v>48</v>
      </c>
      <c r="D15" s="43">
        <f>121000+52155</f>
        <v>173155</v>
      </c>
      <c r="E15" s="44">
        <v>5.27</v>
      </c>
      <c r="F15" s="45">
        <f t="shared" si="0"/>
        <v>912526.85</v>
      </c>
      <c r="G15" s="46"/>
      <c r="H15" s="47"/>
    </row>
    <row r="16" spans="1:8" ht="14.65" thickBot="1" x14ac:dyDescent="0.5">
      <c r="A16" s="48"/>
      <c r="B16" s="49"/>
      <c r="C16" s="49"/>
      <c r="D16" s="49"/>
      <c r="E16" s="49"/>
      <c r="F16" s="49"/>
      <c r="G16" s="49"/>
      <c r="H16" s="50"/>
    </row>
    <row r="17" spans="1:8" x14ac:dyDescent="0.45">
      <c r="A17" s="16" t="s">
        <v>49</v>
      </c>
      <c r="B17" s="17" t="s">
        <v>50</v>
      </c>
      <c r="C17" s="18" t="s">
        <v>51</v>
      </c>
      <c r="D17" s="19">
        <f>140000+63885</f>
        <v>203885</v>
      </c>
      <c r="E17" s="20">
        <v>5.27</v>
      </c>
      <c r="F17" s="21">
        <f t="shared" si="0"/>
        <v>1074473.95</v>
      </c>
      <c r="G17" s="22" t="s">
        <v>52</v>
      </c>
      <c r="H17" s="23"/>
    </row>
    <row r="18" spans="1:8" x14ac:dyDescent="0.45">
      <c r="A18" s="24" t="s">
        <v>53</v>
      </c>
      <c r="B18" s="25" t="s">
        <v>54</v>
      </c>
      <c r="C18" s="26" t="s">
        <v>55</v>
      </c>
      <c r="D18" s="27">
        <f>140000+26848</f>
        <v>166848</v>
      </c>
      <c r="E18" s="28">
        <v>5.27</v>
      </c>
      <c r="F18" s="29">
        <f t="shared" si="0"/>
        <v>879288.96</v>
      </c>
      <c r="G18" s="30"/>
      <c r="H18" s="31"/>
    </row>
    <row r="19" spans="1:8" x14ac:dyDescent="0.45">
      <c r="A19" s="24" t="s">
        <v>56</v>
      </c>
      <c r="B19" s="25" t="s">
        <v>57</v>
      </c>
      <c r="C19" s="26" t="s">
        <v>58</v>
      </c>
      <c r="D19" s="27">
        <f>140000+47376</f>
        <v>187376</v>
      </c>
      <c r="E19" s="28">
        <v>5.27</v>
      </c>
      <c r="F19" s="29">
        <f t="shared" si="0"/>
        <v>987471.5199999999</v>
      </c>
      <c r="G19" s="30"/>
      <c r="H19" s="31"/>
    </row>
    <row r="20" spans="1:8" ht="14.65" thickBot="1" x14ac:dyDescent="0.5">
      <c r="A20" s="24" t="s">
        <v>59</v>
      </c>
      <c r="B20" s="25" t="s">
        <v>60</v>
      </c>
      <c r="C20" s="26" t="s">
        <v>61</v>
      </c>
      <c r="D20" s="27">
        <f>110000+33036</f>
        <v>143036</v>
      </c>
      <c r="E20" s="28">
        <v>5.27</v>
      </c>
      <c r="F20" s="29">
        <f t="shared" si="0"/>
        <v>753799.72</v>
      </c>
      <c r="G20" s="30"/>
      <c r="H20" s="31"/>
    </row>
    <row r="21" spans="1:8" x14ac:dyDescent="0.45">
      <c r="A21" s="24" t="s">
        <v>62</v>
      </c>
      <c r="B21" s="25" t="s">
        <v>63</v>
      </c>
      <c r="C21" s="26" t="s">
        <v>64</v>
      </c>
      <c r="D21" s="27">
        <f>110000+62596</f>
        <v>172596</v>
      </c>
      <c r="E21" s="28">
        <v>5.27</v>
      </c>
      <c r="F21" s="29">
        <f t="shared" si="0"/>
        <v>909580.91999999993</v>
      </c>
      <c r="G21" s="32">
        <f>SUM(D17:D28)</f>
        <v>2142383</v>
      </c>
      <c r="H21" s="33">
        <f>G21/12</f>
        <v>178531.91666666666</v>
      </c>
    </row>
    <row r="22" spans="1:8" x14ac:dyDescent="0.45">
      <c r="A22" s="24" t="s">
        <v>65</v>
      </c>
      <c r="B22" s="25" t="s">
        <v>66</v>
      </c>
      <c r="C22" s="26" t="s">
        <v>67</v>
      </c>
      <c r="D22" s="27">
        <f>123000+61196</f>
        <v>184196</v>
      </c>
      <c r="E22" s="28">
        <v>5.27</v>
      </c>
      <c r="F22" s="29">
        <f t="shared" si="0"/>
        <v>970712.91999999993</v>
      </c>
      <c r="G22" s="34"/>
      <c r="H22" s="35"/>
    </row>
    <row r="23" spans="1:8" x14ac:dyDescent="0.45">
      <c r="A23" s="24" t="s">
        <v>68</v>
      </c>
      <c r="B23" s="25" t="s">
        <v>69</v>
      </c>
      <c r="C23" s="26" t="s">
        <v>70</v>
      </c>
      <c r="D23" s="27">
        <f>123000+54438</f>
        <v>177438</v>
      </c>
      <c r="E23" s="28">
        <v>5.27</v>
      </c>
      <c r="F23" s="29">
        <f t="shared" si="0"/>
        <v>935098.25999999989</v>
      </c>
      <c r="G23" s="34"/>
      <c r="H23" s="35"/>
    </row>
    <row r="24" spans="1:8" ht="14.65" thickBot="1" x14ac:dyDescent="0.5">
      <c r="A24" s="24" t="s">
        <v>71</v>
      </c>
      <c r="B24" s="25" t="s">
        <v>72</v>
      </c>
      <c r="C24" s="26" t="s">
        <v>73</v>
      </c>
      <c r="D24" s="27">
        <f>103000+41667</f>
        <v>144667</v>
      </c>
      <c r="E24" s="28">
        <v>5.27</v>
      </c>
      <c r="F24" s="29">
        <f t="shared" si="0"/>
        <v>762395.09</v>
      </c>
      <c r="G24" s="36"/>
      <c r="H24" s="37"/>
    </row>
    <row r="25" spans="1:8" x14ac:dyDescent="0.45">
      <c r="A25" s="51">
        <v>44896</v>
      </c>
      <c r="B25" s="25" t="s">
        <v>74</v>
      </c>
      <c r="C25" s="26" t="s">
        <v>75</v>
      </c>
      <c r="D25" s="27">
        <f>97000+38902</f>
        <v>135902</v>
      </c>
      <c r="E25" s="28">
        <v>5.27</v>
      </c>
      <c r="F25" s="29">
        <f t="shared" si="0"/>
        <v>716203.53999999992</v>
      </c>
      <c r="G25" s="38">
        <f>SUM(F17:F28)</f>
        <v>11290358.409999998</v>
      </c>
      <c r="H25" s="39">
        <f>G25/12</f>
        <v>940863.20083333319</v>
      </c>
    </row>
    <row r="26" spans="1:8" x14ac:dyDescent="0.45">
      <c r="A26" s="51">
        <v>44927</v>
      </c>
      <c r="B26" s="25" t="s">
        <v>76</v>
      </c>
      <c r="C26" s="26" t="s">
        <v>77</v>
      </c>
      <c r="D26" s="27">
        <f>125000+42821</f>
        <v>167821</v>
      </c>
      <c r="E26" s="28">
        <v>5.27</v>
      </c>
      <c r="F26" s="29">
        <f t="shared" si="0"/>
        <v>884416.66999999993</v>
      </c>
      <c r="G26" s="38"/>
      <c r="H26" s="39"/>
    </row>
    <row r="27" spans="1:8" x14ac:dyDescent="0.45">
      <c r="A27" s="24" t="s">
        <v>78</v>
      </c>
      <c r="B27" s="25" t="s">
        <v>79</v>
      </c>
      <c r="C27" s="26" t="s">
        <v>80</v>
      </c>
      <c r="D27" s="27">
        <f>136000+78497</f>
        <v>214497</v>
      </c>
      <c r="E27" s="28">
        <v>5.27</v>
      </c>
      <c r="F27" s="29">
        <f t="shared" si="0"/>
        <v>1130399.19</v>
      </c>
      <c r="G27" s="38"/>
      <c r="H27" s="39"/>
    </row>
    <row r="28" spans="1:8" ht="14.65" thickBot="1" x14ac:dyDescent="0.5">
      <c r="A28" s="40" t="s">
        <v>81</v>
      </c>
      <c r="B28" s="41" t="s">
        <v>82</v>
      </c>
      <c r="C28" s="42" t="s">
        <v>83</v>
      </c>
      <c r="D28" s="43">
        <f>136000+108121</f>
        <v>244121</v>
      </c>
      <c r="E28" s="44">
        <v>5.27</v>
      </c>
      <c r="F28" s="45">
        <f t="shared" si="0"/>
        <v>1286517.67</v>
      </c>
      <c r="G28" s="46"/>
      <c r="H28" s="47"/>
    </row>
    <row r="29" spans="1:8" ht="14.65" thickBot="1" x14ac:dyDescent="0.5">
      <c r="A29" s="48"/>
      <c r="B29" s="49"/>
      <c r="C29" s="49"/>
      <c r="D29" s="49"/>
      <c r="E29" s="49"/>
      <c r="F29" s="49"/>
      <c r="G29" s="49"/>
      <c r="H29" s="50"/>
    </row>
    <row r="30" spans="1:8" x14ac:dyDescent="0.45">
      <c r="A30" s="16" t="s">
        <v>84</v>
      </c>
      <c r="B30" s="17" t="s">
        <v>85</v>
      </c>
      <c r="C30" s="18" t="s">
        <v>86</v>
      </c>
      <c r="D30" s="19">
        <f>122000+111258</f>
        <v>233258</v>
      </c>
      <c r="E30" s="20">
        <v>5.27</v>
      </c>
      <c r="F30" s="21">
        <f t="shared" si="0"/>
        <v>1229269.6599999999</v>
      </c>
      <c r="G30" s="22" t="s">
        <v>87</v>
      </c>
      <c r="H30" s="23"/>
    </row>
    <row r="31" spans="1:8" x14ac:dyDescent="0.45">
      <c r="A31" s="24" t="s">
        <v>88</v>
      </c>
      <c r="B31" s="25" t="s">
        <v>89</v>
      </c>
      <c r="C31" s="26" t="s">
        <v>90</v>
      </c>
      <c r="D31" s="27">
        <f>122000+98923</f>
        <v>220923</v>
      </c>
      <c r="E31" s="28">
        <v>5.27</v>
      </c>
      <c r="F31" s="29">
        <f t="shared" si="0"/>
        <v>1164264.21</v>
      </c>
      <c r="G31" s="30"/>
      <c r="H31" s="31"/>
    </row>
    <row r="32" spans="1:8" x14ac:dyDescent="0.45">
      <c r="A32" s="24" t="s">
        <v>91</v>
      </c>
      <c r="B32" s="25" t="s">
        <v>92</v>
      </c>
      <c r="C32" s="26" t="s">
        <v>93</v>
      </c>
      <c r="D32" s="27">
        <f>122000+69985</f>
        <v>191985</v>
      </c>
      <c r="E32" s="28">
        <v>5.27</v>
      </c>
      <c r="F32" s="29">
        <f t="shared" si="0"/>
        <v>1011760.95</v>
      </c>
      <c r="G32" s="30"/>
      <c r="H32" s="31"/>
    </row>
    <row r="33" spans="1:8" ht="14.65" thickBot="1" x14ac:dyDescent="0.5">
      <c r="A33" s="24" t="s">
        <v>94</v>
      </c>
      <c r="B33" s="25" t="s">
        <v>95</v>
      </c>
      <c r="C33" s="26" t="s">
        <v>96</v>
      </c>
      <c r="D33" s="27">
        <f>67000+11854</f>
        <v>78854</v>
      </c>
      <c r="E33" s="28">
        <v>5.27</v>
      </c>
      <c r="F33" s="29">
        <f t="shared" si="0"/>
        <v>415560.57999999996</v>
      </c>
      <c r="G33" s="30"/>
      <c r="H33" s="31"/>
    </row>
    <row r="34" spans="1:8" x14ac:dyDescent="0.45">
      <c r="A34" s="24" t="s">
        <v>94</v>
      </c>
      <c r="B34" s="25" t="s">
        <v>95</v>
      </c>
      <c r="C34" s="26" t="s">
        <v>96</v>
      </c>
      <c r="D34" s="27">
        <f>42000+15015</f>
        <v>57015</v>
      </c>
      <c r="E34" s="28">
        <v>5.0999999999999996</v>
      </c>
      <c r="F34" s="29">
        <f>D34*E34</f>
        <v>290776.5</v>
      </c>
      <c r="G34" s="32">
        <f>SUM(D30:D42)</f>
        <v>2182880</v>
      </c>
      <c r="H34" s="33">
        <f>G34/12</f>
        <v>181906.66666666666</v>
      </c>
    </row>
    <row r="35" spans="1:8" x14ac:dyDescent="0.45">
      <c r="A35" s="51" t="s">
        <v>97</v>
      </c>
      <c r="B35" s="25" t="s">
        <v>98</v>
      </c>
      <c r="C35" s="26" t="s">
        <v>99</v>
      </c>
      <c r="D35" s="27">
        <f>142000+46650</f>
        <v>188650</v>
      </c>
      <c r="E35" s="28">
        <v>5.0999999999999996</v>
      </c>
      <c r="F35" s="29">
        <f t="shared" ref="F35:F40" si="1">D35*E35</f>
        <v>962114.99999999988</v>
      </c>
      <c r="G35" s="34"/>
      <c r="H35" s="35"/>
    </row>
    <row r="36" spans="1:8" x14ac:dyDescent="0.45">
      <c r="A36" s="24" t="s">
        <v>100</v>
      </c>
      <c r="B36" s="25" t="s">
        <v>101</v>
      </c>
      <c r="C36" s="26" t="s">
        <v>102</v>
      </c>
      <c r="D36" s="27">
        <f>93000+34584</f>
        <v>127584</v>
      </c>
      <c r="E36" s="28">
        <v>5.0999999999999996</v>
      </c>
      <c r="F36" s="29">
        <f t="shared" si="1"/>
        <v>650678.39999999991</v>
      </c>
      <c r="G36" s="34"/>
      <c r="H36" s="35"/>
    </row>
    <row r="37" spans="1:8" ht="14.65" thickBot="1" x14ac:dyDescent="0.5">
      <c r="A37" s="24" t="s">
        <v>103</v>
      </c>
      <c r="B37" s="25" t="s">
        <v>104</v>
      </c>
      <c r="C37" s="26" t="s">
        <v>105</v>
      </c>
      <c r="D37" s="27">
        <f>101000+60066</f>
        <v>161066</v>
      </c>
      <c r="E37" s="28">
        <v>5.0999999999999996</v>
      </c>
      <c r="F37" s="29">
        <f t="shared" si="1"/>
        <v>821436.6</v>
      </c>
      <c r="G37" s="36"/>
      <c r="H37" s="37"/>
    </row>
    <row r="38" spans="1:8" x14ac:dyDescent="0.45">
      <c r="A38" s="24" t="s">
        <v>106</v>
      </c>
      <c r="B38" s="25" t="s">
        <v>107</v>
      </c>
      <c r="C38" s="26" t="s">
        <v>108</v>
      </c>
      <c r="D38" s="27">
        <f>85000+27199</f>
        <v>112199</v>
      </c>
      <c r="E38" s="28">
        <v>5.0999999999999996</v>
      </c>
      <c r="F38" s="29">
        <f t="shared" si="1"/>
        <v>572214.89999999991</v>
      </c>
      <c r="G38" s="38">
        <f>SUM(F30:F42)</f>
        <v>11255941.4</v>
      </c>
      <c r="H38" s="39">
        <f>G38/12</f>
        <v>937995.1166666667</v>
      </c>
    </row>
    <row r="39" spans="1:8" x14ac:dyDescent="0.45">
      <c r="A39" s="24" t="s">
        <v>109</v>
      </c>
      <c r="B39" s="25" t="s">
        <v>110</v>
      </c>
      <c r="C39" s="26" t="s">
        <v>111</v>
      </c>
      <c r="D39" s="27">
        <f>108000+47547</f>
        <v>155547</v>
      </c>
      <c r="E39" s="28">
        <v>5.0999999999999996</v>
      </c>
      <c r="F39" s="29">
        <f t="shared" si="1"/>
        <v>793289.7</v>
      </c>
      <c r="G39" s="38"/>
      <c r="H39" s="39"/>
    </row>
    <row r="40" spans="1:8" x14ac:dyDescent="0.45">
      <c r="A40" s="24" t="s">
        <v>112</v>
      </c>
      <c r="B40" s="25" t="s">
        <v>113</v>
      </c>
      <c r="C40" s="26" t="s">
        <v>114</v>
      </c>
      <c r="D40" s="27">
        <f>133000+49142</f>
        <v>182142</v>
      </c>
      <c r="E40" s="28">
        <v>5.0999999999999996</v>
      </c>
      <c r="F40" s="29">
        <f t="shared" si="1"/>
        <v>928924.2</v>
      </c>
      <c r="G40" s="38"/>
      <c r="H40" s="39"/>
    </row>
    <row r="41" spans="1:8" x14ac:dyDescent="0.45">
      <c r="A41" s="24" t="s">
        <v>115</v>
      </c>
      <c r="B41" s="25" t="s">
        <v>116</v>
      </c>
      <c r="C41" s="26" t="s">
        <v>117</v>
      </c>
      <c r="D41" s="27">
        <f>164000+62747</f>
        <v>226747</v>
      </c>
      <c r="E41" s="28">
        <v>5.0999999999999996</v>
      </c>
      <c r="F41" s="29">
        <f t="shared" ref="F41:F53" si="2">D41*5.1</f>
        <v>1156409.7</v>
      </c>
      <c r="G41" s="38"/>
      <c r="H41" s="39"/>
    </row>
    <row r="42" spans="1:8" ht="14.65" thickBot="1" x14ac:dyDescent="0.5">
      <c r="A42" s="40" t="s">
        <v>118</v>
      </c>
      <c r="B42" s="41" t="s">
        <v>119</v>
      </c>
      <c r="C42" s="42" t="s">
        <v>120</v>
      </c>
      <c r="D42" s="43">
        <f>181000+65910</f>
        <v>246910</v>
      </c>
      <c r="E42" s="44">
        <v>5.0999999999999996</v>
      </c>
      <c r="F42" s="45">
        <f t="shared" si="2"/>
        <v>1259241</v>
      </c>
      <c r="G42" s="46"/>
      <c r="H42" s="47"/>
    </row>
    <row r="43" spans="1:8" ht="14.65" thickBot="1" x14ac:dyDescent="0.5">
      <c r="A43" s="48"/>
      <c r="B43" s="49"/>
      <c r="C43" s="49"/>
      <c r="D43" s="49"/>
      <c r="E43" s="49"/>
      <c r="F43" s="49"/>
      <c r="G43" s="49"/>
      <c r="H43" s="50"/>
    </row>
    <row r="44" spans="1:8" x14ac:dyDescent="0.45">
      <c r="A44" s="52">
        <v>45383</v>
      </c>
      <c r="B44" s="17" t="s">
        <v>121</v>
      </c>
      <c r="C44" s="18" t="s">
        <v>122</v>
      </c>
      <c r="D44" s="19">
        <v>252700</v>
      </c>
      <c r="E44" s="20">
        <v>5.0999999999999996</v>
      </c>
      <c r="F44" s="21">
        <f t="shared" si="2"/>
        <v>1288770</v>
      </c>
      <c r="G44" s="53" t="s">
        <v>123</v>
      </c>
      <c r="H44" s="54"/>
    </row>
    <row r="45" spans="1:8" x14ac:dyDescent="0.45">
      <c r="A45" s="51">
        <v>45413</v>
      </c>
      <c r="B45" s="25" t="s">
        <v>124</v>
      </c>
      <c r="C45" s="26" t="s">
        <v>125</v>
      </c>
      <c r="D45" s="27">
        <v>217300</v>
      </c>
      <c r="E45" s="28">
        <v>5.0999999999999996</v>
      </c>
      <c r="F45" s="29">
        <f t="shared" si="2"/>
        <v>1108230</v>
      </c>
      <c r="G45" s="55"/>
      <c r="H45" s="56"/>
    </row>
    <row r="46" spans="1:8" x14ac:dyDescent="0.45">
      <c r="A46" s="51">
        <v>45444</v>
      </c>
      <c r="B46" s="25" t="s">
        <v>126</v>
      </c>
      <c r="C46" s="26" t="s">
        <v>127</v>
      </c>
      <c r="D46" s="27">
        <v>188800</v>
      </c>
      <c r="E46" s="28">
        <v>5.0999999999999996</v>
      </c>
      <c r="F46" s="29">
        <f t="shared" si="2"/>
        <v>962879.99999999988</v>
      </c>
      <c r="G46" s="55"/>
      <c r="H46" s="56"/>
    </row>
    <row r="47" spans="1:8" ht="14.65" thickBot="1" x14ac:dyDescent="0.5">
      <c r="A47" s="51">
        <v>45474</v>
      </c>
      <c r="B47" s="25" t="s">
        <v>128</v>
      </c>
      <c r="C47" s="26" t="s">
        <v>129</v>
      </c>
      <c r="D47" s="27">
        <v>160000</v>
      </c>
      <c r="E47" s="28">
        <v>5.0999999999999996</v>
      </c>
      <c r="F47" s="29">
        <f t="shared" si="2"/>
        <v>816000</v>
      </c>
      <c r="G47" s="55"/>
      <c r="H47" s="56"/>
    </row>
    <row r="48" spans="1:8" x14ac:dyDescent="0.45">
      <c r="A48" s="51">
        <v>45505</v>
      </c>
      <c r="B48" s="25" t="s">
        <v>130</v>
      </c>
      <c r="C48" s="26" t="s">
        <v>131</v>
      </c>
      <c r="D48" s="27">
        <v>182600</v>
      </c>
      <c r="E48" s="28">
        <v>5.0999999999999996</v>
      </c>
      <c r="F48" s="29">
        <f t="shared" si="2"/>
        <v>931259.99999999988</v>
      </c>
      <c r="G48" s="32">
        <f>SUM(D44:D55)</f>
        <v>2009824</v>
      </c>
      <c r="H48" s="57">
        <f>G48/10</f>
        <v>200982.39999999999</v>
      </c>
    </row>
    <row r="49" spans="1:8" x14ac:dyDescent="0.45">
      <c r="A49" s="51">
        <v>45536</v>
      </c>
      <c r="B49" s="25" t="s">
        <v>132</v>
      </c>
      <c r="C49" s="26" t="s">
        <v>133</v>
      </c>
      <c r="D49" s="27">
        <v>184895</v>
      </c>
      <c r="E49" s="28">
        <v>5.0999999999999996</v>
      </c>
      <c r="F49" s="29">
        <f t="shared" si="2"/>
        <v>942964.49999999988</v>
      </c>
      <c r="G49" s="34"/>
      <c r="H49" s="58"/>
    </row>
    <row r="50" spans="1:8" x14ac:dyDescent="0.45">
      <c r="A50" s="51">
        <v>45566</v>
      </c>
      <c r="B50" s="25" t="s">
        <v>134</v>
      </c>
      <c r="C50" s="26" t="s">
        <v>135</v>
      </c>
      <c r="D50" s="27">
        <v>207848</v>
      </c>
      <c r="E50" s="28">
        <v>5.0999999999999996</v>
      </c>
      <c r="F50" s="29">
        <f t="shared" si="2"/>
        <v>1060024.7999999998</v>
      </c>
      <c r="G50" s="34"/>
      <c r="H50" s="58"/>
    </row>
    <row r="51" spans="1:8" ht="14.65" thickBot="1" x14ac:dyDescent="0.5">
      <c r="A51" s="51">
        <v>45597</v>
      </c>
      <c r="B51" s="25" t="s">
        <v>136</v>
      </c>
      <c r="C51" s="26" t="s">
        <v>137</v>
      </c>
      <c r="D51" s="27">
        <v>194953</v>
      </c>
      <c r="E51" s="28">
        <v>5.0999999999999996</v>
      </c>
      <c r="F51" s="29">
        <f t="shared" si="2"/>
        <v>994260.29999999993</v>
      </c>
      <c r="G51" s="36"/>
      <c r="H51" s="59"/>
    </row>
    <row r="52" spans="1:8" x14ac:dyDescent="0.45">
      <c r="A52" s="51">
        <v>45627</v>
      </c>
      <c r="B52" s="25" t="s">
        <v>138</v>
      </c>
      <c r="C52" s="26" t="s">
        <v>139</v>
      </c>
      <c r="D52" s="27">
        <v>172396</v>
      </c>
      <c r="E52" s="28">
        <v>5.0999999999999996</v>
      </c>
      <c r="F52" s="29">
        <f t="shared" si="2"/>
        <v>879219.6</v>
      </c>
      <c r="G52" s="38">
        <f>SUM(F44:F55)</f>
        <v>10250102.399999999</v>
      </c>
      <c r="H52" s="39">
        <f>G52/10</f>
        <v>1025010.2399999999</v>
      </c>
    </row>
    <row r="53" spans="1:8" x14ac:dyDescent="0.45">
      <c r="A53" s="51">
        <v>45658</v>
      </c>
      <c r="B53" s="25" t="s">
        <v>140</v>
      </c>
      <c r="C53" s="26" t="s">
        <v>141</v>
      </c>
      <c r="D53" s="27">
        <v>248332</v>
      </c>
      <c r="E53" s="28">
        <v>5.0999999999999996</v>
      </c>
      <c r="F53" s="29">
        <f t="shared" si="2"/>
        <v>1266493.2</v>
      </c>
      <c r="G53" s="38"/>
      <c r="H53" s="39"/>
    </row>
    <row r="54" spans="1:8" x14ac:dyDescent="0.45">
      <c r="A54" s="51">
        <v>45689</v>
      </c>
      <c r="B54" s="25" t="s">
        <v>142</v>
      </c>
      <c r="C54" s="26" t="s">
        <v>143</v>
      </c>
      <c r="D54" s="27"/>
      <c r="E54" s="28"/>
      <c r="F54" s="29"/>
      <c r="G54" s="38"/>
      <c r="H54" s="39"/>
    </row>
    <row r="55" spans="1:8" ht="14.65" thickBot="1" x14ac:dyDescent="0.5">
      <c r="A55" s="60">
        <v>45717</v>
      </c>
      <c r="B55" s="41" t="s">
        <v>144</v>
      </c>
      <c r="C55" s="42" t="s">
        <v>145</v>
      </c>
      <c r="D55" s="43"/>
      <c r="E55" s="44"/>
      <c r="F55" s="45"/>
      <c r="G55" s="46"/>
      <c r="H55" s="47"/>
    </row>
  </sheetData>
  <mergeCells count="28">
    <mergeCell ref="G48:G51"/>
    <mergeCell ref="H48:H51"/>
    <mergeCell ref="G52:G55"/>
    <mergeCell ref="H52:H55"/>
    <mergeCell ref="G34:G37"/>
    <mergeCell ref="H34:H37"/>
    <mergeCell ref="G38:G42"/>
    <mergeCell ref="H38:H42"/>
    <mergeCell ref="A43:H43"/>
    <mergeCell ref="G44:H47"/>
    <mergeCell ref="G21:G24"/>
    <mergeCell ref="H21:H24"/>
    <mergeCell ref="G25:G28"/>
    <mergeCell ref="H25:H28"/>
    <mergeCell ref="A29:H29"/>
    <mergeCell ref="G30:H33"/>
    <mergeCell ref="G8:G11"/>
    <mergeCell ref="H8:H11"/>
    <mergeCell ref="G12:G15"/>
    <mergeCell ref="H12:H15"/>
    <mergeCell ref="A16:H16"/>
    <mergeCell ref="G17:H20"/>
    <mergeCell ref="B1:C1"/>
    <mergeCell ref="D1:D2"/>
    <mergeCell ref="E1:E2"/>
    <mergeCell ref="F1:F2"/>
    <mergeCell ref="A3:H3"/>
    <mergeCell ref="G4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2" sqref="G12"/>
    </sheetView>
  </sheetViews>
  <sheetFormatPr defaultRowHeight="14.25" x14ac:dyDescent="0.45"/>
  <cols>
    <col min="1" max="1" width="24.33203125" style="87" customWidth="1"/>
    <col min="2" max="2" width="14.796875" style="87" customWidth="1"/>
    <col min="3" max="3" width="14.9296875" customWidth="1"/>
    <col min="4" max="4" width="13.73046875" customWidth="1"/>
    <col min="5" max="5" width="16.53125" customWidth="1"/>
  </cols>
  <sheetData>
    <row r="1" spans="1:5" s="66" customFormat="1" ht="28.9" thickBot="1" x14ac:dyDescent="0.5">
      <c r="A1" s="62" t="s">
        <v>146</v>
      </c>
      <c r="B1" s="63" t="s">
        <v>147</v>
      </c>
      <c r="C1" s="64" t="s">
        <v>148</v>
      </c>
      <c r="D1" s="63" t="s">
        <v>10</v>
      </c>
      <c r="E1" s="65" t="s">
        <v>149</v>
      </c>
    </row>
    <row r="2" spans="1:5" x14ac:dyDescent="0.45">
      <c r="A2" s="67" t="s">
        <v>150</v>
      </c>
      <c r="B2" s="68">
        <v>2748005</v>
      </c>
      <c r="C2" s="69">
        <f>B2/12</f>
        <v>229000.41666666666</v>
      </c>
      <c r="D2" s="70">
        <v>14481986</v>
      </c>
      <c r="E2" s="71">
        <f>D2/12</f>
        <v>1206832.1666666667</v>
      </c>
    </row>
    <row r="3" spans="1:5" x14ac:dyDescent="0.45">
      <c r="A3" s="72" t="s">
        <v>151</v>
      </c>
      <c r="B3" s="73">
        <v>2536574</v>
      </c>
      <c r="C3" s="74">
        <f t="shared" ref="C3:C8" si="0">B3/12</f>
        <v>211381.16666666666</v>
      </c>
      <c r="D3" s="75">
        <v>13367745</v>
      </c>
      <c r="E3" s="76">
        <f t="shared" ref="E3:E8" si="1">D3/12</f>
        <v>1113978.75</v>
      </c>
    </row>
    <row r="4" spans="1:5" x14ac:dyDescent="0.45">
      <c r="A4" s="72" t="s">
        <v>152</v>
      </c>
      <c r="B4" s="73">
        <v>2551891</v>
      </c>
      <c r="C4" s="74">
        <f t="shared" si="0"/>
        <v>212657.58333333334</v>
      </c>
      <c r="D4" s="75">
        <v>13448466</v>
      </c>
      <c r="E4" s="76">
        <f t="shared" si="1"/>
        <v>1120705.5</v>
      </c>
    </row>
    <row r="5" spans="1:5" x14ac:dyDescent="0.45">
      <c r="A5" s="72" t="s">
        <v>15</v>
      </c>
      <c r="B5" s="73">
        <v>2214552</v>
      </c>
      <c r="C5" s="74">
        <f t="shared" si="0"/>
        <v>184546</v>
      </c>
      <c r="D5" s="75">
        <v>11670689</v>
      </c>
      <c r="E5" s="76">
        <f t="shared" si="1"/>
        <v>972557.41666666663</v>
      </c>
    </row>
    <row r="6" spans="1:5" x14ac:dyDescent="0.45">
      <c r="A6" s="72" t="s">
        <v>52</v>
      </c>
      <c r="B6" s="73">
        <v>2142383</v>
      </c>
      <c r="C6" s="74">
        <f t="shared" si="0"/>
        <v>178531.91666666666</v>
      </c>
      <c r="D6" s="75">
        <v>11290358</v>
      </c>
      <c r="E6" s="76">
        <f t="shared" si="1"/>
        <v>940863.16666666663</v>
      </c>
    </row>
    <row r="7" spans="1:5" x14ac:dyDescent="0.45">
      <c r="A7" s="72" t="s">
        <v>87</v>
      </c>
      <c r="B7" s="73">
        <v>2182880</v>
      </c>
      <c r="C7" s="74">
        <f t="shared" si="0"/>
        <v>181906.66666666666</v>
      </c>
      <c r="D7" s="75">
        <v>11255941</v>
      </c>
      <c r="E7" s="76">
        <f t="shared" si="1"/>
        <v>937995.08333333337</v>
      </c>
    </row>
    <row r="8" spans="1:5" ht="28.9" thickBot="1" x14ac:dyDescent="0.5">
      <c r="A8" s="88" t="s">
        <v>155</v>
      </c>
      <c r="B8" s="89">
        <v>2009824</v>
      </c>
      <c r="C8" s="90">
        <f>B8/10</f>
        <v>200982.39999999999</v>
      </c>
      <c r="D8" s="91">
        <v>10250102</v>
      </c>
      <c r="E8" s="92">
        <f>D8/10</f>
        <v>1025010.2</v>
      </c>
    </row>
    <row r="9" spans="1:5" ht="14.65" thickBot="1" x14ac:dyDescent="0.5">
      <c r="A9" s="79" t="s">
        <v>153</v>
      </c>
      <c r="B9" s="80">
        <f>SUM(B2:B8)</f>
        <v>16386109</v>
      </c>
      <c r="C9" s="81">
        <f>SUM(C2:C8)</f>
        <v>1399006.15</v>
      </c>
      <c r="D9" s="82">
        <f>SUM(D2:D8)</f>
        <v>85765287</v>
      </c>
      <c r="E9" s="83">
        <f>SUM(E2:E8)</f>
        <v>7317942.2833333341</v>
      </c>
    </row>
    <row r="10" spans="1:5" ht="14.65" thickBot="1" x14ac:dyDescent="0.5">
      <c r="A10" s="79" t="s">
        <v>154</v>
      </c>
      <c r="B10" s="80">
        <f>B9/6</f>
        <v>2731018.1666666665</v>
      </c>
      <c r="C10" s="81">
        <f t="shared" ref="C10:E10" si="2">C9/6</f>
        <v>233167.69166666665</v>
      </c>
      <c r="D10" s="82">
        <f t="shared" si="2"/>
        <v>14294214.5</v>
      </c>
      <c r="E10" s="83">
        <f t="shared" si="2"/>
        <v>1219657.0472222224</v>
      </c>
    </row>
    <row r="11" spans="1:5" ht="14.65" thickBot="1" x14ac:dyDescent="0.5">
      <c r="A11" s="77" t="s">
        <v>123</v>
      </c>
      <c r="B11" s="84">
        <v>2009824</v>
      </c>
      <c r="C11" s="78">
        <f>B11/10</f>
        <v>200982.39999999999</v>
      </c>
      <c r="D11" s="85">
        <f>B11*5.1</f>
        <v>10250102.399999999</v>
      </c>
      <c r="E11" s="86">
        <f>C11*5.1</f>
        <v>1025010.2399999999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7480efi</dc:creator>
  <cp:lastModifiedBy>7480efi</cp:lastModifiedBy>
  <dcterms:created xsi:type="dcterms:W3CDTF">2025-03-18T06:37:10Z</dcterms:created>
  <dcterms:modified xsi:type="dcterms:W3CDTF">2025-03-18T06:43:35Z</dcterms:modified>
</cp:coreProperties>
</file>