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32" documentId="11_7FCDB9BE1F0FD75A88A9AB92421D801463708CD1" xr6:coauthVersionLast="45" xr6:coauthVersionMax="45" xr10:uidLastSave="{BBFD87E1-98EC-4B18-A763-FF7804215571}"/>
  <bookViews>
    <workbookView xWindow="-98" yWindow="-98" windowWidth="22695" windowHeight="14595" activeTab="3" xr2:uid="{00000000-000D-0000-FFFF-FFFF00000000}"/>
  </bookViews>
  <sheets>
    <sheet name="Projections" sheetId="1" r:id="rId1"/>
    <sheet name="Earning per share" sheetId="3" r:id="rId2"/>
    <sheet name="Enterprise value" sheetId="4" r:id="rId3"/>
    <sheet name="Sensitivity analysis" sheetId="5" r:id="rId4"/>
    <sheet name="WAC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1" i="5"/>
  <c r="E12" i="5"/>
  <c r="E13" i="5"/>
  <c r="E15" i="5"/>
  <c r="G3" i="5"/>
  <c r="H3" i="5" s="1"/>
  <c r="I3" i="5" s="1"/>
  <c r="J3" i="5" s="1"/>
  <c r="K3" i="5" s="1"/>
  <c r="L3" i="5" s="1"/>
  <c r="M3" i="5" s="1"/>
  <c r="F18" i="5"/>
  <c r="G18" i="5" s="1"/>
  <c r="E6" i="1"/>
  <c r="F6" i="1" s="1"/>
  <c r="G6" i="1" s="1"/>
  <c r="H6" i="1" s="1"/>
  <c r="I6" i="1" s="1"/>
  <c r="J6" i="1" s="1"/>
  <c r="K6" i="1" s="1"/>
  <c r="L6" i="1" s="1"/>
  <c r="E10" i="5" l="1"/>
  <c r="H18" i="5"/>
  <c r="F6" i="5"/>
  <c r="B6" i="3"/>
  <c r="B7" i="4"/>
  <c r="B5" i="4"/>
  <c r="I18" i="5" l="1"/>
  <c r="G6" i="5"/>
  <c r="F5" i="5"/>
  <c r="B10" i="2"/>
  <c r="B6" i="2"/>
  <c r="B9" i="2" s="1"/>
  <c r="M60" i="1"/>
  <c r="D37" i="1"/>
  <c r="C37" i="1"/>
  <c r="D33" i="1"/>
  <c r="B32" i="1"/>
  <c r="C33" i="1" l="1"/>
  <c r="J18" i="5"/>
  <c r="F15" i="5"/>
  <c r="F16" i="5" s="1"/>
  <c r="F13" i="5"/>
  <c r="F12" i="5"/>
  <c r="F11" i="5"/>
  <c r="H6" i="5"/>
  <c r="F4" i="5"/>
  <c r="G5" i="5"/>
  <c r="F9" i="5"/>
  <c r="F7" i="5"/>
  <c r="F8" i="5"/>
  <c r="B11" i="2"/>
  <c r="K18" i="5" l="1"/>
  <c r="F14" i="5"/>
  <c r="F10" i="5"/>
  <c r="G13" i="5"/>
  <c r="G12" i="5"/>
  <c r="G11" i="5"/>
  <c r="G15" i="5"/>
  <c r="G16" i="5" s="1"/>
  <c r="I6" i="5"/>
  <c r="G9" i="5"/>
  <c r="G8" i="5"/>
  <c r="G7" i="5"/>
  <c r="H5" i="5"/>
  <c r="G4" i="5"/>
  <c r="E11" i="1"/>
  <c r="F11" i="1" s="1"/>
  <c r="G11" i="1" s="1"/>
  <c r="H11" i="1" s="1"/>
  <c r="I11" i="1" s="1"/>
  <c r="J11" i="1" s="1"/>
  <c r="K11" i="1" s="1"/>
  <c r="L11" i="1" s="1"/>
  <c r="E5" i="1"/>
  <c r="C10" i="1"/>
  <c r="C12" i="1" s="1"/>
  <c r="C13" i="1" s="1"/>
  <c r="C14" i="1" s="1"/>
  <c r="D10" i="1"/>
  <c r="D12" i="1" s="1"/>
  <c r="D13" i="1" s="1"/>
  <c r="D14" i="1" s="1"/>
  <c r="B10" i="1"/>
  <c r="B12" i="1" s="1"/>
  <c r="E35" i="1" l="1"/>
  <c r="E32" i="1"/>
  <c r="E33" i="1" s="1"/>
  <c r="E36" i="1"/>
  <c r="E34" i="1"/>
  <c r="F17" i="5"/>
  <c r="F19" i="5" s="1"/>
  <c r="L18" i="5"/>
  <c r="G14" i="5"/>
  <c r="G10" i="5"/>
  <c r="G17" i="5" s="1"/>
  <c r="G19" i="5" s="1"/>
  <c r="H15" i="5"/>
  <c r="H16" i="5" s="1"/>
  <c r="H13" i="5"/>
  <c r="H12" i="5"/>
  <c r="H11" i="5"/>
  <c r="J6" i="5"/>
  <c r="I5" i="5"/>
  <c r="H9" i="5"/>
  <c r="H8" i="5"/>
  <c r="H7" i="5"/>
  <c r="H4" i="5"/>
  <c r="F5" i="1"/>
  <c r="G5" i="1" s="1"/>
  <c r="F7" i="1"/>
  <c r="F8" i="1"/>
  <c r="E7" i="1"/>
  <c r="E8" i="1"/>
  <c r="E9" i="1"/>
  <c r="F9" i="1" l="1"/>
  <c r="E37" i="1"/>
  <c r="F10" i="1"/>
  <c r="F12" i="1" s="1"/>
  <c r="F34" i="1"/>
  <c r="F32" i="1"/>
  <c r="F33" i="1" s="1"/>
  <c r="F36" i="1"/>
  <c r="F35" i="1"/>
  <c r="G36" i="1"/>
  <c r="G34" i="1"/>
  <c r="G32" i="1"/>
  <c r="G35" i="1"/>
  <c r="M18" i="5"/>
  <c r="H10" i="5"/>
  <c r="H14" i="5"/>
  <c r="I15" i="5"/>
  <c r="I16" i="5" s="1"/>
  <c r="I13" i="5"/>
  <c r="I12" i="5"/>
  <c r="I11" i="5"/>
  <c r="K6" i="5"/>
  <c r="J5" i="5"/>
  <c r="I7" i="5"/>
  <c r="I9" i="5"/>
  <c r="I8" i="5"/>
  <c r="I4" i="5"/>
  <c r="E10" i="1"/>
  <c r="E12" i="1" s="1"/>
  <c r="H5" i="1"/>
  <c r="G9" i="1"/>
  <c r="G8" i="1"/>
  <c r="G7" i="1"/>
  <c r="E13" i="1" l="1"/>
  <c r="E14" i="1" s="1"/>
  <c r="F37" i="1"/>
  <c r="F13" i="1" s="1"/>
  <c r="F14" i="1" s="1"/>
  <c r="G10" i="1"/>
  <c r="G12" i="1" s="1"/>
  <c r="G33" i="1"/>
  <c r="H35" i="1"/>
  <c r="H36" i="1"/>
  <c r="H32" i="1"/>
  <c r="H33" i="1" s="1"/>
  <c r="H34" i="1"/>
  <c r="G37" i="1"/>
  <c r="H17" i="5"/>
  <c r="H19" i="5" s="1"/>
  <c r="I10" i="5"/>
  <c r="I14" i="5"/>
  <c r="J15" i="5"/>
  <c r="J16" i="5" s="1"/>
  <c r="J13" i="5"/>
  <c r="J12" i="5"/>
  <c r="J11" i="5"/>
  <c r="L6" i="5"/>
  <c r="K5" i="5"/>
  <c r="K15" i="5" s="1"/>
  <c r="J7" i="5"/>
  <c r="J9" i="5"/>
  <c r="J8" i="5"/>
  <c r="J4" i="5"/>
  <c r="I5" i="1"/>
  <c r="H9" i="1"/>
  <c r="H8" i="1"/>
  <c r="H7" i="1"/>
  <c r="G13" i="1" l="1"/>
  <c r="G14" i="1" s="1"/>
  <c r="I34" i="1"/>
  <c r="I32" i="1"/>
  <c r="I33" i="1" s="1"/>
  <c r="I35" i="1"/>
  <c r="I36" i="1"/>
  <c r="H37" i="1"/>
  <c r="I17" i="5"/>
  <c r="I19" i="5" s="1"/>
  <c r="J14" i="5"/>
  <c r="J10" i="5"/>
  <c r="K16" i="5"/>
  <c r="K11" i="5"/>
  <c r="K13" i="5"/>
  <c r="K12" i="5"/>
  <c r="M6" i="5"/>
  <c r="L5" i="5"/>
  <c r="K9" i="5"/>
  <c r="K8" i="5"/>
  <c r="K7" i="5"/>
  <c r="K4" i="5"/>
  <c r="H10" i="1"/>
  <c r="H12" i="1" s="1"/>
  <c r="J5" i="1"/>
  <c r="I9" i="1"/>
  <c r="I8" i="1"/>
  <c r="I7" i="1"/>
  <c r="I37" i="1" l="1"/>
  <c r="J36" i="1"/>
  <c r="J34" i="1"/>
  <c r="J32" i="1"/>
  <c r="J33" i="1" s="1"/>
  <c r="J35" i="1"/>
  <c r="H13" i="1"/>
  <c r="H14" i="1" s="1"/>
  <c r="J17" i="5"/>
  <c r="J19" i="5" s="1"/>
  <c r="K10" i="5"/>
  <c r="K14" i="5"/>
  <c r="L15" i="5"/>
  <c r="L16" i="5" s="1"/>
  <c r="L13" i="5"/>
  <c r="L12" i="5"/>
  <c r="L11" i="5"/>
  <c r="M5" i="5"/>
  <c r="L9" i="5"/>
  <c r="L8" i="5"/>
  <c r="L7" i="5"/>
  <c r="L4" i="5"/>
  <c r="I10" i="1"/>
  <c r="I12" i="1" s="1"/>
  <c r="I13" i="1" s="1"/>
  <c r="I14" i="1" s="1"/>
  <c r="K5" i="1"/>
  <c r="J9" i="1"/>
  <c r="J8" i="1"/>
  <c r="J7" i="1"/>
  <c r="K36" i="1" l="1"/>
  <c r="K35" i="1"/>
  <c r="K34" i="1"/>
  <c r="K32" i="1"/>
  <c r="K33" i="1" s="1"/>
  <c r="J37" i="1"/>
  <c r="L10" i="5"/>
  <c r="K17" i="5"/>
  <c r="K19" i="5" s="1"/>
  <c r="L14" i="5"/>
  <c r="M15" i="5"/>
  <c r="M16" i="5" s="1"/>
  <c r="M13" i="5"/>
  <c r="M12" i="5"/>
  <c r="M11" i="5"/>
  <c r="M9" i="5"/>
  <c r="M8" i="5"/>
  <c r="M7" i="5"/>
  <c r="M4" i="5"/>
  <c r="J10" i="1"/>
  <c r="J12" i="1" s="1"/>
  <c r="L5" i="1"/>
  <c r="K9" i="1"/>
  <c r="K8" i="1"/>
  <c r="K7" i="1"/>
  <c r="J13" i="1" l="1"/>
  <c r="J14" i="1" s="1"/>
  <c r="K37" i="1"/>
  <c r="L34" i="1"/>
  <c r="L32" i="1"/>
  <c r="L33" i="1" s="1"/>
  <c r="L36" i="1"/>
  <c r="L35" i="1"/>
  <c r="L17" i="5"/>
  <c r="L19" i="5" s="1"/>
  <c r="M14" i="5"/>
  <c r="M10" i="5"/>
  <c r="K10" i="1"/>
  <c r="K12" i="1" s="1"/>
  <c r="K13" i="1" s="1"/>
  <c r="K14" i="1" s="1"/>
  <c r="L9" i="1"/>
  <c r="L8" i="1"/>
  <c r="L7" i="1"/>
  <c r="L10" i="1" s="1"/>
  <c r="L12" i="1" s="1"/>
  <c r="B8" i="4"/>
  <c r="B9" i="4" s="1"/>
  <c r="M17" i="5" l="1"/>
  <c r="M19" i="5" s="1"/>
  <c r="L37" i="1"/>
  <c r="L13" i="1" s="1"/>
  <c r="L14" i="1" s="1"/>
  <c r="E15" i="1" s="1"/>
</calcChain>
</file>

<file path=xl/sharedStrings.xml><?xml version="1.0" encoding="utf-8"?>
<sst xmlns="http://schemas.openxmlformats.org/spreadsheetml/2006/main" count="68" uniqueCount="48">
  <si>
    <t>Total revenues</t>
  </si>
  <si>
    <t>Total cost of revenues</t>
  </si>
  <si>
    <t>Research and development expenses</t>
  </si>
  <si>
    <t>manufacturing and selling expense</t>
  </si>
  <si>
    <t>Interest expense</t>
  </si>
  <si>
    <t>net income(loss)</t>
  </si>
  <si>
    <t>revenue</t>
  </si>
  <si>
    <t>depreciation and ammortization</t>
  </si>
  <si>
    <t>operating cash flow</t>
  </si>
  <si>
    <t>Accounts receivable, net</t>
  </si>
  <si>
    <t>Inventory</t>
  </si>
  <si>
    <t>Accounts payable</t>
  </si>
  <si>
    <t>accounts receiveable</t>
  </si>
  <si>
    <t>inventory</t>
  </si>
  <si>
    <t>accounts payable</t>
  </si>
  <si>
    <t>ppe</t>
  </si>
  <si>
    <t>change in ppe</t>
  </si>
  <si>
    <t>change in nwc</t>
  </si>
  <si>
    <t>free cash flow</t>
  </si>
  <si>
    <t>beta</t>
  </si>
  <si>
    <t>emrp</t>
  </si>
  <si>
    <t>Risk free rate</t>
  </si>
  <si>
    <t>cost of equity</t>
  </si>
  <si>
    <t xml:space="preserve">cost of debt </t>
  </si>
  <si>
    <t>d/e ratio</t>
  </si>
  <si>
    <t>TOTAL equity structure</t>
  </si>
  <si>
    <t>total debt in structure</t>
  </si>
  <si>
    <t>WACC</t>
  </si>
  <si>
    <t>discounted cash flow</t>
  </si>
  <si>
    <t>total discounted cash flow</t>
  </si>
  <si>
    <t>All data taken from sec(as a percentage of revenue)</t>
  </si>
  <si>
    <t>net income</t>
  </si>
  <si>
    <t>total shares outstanding</t>
  </si>
  <si>
    <t>EPS</t>
  </si>
  <si>
    <t>CURRENT MARKET VALUE OF STOCK</t>
  </si>
  <si>
    <t>total share outstanding</t>
  </si>
  <si>
    <t>market value of preffered stock</t>
  </si>
  <si>
    <t>market value of debt</t>
  </si>
  <si>
    <t>cash and investments</t>
  </si>
  <si>
    <t>ENTERPRISE VALUE</t>
  </si>
  <si>
    <t xml:space="preserve">Value per share </t>
  </si>
  <si>
    <t>% of revenue/ percentage in revenue</t>
  </si>
  <si>
    <t>chcnge in nwc</t>
  </si>
  <si>
    <t>final fcf</t>
  </si>
  <si>
    <t xml:space="preserve">`     </t>
  </si>
  <si>
    <t>PROJECTIONS</t>
  </si>
  <si>
    <t>EARNINGS PER SHARE</t>
  </si>
  <si>
    <t>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</si>
</sst>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9C6500"/>
      <name val="Calibri"/>
      <family val="2"/>
      <scheme val="minor"/>
    </font>
    <font>
      <b/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CFF0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51">
    <xf numFmtId="0" fontId="0" fillId="0" borderId="0" xfId="0"/>
    <xf numFmtId="3" fontId="0" fillId="0" borderId="0" xfId="0" applyNumberFormat="1"/>
    <xf numFmtId="0" fontId="1" fillId="0" borderId="0" xfId="0" applyFont="1"/>
    <xf numFmtId="3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0" borderId="0" xfId="0" applyNumberFormat="1" applyFont="1"/>
    <xf numFmtId="3" fontId="1" fillId="0" borderId="0" xfId="0" applyNumberFormat="1" applyFont="1"/>
    <xf numFmtId="3" fontId="2" fillId="3" borderId="0" xfId="0" applyNumberFormat="1" applyFont="1" applyFill="1" applyAlignment="1">
      <alignment horizontal="right" vertical="center"/>
    </xf>
    <xf numFmtId="0" fontId="3" fillId="4" borderId="0" xfId="1"/>
    <xf numFmtId="3" fontId="2" fillId="7" borderId="1" xfId="0" applyNumberFormat="1" applyFont="1" applyFill="1" applyBorder="1" applyAlignment="1">
      <alignment horizontal="right" vertical="center"/>
    </xf>
    <xf numFmtId="0" fontId="1" fillId="7" borderId="0" xfId="0" applyFont="1" applyFill="1"/>
    <xf numFmtId="0" fontId="4" fillId="5" borderId="0" xfId="2"/>
    <xf numFmtId="3" fontId="4" fillId="5" borderId="0" xfId="2" applyNumberFormat="1"/>
    <xf numFmtId="0" fontId="5" fillId="6" borderId="0" xfId="3"/>
    <xf numFmtId="3" fontId="5" fillId="6" borderId="0" xfId="3" applyNumberFormat="1"/>
    <xf numFmtId="3" fontId="2" fillId="7" borderId="0" xfId="0" applyNumberFormat="1" applyFont="1" applyFill="1" applyAlignment="1">
      <alignment horizontal="right" vertical="center"/>
    </xf>
    <xf numFmtId="0" fontId="1" fillId="8" borderId="0" xfId="0" applyFont="1" applyFill="1"/>
    <xf numFmtId="10" fontId="1" fillId="8" borderId="0" xfId="0" applyNumberFormat="1" applyFont="1" applyFill="1"/>
    <xf numFmtId="9" fontId="1" fillId="8" borderId="0" xfId="0" applyNumberFormat="1" applyFont="1" applyFill="1"/>
    <xf numFmtId="0" fontId="1" fillId="9" borderId="0" xfId="0" applyFont="1" applyFill="1"/>
    <xf numFmtId="3" fontId="0" fillId="7" borderId="0" xfId="0" applyNumberFormat="1" applyFill="1"/>
    <xf numFmtId="0" fontId="0" fillId="7" borderId="0" xfId="0" applyFill="1"/>
    <xf numFmtId="0" fontId="0" fillId="10" borderId="0" xfId="0" applyFill="1"/>
    <xf numFmtId="10" fontId="0" fillId="10" borderId="0" xfId="0" applyNumberFormat="1" applyFill="1"/>
    <xf numFmtId="9" fontId="0" fillId="10" borderId="0" xfId="0" applyNumberFormat="1" applyFill="1"/>
    <xf numFmtId="10" fontId="5" fillId="10" borderId="0" xfId="3" applyNumberFormat="1" applyFill="1"/>
    <xf numFmtId="3" fontId="2" fillId="10" borderId="0" xfId="0" applyNumberFormat="1" applyFont="1" applyFill="1" applyAlignment="1">
      <alignment horizontal="right" vertical="center"/>
    </xf>
    <xf numFmtId="0" fontId="5" fillId="10" borderId="0" xfId="3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10" fillId="5" borderId="0" xfId="2" applyFont="1"/>
    <xf numFmtId="0" fontId="11" fillId="4" borderId="0" xfId="1" applyFont="1"/>
    <xf numFmtId="0" fontId="6" fillId="10" borderId="0" xfId="0" applyFont="1" applyFill="1"/>
    <xf numFmtId="0" fontId="12" fillId="10" borderId="0" xfId="0" applyFont="1" applyFill="1" applyAlignment="1">
      <alignment horizontal="left" vertical="center" wrapText="1" indent="4"/>
    </xf>
    <xf numFmtId="0" fontId="12" fillId="10" borderId="0" xfId="0" applyFont="1" applyFill="1" applyAlignment="1">
      <alignment vertical="center" wrapText="1"/>
    </xf>
    <xf numFmtId="0" fontId="13" fillId="10" borderId="0" xfId="3" applyFont="1" applyFill="1" applyAlignment="1">
      <alignment vertical="center" wrapText="1"/>
    </xf>
    <xf numFmtId="0" fontId="7" fillId="10" borderId="0" xfId="0" applyFont="1" applyFill="1"/>
    <xf numFmtId="0" fontId="13" fillId="10" borderId="0" xfId="3" applyFont="1" applyFill="1"/>
    <xf numFmtId="0" fontId="14" fillId="2" borderId="0" xfId="0" applyFont="1" applyFill="1" applyAlignment="1">
      <alignment horizontal="left" vertical="center" wrapText="1" indent="4"/>
    </xf>
    <xf numFmtId="0" fontId="14" fillId="3" borderId="0" xfId="0" applyFont="1" applyFill="1" applyAlignment="1">
      <alignment horizontal="left" vertical="center" wrapText="1" indent="4"/>
    </xf>
    <xf numFmtId="0" fontId="14" fillId="7" borderId="0" xfId="0" applyFont="1" applyFill="1" applyAlignment="1">
      <alignment vertical="center" wrapText="1"/>
    </xf>
    <xf numFmtId="0" fontId="13" fillId="6" borderId="0" xfId="3" applyFont="1"/>
    <xf numFmtId="0" fontId="7" fillId="8" borderId="0" xfId="0" applyFont="1" applyFill="1"/>
    <xf numFmtId="0" fontId="14" fillId="8" borderId="0" xfId="0" applyFont="1" applyFill="1" applyAlignment="1">
      <alignment horizontal="left" vertical="center" wrapText="1" indent="4"/>
    </xf>
    <xf numFmtId="0" fontId="14" fillId="8" borderId="0" xfId="0" applyFont="1" applyFill="1" applyAlignment="1">
      <alignment vertical="center" wrapText="1"/>
    </xf>
    <xf numFmtId="0" fontId="7" fillId="7" borderId="0" xfId="0" applyFont="1" applyFill="1"/>
    <xf numFmtId="0" fontId="14" fillId="7" borderId="0" xfId="0" applyFont="1" applyFill="1" applyAlignment="1">
      <alignment horizontal="left" vertical="center" wrapText="1" indent="2"/>
    </xf>
    <xf numFmtId="0" fontId="14" fillId="3" borderId="0" xfId="0" applyFont="1" applyFill="1" applyAlignment="1">
      <alignment horizontal="left" vertical="center" wrapText="1" indent="2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opLeftCell="A13" workbookViewId="0">
      <selection activeCell="A32" sqref="A32:A37"/>
    </sheetView>
  </sheetViews>
  <sheetFormatPr defaultColWidth="8.86328125" defaultRowHeight="14.25" x14ac:dyDescent="0.45"/>
  <cols>
    <col min="1" max="1" width="38.3984375" style="2" customWidth="1"/>
    <col min="2" max="2" width="12.3984375" style="2" customWidth="1"/>
    <col min="3" max="3" width="13" style="2" customWidth="1"/>
    <col min="4" max="4" width="12.3984375" style="2" customWidth="1"/>
    <col min="5" max="5" width="14.86328125" style="2" customWidth="1"/>
    <col min="6" max="6" width="13.265625" style="2" customWidth="1"/>
    <col min="7" max="7" width="13" style="2" customWidth="1"/>
    <col min="8" max="8" width="13.59765625" style="2" customWidth="1"/>
    <col min="9" max="9" width="12.59765625" style="2" customWidth="1"/>
    <col min="10" max="10" width="14" style="2" customWidth="1"/>
    <col min="11" max="11" width="12.6640625" style="2" customWidth="1"/>
    <col min="12" max="12" width="15.3984375" style="2" customWidth="1"/>
    <col min="13" max="16384" width="8.86328125" style="2"/>
  </cols>
  <sheetData>
    <row r="1" spans="1:13" x14ac:dyDescent="0.45">
      <c r="A1" s="30" t="s">
        <v>45</v>
      </c>
    </row>
    <row r="3" spans="1:13" x14ac:dyDescent="0.45">
      <c r="A3"/>
    </row>
    <row r="4" spans="1:13" s="20" customFormat="1" x14ac:dyDescent="0.45">
      <c r="A4"/>
      <c r="B4" s="20">
        <v>2015</v>
      </c>
      <c r="C4" s="20">
        <v>2016</v>
      </c>
      <c r="D4" s="20">
        <v>2017</v>
      </c>
      <c r="E4" s="20">
        <v>2018</v>
      </c>
      <c r="F4" s="20">
        <v>2019</v>
      </c>
      <c r="G4" s="20">
        <v>2020</v>
      </c>
      <c r="H4" s="20">
        <v>2021</v>
      </c>
      <c r="I4" s="20">
        <v>2022</v>
      </c>
      <c r="J4" s="20">
        <v>2023</v>
      </c>
      <c r="K4" s="20">
        <v>2024</v>
      </c>
      <c r="L4" s="20">
        <v>2025</v>
      </c>
    </row>
    <row r="5" spans="1:13" x14ac:dyDescent="0.45">
      <c r="A5" s="41" t="s">
        <v>0</v>
      </c>
      <c r="B5" s="3">
        <v>4046025</v>
      </c>
      <c r="C5" s="3">
        <v>7000132</v>
      </c>
      <c r="D5" s="3">
        <v>11758751</v>
      </c>
      <c r="E5" s="4">
        <f>D5*1.7</f>
        <v>19989876.699999999</v>
      </c>
      <c r="F5" s="4">
        <f t="shared" ref="F5:L5" si="0">E5*1.7</f>
        <v>33982790.390000001</v>
      </c>
      <c r="G5" s="4">
        <f t="shared" si="0"/>
        <v>57770743.663000003</v>
      </c>
      <c r="H5" s="4">
        <f t="shared" si="0"/>
        <v>98210264.2271</v>
      </c>
      <c r="I5" s="4">
        <f t="shared" si="0"/>
        <v>166957449.18607</v>
      </c>
      <c r="J5" s="4">
        <f t="shared" si="0"/>
        <v>283827663.616319</v>
      </c>
      <c r="K5" s="4">
        <f t="shared" si="0"/>
        <v>482507028.14774227</v>
      </c>
      <c r="L5" s="4">
        <f t="shared" si="0"/>
        <v>820261947.85116184</v>
      </c>
    </row>
    <row r="6" spans="1:13" x14ac:dyDescent="0.45">
      <c r="A6" s="42" t="s">
        <v>1</v>
      </c>
      <c r="B6" s="5">
        <v>3122522</v>
      </c>
      <c r="C6" s="5">
        <v>5400875</v>
      </c>
      <c r="D6" s="5">
        <v>9536264</v>
      </c>
      <c r="E6" s="5">
        <f>D6*1.74</f>
        <v>16593099.359999999</v>
      </c>
      <c r="F6" s="5">
        <f t="shared" ref="F6:L6" si="1">E6*1.74</f>
        <v>28871992.886399999</v>
      </c>
      <c r="G6" s="5">
        <f t="shared" si="1"/>
        <v>50237267.622336</v>
      </c>
      <c r="H6" s="5">
        <f t="shared" si="1"/>
        <v>87412845.66286464</v>
      </c>
      <c r="I6" s="5">
        <f t="shared" si="1"/>
        <v>152098351.45338446</v>
      </c>
      <c r="J6" s="5">
        <f t="shared" si="1"/>
        <v>264651131.52888897</v>
      </c>
      <c r="K6" s="5">
        <f t="shared" si="1"/>
        <v>460492968.8602668</v>
      </c>
      <c r="L6" s="5">
        <f t="shared" si="1"/>
        <v>801257765.81686425</v>
      </c>
    </row>
    <row r="7" spans="1:13" x14ac:dyDescent="0.45">
      <c r="A7" s="29" t="s">
        <v>2</v>
      </c>
      <c r="B7" s="2">
        <v>717900</v>
      </c>
      <c r="C7" s="2">
        <v>834408</v>
      </c>
      <c r="D7" s="2">
        <v>1378073</v>
      </c>
      <c r="E7" s="2">
        <f>E5*$B23</f>
        <v>2798582.7380000004</v>
      </c>
      <c r="F7" s="2">
        <f t="shared" ref="F7:L7" si="2">F5*$B23</f>
        <v>4757590.6546000009</v>
      </c>
      <c r="G7" s="2">
        <f t="shared" si="2"/>
        <v>8087904.1128200013</v>
      </c>
      <c r="H7" s="2">
        <f t="shared" si="2"/>
        <v>13749436.991794001</v>
      </c>
      <c r="I7" s="2">
        <f t="shared" si="2"/>
        <v>23374042.886049803</v>
      </c>
      <c r="J7" s="2">
        <f t="shared" si="2"/>
        <v>39735872.906284668</v>
      </c>
      <c r="K7" s="2">
        <f t="shared" si="2"/>
        <v>67550983.940683931</v>
      </c>
      <c r="L7" s="2">
        <f t="shared" si="2"/>
        <v>114836672.69916266</v>
      </c>
    </row>
    <row r="8" spans="1:13" x14ac:dyDescent="0.45">
      <c r="A8" s="29" t="s">
        <v>3</v>
      </c>
      <c r="B8" s="2">
        <v>922232</v>
      </c>
      <c r="C8" s="2">
        <v>1432189</v>
      </c>
      <c r="D8" s="6">
        <v>2476500</v>
      </c>
      <c r="E8" s="2">
        <f>E5*$B24</f>
        <v>4263840.7001099996</v>
      </c>
      <c r="F8" s="2">
        <f t="shared" ref="F8:L8" si="3">F5*$B24</f>
        <v>7248529.1901869997</v>
      </c>
      <c r="G8" s="2">
        <f t="shared" si="3"/>
        <v>12322499.623317899</v>
      </c>
      <c r="H8" s="2">
        <f t="shared" si="3"/>
        <v>20948249.359640431</v>
      </c>
      <c r="I8" s="2">
        <f t="shared" si="3"/>
        <v>35612023.911388725</v>
      </c>
      <c r="J8" s="2">
        <f t="shared" si="3"/>
        <v>60540440.649360843</v>
      </c>
      <c r="K8" s="2">
        <f t="shared" si="3"/>
        <v>102918749.10391343</v>
      </c>
      <c r="L8" s="2">
        <f t="shared" si="3"/>
        <v>174961873.4766528</v>
      </c>
    </row>
    <row r="9" spans="1:13" s="11" customFormat="1" x14ac:dyDescent="0.45">
      <c r="A9" s="43" t="s">
        <v>4</v>
      </c>
      <c r="B9" s="10">
        <v>118851</v>
      </c>
      <c r="C9" s="10">
        <v>198810</v>
      </c>
      <c r="D9" s="10">
        <v>471259</v>
      </c>
      <c r="E9" s="10">
        <f>E5*$B25</f>
        <v>665662.89410999999</v>
      </c>
      <c r="F9" s="10">
        <f t="shared" ref="F9:L9" si="4">F5*$B25</f>
        <v>1131626.9199870001</v>
      </c>
      <c r="G9" s="10">
        <f t="shared" si="4"/>
        <v>1923765.7639779004</v>
      </c>
      <c r="H9" s="10">
        <f t="shared" si="4"/>
        <v>3270401.7987624304</v>
      </c>
      <c r="I9" s="10">
        <f t="shared" si="4"/>
        <v>5559683.0578961316</v>
      </c>
      <c r="J9" s="10">
        <f t="shared" si="4"/>
        <v>9451461.1984234229</v>
      </c>
      <c r="K9" s="10">
        <f t="shared" si="4"/>
        <v>16067484.037319819</v>
      </c>
      <c r="L9" s="10">
        <f t="shared" si="4"/>
        <v>27314722.863443691</v>
      </c>
    </row>
    <row r="10" spans="1:13" s="12" customFormat="1" x14ac:dyDescent="0.45">
      <c r="A10" s="33" t="s">
        <v>5</v>
      </c>
      <c r="B10" s="13">
        <f>B5-B6-B7-B8-B9</f>
        <v>-835480</v>
      </c>
      <c r="C10" s="13">
        <f t="shared" ref="C10:D10" si="5">C5-C6-C7-C8-C9</f>
        <v>-866150</v>
      </c>
      <c r="D10" s="13">
        <f t="shared" si="5"/>
        <v>-2103345</v>
      </c>
      <c r="E10" s="13">
        <f t="shared" ref="E10" si="6">E5-E6-E7-E8-E9</f>
        <v>-4331308.9922200004</v>
      </c>
      <c r="F10" s="13">
        <f t="shared" ref="F10" si="7">F5-F6-F7-F8-F9</f>
        <v>-8026949.2611739989</v>
      </c>
      <c r="G10" s="13">
        <f t="shared" ref="G10" si="8">G5-G6-G7-G8-G9</f>
        <v>-14800693.459451798</v>
      </c>
      <c r="H10" s="13">
        <f t="shared" ref="H10" si="9">H5-H6-H7-H8-H9</f>
        <v>-27170669.585961502</v>
      </c>
      <c r="I10" s="13">
        <f t="shared" ref="I10" si="10">I5-I6-I7-I8-I9</f>
        <v>-49686652.122649126</v>
      </c>
      <c r="J10" s="13">
        <f t="shared" ref="J10" si="11">J5-J6-J7-J8-J9</f>
        <v>-90551242.666638911</v>
      </c>
      <c r="K10" s="13">
        <f t="shared" ref="K10" si="12">K5-K6-K7-K8-K9</f>
        <v>-164523157.7944417</v>
      </c>
      <c r="L10" s="13">
        <f t="shared" ref="L10" si="13">L5-L6-L7-L8-L9</f>
        <v>-298109087.00496155</v>
      </c>
      <c r="M10" s="13"/>
    </row>
    <row r="11" spans="1:13" x14ac:dyDescent="0.45">
      <c r="A11" s="29" t="s">
        <v>7</v>
      </c>
      <c r="B11" s="8">
        <v>422590</v>
      </c>
      <c r="C11" s="8">
        <v>947099</v>
      </c>
      <c r="D11" s="8">
        <v>1636003</v>
      </c>
      <c r="E11" s="8">
        <f>D11*2.14</f>
        <v>3501046.4200000004</v>
      </c>
      <c r="F11" s="8">
        <f t="shared" ref="F11:L11" si="14">E11*2.14</f>
        <v>7492239.338800001</v>
      </c>
      <c r="G11" s="8">
        <f t="shared" si="14"/>
        <v>16033392.185032003</v>
      </c>
      <c r="H11" s="8">
        <f t="shared" si="14"/>
        <v>34311459.275968485</v>
      </c>
      <c r="I11" s="8">
        <f t="shared" si="14"/>
        <v>73426522.850572556</v>
      </c>
      <c r="J11" s="8">
        <f t="shared" si="14"/>
        <v>157132758.90022528</v>
      </c>
      <c r="K11" s="8">
        <f t="shared" si="14"/>
        <v>336264104.04648215</v>
      </c>
      <c r="L11" s="8">
        <f t="shared" si="14"/>
        <v>719605182.65947187</v>
      </c>
    </row>
    <row r="12" spans="1:13" s="12" customFormat="1" x14ac:dyDescent="0.45">
      <c r="A12" s="33" t="s">
        <v>8</v>
      </c>
      <c r="B12" s="13">
        <f>B10+B11</f>
        <v>-412890</v>
      </c>
      <c r="C12" s="13">
        <f t="shared" ref="C12:L12" si="15">C10+C11</f>
        <v>80949</v>
      </c>
      <c r="D12" s="13">
        <f t="shared" si="15"/>
        <v>-467342</v>
      </c>
      <c r="E12" s="13">
        <f t="shared" si="15"/>
        <v>-830262.57221999997</v>
      </c>
      <c r="F12" s="13">
        <f t="shared" si="15"/>
        <v>-534709.92237399798</v>
      </c>
      <c r="G12" s="13">
        <f t="shared" si="15"/>
        <v>1232698.7255802043</v>
      </c>
      <c r="H12" s="13">
        <f t="shared" si="15"/>
        <v>7140789.6900069825</v>
      </c>
      <c r="I12" s="13">
        <f t="shared" si="15"/>
        <v>23739870.727923431</v>
      </c>
      <c r="J12" s="13">
        <f t="shared" si="15"/>
        <v>66581516.233586371</v>
      </c>
      <c r="K12" s="13">
        <f t="shared" si="15"/>
        <v>171740946.25204045</v>
      </c>
      <c r="L12" s="13">
        <f t="shared" si="15"/>
        <v>421496095.65451032</v>
      </c>
    </row>
    <row r="13" spans="1:13" s="14" customFormat="1" x14ac:dyDescent="0.45">
      <c r="A13" s="44" t="s">
        <v>18</v>
      </c>
      <c r="C13" s="15">
        <f t="shared" ref="C13:L13" si="16">C12-C33-C37</f>
        <v>-3209602</v>
      </c>
      <c r="D13" s="15">
        <f t="shared" si="16"/>
        <v>-4900575</v>
      </c>
      <c r="E13" s="15">
        <f t="shared" si="16"/>
        <v>-8933558.7391199991</v>
      </c>
      <c r="F13" s="15">
        <f t="shared" si="16"/>
        <v>-14565604.378103998</v>
      </c>
      <c r="G13" s="15">
        <f t="shared" si="16"/>
        <v>-22619821.84916079</v>
      </c>
      <c r="H13" s="15">
        <f t="shared" si="16"/>
        <v>-33408495.287052717</v>
      </c>
      <c r="I13" s="15">
        <f t="shared" si="16"/>
        <v>-45193913.73307804</v>
      </c>
      <c r="J13" s="15">
        <f t="shared" si="16"/>
        <v>-50605917.350116178</v>
      </c>
      <c r="K13" s="15">
        <f t="shared" si="16"/>
        <v>-27477690.8402538</v>
      </c>
      <c r="L13" s="15">
        <f t="shared" si="16"/>
        <v>82824412.597609997</v>
      </c>
    </row>
    <row r="14" spans="1:13" x14ac:dyDescent="0.45">
      <c r="A14" s="29" t="s">
        <v>28</v>
      </c>
      <c r="C14" s="7">
        <f>C13</f>
        <v>-3209602</v>
      </c>
      <c r="D14" s="7">
        <f>D13</f>
        <v>-4900575</v>
      </c>
      <c r="E14" s="2">
        <f>E13/(1+0.054)</f>
        <v>-8475862.1813282724</v>
      </c>
      <c r="F14" s="2">
        <f>F13/(1+0.054)^2</f>
        <v>-13111346.292702597</v>
      </c>
      <c r="G14" s="2">
        <f>G13/(1+0.054)^3</f>
        <v>-19318230.672430091</v>
      </c>
      <c r="H14" s="2">
        <f>H13/(1+0.054)^4</f>
        <v>-27070387.467866272</v>
      </c>
      <c r="I14" s="2">
        <f>I13/(1+0.054)^5</f>
        <v>-34743766.521812409</v>
      </c>
      <c r="J14" s="2">
        <f>J13/(1+0.054)^6</f>
        <v>-36911155.130451009</v>
      </c>
      <c r="K14" s="2">
        <f>K13/(1+0.054)^7</f>
        <v>-19014983.667082585</v>
      </c>
      <c r="L14" s="2">
        <f>L13/(1+0.054)^8</f>
        <v>54379283.054058202</v>
      </c>
    </row>
    <row r="15" spans="1:13" s="9" customFormat="1" x14ac:dyDescent="0.45">
      <c r="A15" s="34" t="s">
        <v>29</v>
      </c>
      <c r="E15" s="9">
        <f>SUM(E14:L14)</f>
        <v>-104266448.87961504</v>
      </c>
    </row>
    <row r="20" spans="1:12" x14ac:dyDescent="0.45">
      <c r="A20" s="45" t="s">
        <v>30</v>
      </c>
      <c r="B20" s="17"/>
    </row>
    <row r="21" spans="1:12" x14ac:dyDescent="0.45">
      <c r="A21" s="45" t="s">
        <v>6</v>
      </c>
      <c r="B21" s="18">
        <v>0.7</v>
      </c>
    </row>
    <row r="22" spans="1:12" x14ac:dyDescent="0.45">
      <c r="A22" s="46" t="s">
        <v>1</v>
      </c>
      <c r="B22" s="19">
        <v>0.74</v>
      </c>
    </row>
    <row r="23" spans="1:12" x14ac:dyDescent="0.45">
      <c r="A23" s="45" t="s">
        <v>2</v>
      </c>
      <c r="B23" s="19">
        <v>0.14000000000000001</v>
      </c>
    </row>
    <row r="24" spans="1:12" x14ac:dyDescent="0.45">
      <c r="A24" s="45" t="s">
        <v>3</v>
      </c>
      <c r="B24" s="18">
        <v>0.21329999999999999</v>
      </c>
      <c r="E24" s="2" t="s">
        <v>44</v>
      </c>
    </row>
    <row r="25" spans="1:12" x14ac:dyDescent="0.45">
      <c r="A25" s="47" t="s">
        <v>4</v>
      </c>
      <c r="B25" s="18">
        <v>3.3300000000000003E-2</v>
      </c>
    </row>
    <row r="26" spans="1:12" x14ac:dyDescent="0.45">
      <c r="A26" s="45" t="s">
        <v>12</v>
      </c>
      <c r="B26" s="18">
        <v>5.7000000000000002E-2</v>
      </c>
    </row>
    <row r="27" spans="1:12" x14ac:dyDescent="0.45">
      <c r="A27" s="45" t="s">
        <v>13</v>
      </c>
      <c r="B27" s="19">
        <v>0.24</v>
      </c>
    </row>
    <row r="28" spans="1:12" x14ac:dyDescent="0.45">
      <c r="A28" s="45" t="s">
        <v>14</v>
      </c>
      <c r="B28" s="19">
        <v>0.23</v>
      </c>
    </row>
    <row r="29" spans="1:12" x14ac:dyDescent="0.45">
      <c r="A29" s="45" t="s">
        <v>15</v>
      </c>
      <c r="B29" s="19">
        <v>0.84</v>
      </c>
    </row>
    <row r="32" spans="1:12" s="11" customFormat="1" x14ac:dyDescent="0.45">
      <c r="A32" s="48" t="s">
        <v>15</v>
      </c>
      <c r="B32" s="16">
        <f>B5*B29</f>
        <v>3398661</v>
      </c>
      <c r="C32" s="16">
        <v>5982957</v>
      </c>
      <c r="D32" s="16">
        <v>10027522</v>
      </c>
      <c r="E32" s="11">
        <f t="shared" ref="E32:L32" si="17">E5*$B29</f>
        <v>16791496.427999999</v>
      </c>
      <c r="F32" s="11">
        <f t="shared" si="17"/>
        <v>28545543.9276</v>
      </c>
      <c r="G32" s="11">
        <f t="shared" si="17"/>
        <v>48527424.676919997</v>
      </c>
      <c r="H32" s="11">
        <f t="shared" si="17"/>
        <v>82496621.950764</v>
      </c>
      <c r="I32" s="11">
        <f t="shared" si="17"/>
        <v>140244257.31629878</v>
      </c>
      <c r="J32" s="11">
        <f t="shared" si="17"/>
        <v>238415237.43770796</v>
      </c>
      <c r="K32" s="11">
        <f t="shared" si="17"/>
        <v>405305903.64410347</v>
      </c>
      <c r="L32" s="11">
        <f t="shared" si="17"/>
        <v>689020036.19497597</v>
      </c>
    </row>
    <row r="33" spans="1:12" s="14" customFormat="1" x14ac:dyDescent="0.45">
      <c r="A33" s="44" t="s">
        <v>16</v>
      </c>
      <c r="C33" s="15">
        <f>C32-B32</f>
        <v>2584296</v>
      </c>
      <c r="D33" s="15">
        <f t="shared" ref="D33:L33" si="18">D32-C32</f>
        <v>4044565</v>
      </c>
      <c r="E33" s="15">
        <f t="shared" si="18"/>
        <v>6763974.4279999994</v>
      </c>
      <c r="F33" s="15">
        <f t="shared" si="18"/>
        <v>11754047.499600001</v>
      </c>
      <c r="G33" s="15">
        <f t="shared" si="18"/>
        <v>19981880.749319997</v>
      </c>
      <c r="H33" s="15">
        <f t="shared" si="18"/>
        <v>33969197.273844004</v>
      </c>
      <c r="I33" s="15">
        <f t="shared" si="18"/>
        <v>57747635.365534782</v>
      </c>
      <c r="J33" s="15">
        <f t="shared" si="18"/>
        <v>98170980.121409178</v>
      </c>
      <c r="K33" s="15">
        <f t="shared" si="18"/>
        <v>166890666.20639551</v>
      </c>
      <c r="L33" s="15">
        <f t="shared" si="18"/>
        <v>283714132.5508725</v>
      </c>
    </row>
    <row r="34" spans="1:12" s="11" customFormat="1" x14ac:dyDescent="0.45">
      <c r="A34" s="49" t="s">
        <v>9</v>
      </c>
      <c r="B34" s="16"/>
      <c r="C34" s="16">
        <v>499142</v>
      </c>
      <c r="D34" s="16">
        <v>515381</v>
      </c>
      <c r="E34" s="11">
        <f t="shared" ref="E34:L34" si="19">E5*$B26</f>
        <v>1139422.9719</v>
      </c>
      <c r="F34" s="11">
        <f t="shared" si="19"/>
        <v>1937019.05223</v>
      </c>
      <c r="G34" s="11">
        <f t="shared" si="19"/>
        <v>3292932.3887910005</v>
      </c>
      <c r="H34" s="11">
        <f t="shared" si="19"/>
        <v>5597985.0609447006</v>
      </c>
      <c r="I34" s="11">
        <f t="shared" si="19"/>
        <v>9516574.6036059894</v>
      </c>
      <c r="J34" s="11">
        <f t="shared" si="19"/>
        <v>16178176.826130183</v>
      </c>
      <c r="K34" s="11">
        <f t="shared" si="19"/>
        <v>27502900.60442131</v>
      </c>
      <c r="L34" s="11">
        <f t="shared" si="19"/>
        <v>46754931.027516223</v>
      </c>
    </row>
    <row r="35" spans="1:12" x14ac:dyDescent="0.45">
      <c r="A35" s="50" t="s">
        <v>10</v>
      </c>
      <c r="B35" s="8"/>
      <c r="C35" s="8">
        <v>2067454</v>
      </c>
      <c r="D35" s="8">
        <v>2263537</v>
      </c>
      <c r="E35" s="2">
        <f t="shared" ref="E35:L35" si="20">E5*$B27</f>
        <v>4797570.4079999998</v>
      </c>
      <c r="F35" s="2">
        <f t="shared" si="20"/>
        <v>8155869.6935999999</v>
      </c>
      <c r="G35" s="2">
        <f t="shared" si="20"/>
        <v>13864978.479119999</v>
      </c>
      <c r="H35" s="2">
        <f t="shared" si="20"/>
        <v>23570463.414503999</v>
      </c>
      <c r="I35" s="2">
        <f t="shared" si="20"/>
        <v>40069787.804656796</v>
      </c>
      <c r="J35" s="2">
        <f t="shared" si="20"/>
        <v>68118639.26791656</v>
      </c>
      <c r="K35" s="2">
        <f t="shared" si="20"/>
        <v>115801686.75545815</v>
      </c>
      <c r="L35" s="2">
        <f t="shared" si="20"/>
        <v>196862867.48427883</v>
      </c>
    </row>
    <row r="36" spans="1:12" x14ac:dyDescent="0.45">
      <c r="A36" s="29" t="s">
        <v>11</v>
      </c>
      <c r="B36" s="8"/>
      <c r="C36" s="8">
        <v>1860341</v>
      </c>
      <c r="D36" s="8">
        <v>2390250</v>
      </c>
      <c r="E36" s="2">
        <f t="shared" ref="E36:L36" si="21">E5*$B28</f>
        <v>4597671.6409999998</v>
      </c>
      <c r="F36" s="2">
        <f t="shared" si="21"/>
        <v>7816041.7897000005</v>
      </c>
      <c r="G36" s="2">
        <f t="shared" si="21"/>
        <v>13287271.042490002</v>
      </c>
      <c r="H36" s="2">
        <f t="shared" si="21"/>
        <v>22588360.772233002</v>
      </c>
      <c r="I36" s="2">
        <f t="shared" si="21"/>
        <v>38400213.312796101</v>
      </c>
      <c r="J36" s="2">
        <f t="shared" si="21"/>
        <v>65280362.63175337</v>
      </c>
      <c r="K36" s="2">
        <f t="shared" si="21"/>
        <v>110976616.47398072</v>
      </c>
      <c r="L36" s="2">
        <f t="shared" si="21"/>
        <v>188660248.00576723</v>
      </c>
    </row>
    <row r="37" spans="1:12" s="14" customFormat="1" x14ac:dyDescent="0.45">
      <c r="A37" s="44" t="s">
        <v>17</v>
      </c>
      <c r="C37" s="15">
        <f>C34+C35-C36</f>
        <v>706255</v>
      </c>
      <c r="D37" s="15">
        <f t="shared" ref="D37:L37" si="22">D34+D35-D36</f>
        <v>388668</v>
      </c>
      <c r="E37" s="15">
        <f t="shared" si="22"/>
        <v>1339321.7389000002</v>
      </c>
      <c r="F37" s="15">
        <f t="shared" si="22"/>
        <v>2276846.9561299989</v>
      </c>
      <c r="G37" s="15">
        <f t="shared" si="22"/>
        <v>3870639.825420998</v>
      </c>
      <c r="H37" s="15">
        <f t="shared" si="22"/>
        <v>6580087.7032156959</v>
      </c>
      <c r="I37" s="15">
        <f t="shared" si="22"/>
        <v>11186149.095466688</v>
      </c>
      <c r="J37" s="15">
        <f t="shared" si="22"/>
        <v>19016453.462293372</v>
      </c>
      <c r="K37" s="15">
        <f t="shared" si="22"/>
        <v>32327970.885898739</v>
      </c>
      <c r="L37" s="15">
        <f t="shared" si="22"/>
        <v>54957550.506027818</v>
      </c>
    </row>
    <row r="60" spans="13:13" x14ac:dyDescent="0.45">
      <c r="M60" s="2">
        <f t="shared" ref="M60" si="23">M5*$B27</f>
        <v>0</v>
      </c>
    </row>
  </sheetData>
  <pageMargins left="0.7" right="0.7" top="0.75" bottom="0.75" header="0.3" footer="0.3"/>
  <pageSetup orientation="portrait" horizontalDpi="4294967294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A6" sqref="A6"/>
    </sheetView>
  </sheetViews>
  <sheetFormatPr defaultRowHeight="14.25" x14ac:dyDescent="0.45"/>
  <cols>
    <col min="1" max="1" width="24.265625" customWidth="1"/>
    <col min="2" max="2" width="11.265625" bestFit="1" customWidth="1"/>
  </cols>
  <sheetData>
    <row r="1" spans="1:2" x14ac:dyDescent="0.45">
      <c r="A1" s="31" t="s">
        <v>46</v>
      </c>
    </row>
    <row r="2" spans="1:2" x14ac:dyDescent="0.45">
      <c r="A2" s="31"/>
    </row>
    <row r="3" spans="1:2" x14ac:dyDescent="0.45">
      <c r="A3" s="32" t="s">
        <v>31</v>
      </c>
      <c r="B3">
        <v>-4331309000</v>
      </c>
    </row>
    <row r="4" spans="1:2" x14ac:dyDescent="0.45">
      <c r="A4" s="32" t="s">
        <v>32</v>
      </c>
      <c r="B4">
        <v>178000000</v>
      </c>
    </row>
    <row r="6" spans="1:2" s="12" customFormat="1" x14ac:dyDescent="0.45">
      <c r="A6" s="33" t="s">
        <v>33</v>
      </c>
      <c r="B6" s="12">
        <f>B3/B4</f>
        <v>-24.333196629213482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3" sqref="A3:A9"/>
    </sheetView>
  </sheetViews>
  <sheetFormatPr defaultRowHeight="14.25" x14ac:dyDescent="0.45"/>
  <cols>
    <col min="1" max="1" width="29.59765625" bestFit="1" customWidth="1"/>
    <col min="2" max="2" width="19.59765625" customWidth="1"/>
  </cols>
  <sheetData>
    <row r="1" spans="1:2" x14ac:dyDescent="0.45">
      <c r="A1" s="31" t="s">
        <v>39</v>
      </c>
    </row>
    <row r="3" spans="1:2" x14ac:dyDescent="0.45">
      <c r="A3" s="32" t="s">
        <v>34</v>
      </c>
      <c r="B3">
        <v>332.57</v>
      </c>
    </row>
    <row r="4" spans="1:2" x14ac:dyDescent="0.45">
      <c r="A4" s="32" t="s">
        <v>35</v>
      </c>
      <c r="B4">
        <v>178000000</v>
      </c>
    </row>
    <row r="5" spans="1:2" x14ac:dyDescent="0.45">
      <c r="A5" s="32" t="s">
        <v>36</v>
      </c>
      <c r="B5">
        <f>B4*B3</f>
        <v>59197460000</v>
      </c>
    </row>
    <row r="6" spans="1:2" x14ac:dyDescent="0.45">
      <c r="A6" s="32" t="s">
        <v>37</v>
      </c>
      <c r="B6">
        <v>16000000000</v>
      </c>
    </row>
    <row r="7" spans="1:2" x14ac:dyDescent="0.45">
      <c r="A7" s="32" t="s">
        <v>38</v>
      </c>
      <c r="B7">
        <f>-3.368*4*1000000000</f>
        <v>-13472000000</v>
      </c>
    </row>
    <row r="8" spans="1:2" s="9" customFormat="1" x14ac:dyDescent="0.45">
      <c r="A8" s="34" t="s">
        <v>39</v>
      </c>
      <c r="B8" s="9">
        <f>SUM(B3:B7)</f>
        <v>61903460332.570007</v>
      </c>
    </row>
    <row r="9" spans="1:2" s="9" customFormat="1" x14ac:dyDescent="0.45">
      <c r="A9" s="34" t="s">
        <v>40</v>
      </c>
      <c r="B9" s="9">
        <f>B8/B4</f>
        <v>347.77224905938209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tabSelected="1" zoomScale="92" workbookViewId="0">
      <selection activeCell="A4" sqref="A4:A19"/>
    </sheetView>
  </sheetViews>
  <sheetFormatPr defaultRowHeight="14.25" x14ac:dyDescent="0.45"/>
  <cols>
    <col min="1" max="1" width="40.9296875" customWidth="1"/>
    <col min="2" max="2" width="22.9296875" customWidth="1"/>
    <col min="3" max="4" width="8.59765625" customWidth="1"/>
    <col min="5" max="5" width="9.9296875" bestFit="1" customWidth="1"/>
    <col min="6" max="6" width="10.59765625" bestFit="1" customWidth="1"/>
    <col min="7" max="7" width="17.73046875" customWidth="1"/>
    <col min="8" max="8" width="14.06640625" customWidth="1"/>
    <col min="9" max="9" width="12.06640625" customWidth="1"/>
    <col min="10" max="10" width="13.6640625" customWidth="1"/>
    <col min="11" max="11" width="14" customWidth="1"/>
    <col min="12" max="12" width="12.9296875" customWidth="1"/>
    <col min="13" max="13" width="15" customWidth="1"/>
  </cols>
  <sheetData>
    <row r="1" spans="1:15" x14ac:dyDescent="0.45">
      <c r="A1" s="31" t="s">
        <v>47</v>
      </c>
    </row>
    <row r="3" spans="1:15" x14ac:dyDescent="0.45">
      <c r="E3" s="22">
        <v>2017</v>
      </c>
      <c r="F3">
        <v>2018</v>
      </c>
      <c r="G3">
        <f>1+F3</f>
        <v>2019</v>
      </c>
      <c r="H3">
        <f t="shared" ref="H3:M3" si="0">1+G3</f>
        <v>2020</v>
      </c>
      <c r="I3">
        <f t="shared" si="0"/>
        <v>2021</v>
      </c>
      <c r="J3">
        <f t="shared" si="0"/>
        <v>2022</v>
      </c>
      <c r="K3">
        <f t="shared" si="0"/>
        <v>2023</v>
      </c>
      <c r="L3">
        <f>1+K3</f>
        <v>2024</v>
      </c>
      <c r="M3">
        <f t="shared" si="0"/>
        <v>2025</v>
      </c>
    </row>
    <row r="4" spans="1:15" x14ac:dyDescent="0.45">
      <c r="A4" s="35" t="s">
        <v>41</v>
      </c>
      <c r="B4" s="23"/>
      <c r="E4" s="22"/>
      <c r="F4">
        <f t="shared" ref="F4:M4" si="1">(F5-E5)/E5</f>
        <v>0.7</v>
      </c>
      <c r="G4">
        <f t="shared" si="1"/>
        <v>0.70000000000000007</v>
      </c>
      <c r="H4">
        <f t="shared" si="1"/>
        <v>0.70000000000000007</v>
      </c>
      <c r="I4">
        <f t="shared" si="1"/>
        <v>0.7</v>
      </c>
      <c r="J4">
        <f t="shared" si="1"/>
        <v>0.7</v>
      </c>
      <c r="K4">
        <f t="shared" si="1"/>
        <v>0.70000000000000007</v>
      </c>
      <c r="L4">
        <f t="shared" si="1"/>
        <v>0.69999999999999984</v>
      </c>
      <c r="M4">
        <f t="shared" si="1"/>
        <v>0.7</v>
      </c>
    </row>
    <row r="5" spans="1:15" x14ac:dyDescent="0.45">
      <c r="A5" s="35" t="s">
        <v>6</v>
      </c>
      <c r="B5" s="24">
        <v>1.7</v>
      </c>
      <c r="E5" s="21">
        <f>Projections!D5</f>
        <v>11758751</v>
      </c>
      <c r="F5" s="1">
        <f>E5*$B5</f>
        <v>19989876.699999999</v>
      </c>
      <c r="G5" s="1">
        <f t="shared" ref="G5:M5" si="2">F5*$B5</f>
        <v>33982790.390000001</v>
      </c>
      <c r="H5" s="1">
        <f t="shared" si="2"/>
        <v>57770743.663000003</v>
      </c>
      <c r="I5" s="1">
        <f t="shared" si="2"/>
        <v>98210264.2271</v>
      </c>
      <c r="J5" s="1">
        <f t="shared" si="2"/>
        <v>166957449.18607</v>
      </c>
      <c r="K5" s="1">
        <f t="shared" si="2"/>
        <v>283827663.616319</v>
      </c>
      <c r="L5" s="1">
        <f t="shared" si="2"/>
        <v>482507028.14774227</v>
      </c>
      <c r="M5" s="1">
        <f t="shared" si="2"/>
        <v>820261947.85116184</v>
      </c>
    </row>
    <row r="6" spans="1:15" ht="15.6" customHeight="1" x14ac:dyDescent="0.45">
      <c r="A6" s="36" t="s">
        <v>1</v>
      </c>
      <c r="B6" s="25">
        <v>1.74</v>
      </c>
      <c r="E6" s="21">
        <f>Projections!D6</f>
        <v>9536264</v>
      </c>
      <c r="F6" s="1">
        <f>E6*$B6</f>
        <v>16593099.359999999</v>
      </c>
      <c r="G6" s="1">
        <f t="shared" ref="G6:M6" si="3">F6*$B6</f>
        <v>28871992.886399999</v>
      </c>
      <c r="H6" s="1">
        <f t="shared" si="3"/>
        <v>50237267.622336</v>
      </c>
      <c r="I6" s="1">
        <f t="shared" si="3"/>
        <v>87412845.66286464</v>
      </c>
      <c r="J6" s="1">
        <f t="shared" si="3"/>
        <v>152098351.45338446</v>
      </c>
      <c r="K6" s="1">
        <f t="shared" si="3"/>
        <v>264651131.52888897</v>
      </c>
      <c r="L6" s="1">
        <f t="shared" si="3"/>
        <v>460492968.8602668</v>
      </c>
      <c r="M6" s="1">
        <f t="shared" si="3"/>
        <v>801257765.81686425</v>
      </c>
    </row>
    <row r="7" spans="1:15" x14ac:dyDescent="0.45">
      <c r="A7" s="35" t="s">
        <v>2</v>
      </c>
      <c r="B7" s="25">
        <v>0.14000000000000001</v>
      </c>
      <c r="E7" s="21">
        <f>Projections!D7</f>
        <v>1378073</v>
      </c>
      <c r="F7" s="1">
        <f>F5*$B7</f>
        <v>2798582.7380000004</v>
      </c>
      <c r="G7" s="1">
        <f t="shared" ref="G7:M7" si="4">G5*$B7</f>
        <v>4757590.6546000009</v>
      </c>
      <c r="H7" s="1">
        <f t="shared" si="4"/>
        <v>8087904.1128200013</v>
      </c>
      <c r="I7" s="1">
        <f t="shared" si="4"/>
        <v>13749436.991794001</v>
      </c>
      <c r="J7" s="1">
        <f t="shared" si="4"/>
        <v>23374042.886049803</v>
      </c>
      <c r="K7" s="1">
        <f t="shared" si="4"/>
        <v>39735872.906284668</v>
      </c>
      <c r="L7" s="1">
        <f t="shared" si="4"/>
        <v>67550983.940683931</v>
      </c>
      <c r="M7" s="1">
        <f t="shared" si="4"/>
        <v>114836672.69916266</v>
      </c>
      <c r="N7" s="1"/>
      <c r="O7" s="1"/>
    </row>
    <row r="8" spans="1:15" x14ac:dyDescent="0.45">
      <c r="A8" s="35" t="s">
        <v>3</v>
      </c>
      <c r="B8" s="24">
        <v>0.21329999999999999</v>
      </c>
      <c r="E8" s="21">
        <f>Projections!D8</f>
        <v>2476500</v>
      </c>
      <c r="F8" s="1">
        <f>F5*$B8</f>
        <v>4263840.7001099996</v>
      </c>
      <c r="G8" s="1">
        <f t="shared" ref="G8:M8" si="5">G5*$B8</f>
        <v>7248529.1901869997</v>
      </c>
      <c r="H8" s="1">
        <f t="shared" si="5"/>
        <v>12322499.623317899</v>
      </c>
      <c r="I8" s="1">
        <f t="shared" si="5"/>
        <v>20948249.359640431</v>
      </c>
      <c r="J8" s="1">
        <f t="shared" si="5"/>
        <v>35612023.911388725</v>
      </c>
      <c r="K8" s="1">
        <f t="shared" si="5"/>
        <v>60540440.649360843</v>
      </c>
      <c r="L8" s="1">
        <f t="shared" si="5"/>
        <v>102918749.10391343</v>
      </c>
      <c r="M8" s="1">
        <f t="shared" si="5"/>
        <v>174961873.4766528</v>
      </c>
    </row>
    <row r="9" spans="1:15" x14ac:dyDescent="0.45">
      <c r="A9" s="37" t="s">
        <v>4</v>
      </c>
      <c r="B9" s="24">
        <v>3.3300000000000003E-2</v>
      </c>
      <c r="E9" s="21">
        <f>Projections!D9</f>
        <v>471259</v>
      </c>
      <c r="F9" s="1">
        <f>F5*$B9</f>
        <v>665662.89410999999</v>
      </c>
      <c r="G9" s="1">
        <f t="shared" ref="G9:M9" si="6">G5*$B9</f>
        <v>1131626.9199870001</v>
      </c>
      <c r="H9" s="1">
        <f t="shared" si="6"/>
        <v>1923765.7639779004</v>
      </c>
      <c r="I9" s="1">
        <f t="shared" si="6"/>
        <v>3270401.7987624304</v>
      </c>
      <c r="J9" s="1">
        <f t="shared" si="6"/>
        <v>5559683.0578961316</v>
      </c>
      <c r="K9" s="1">
        <f t="shared" si="6"/>
        <v>9451461.1984234229</v>
      </c>
      <c r="L9" s="1">
        <f t="shared" si="6"/>
        <v>16067484.037319819</v>
      </c>
      <c r="M9" s="1">
        <f t="shared" si="6"/>
        <v>27314722.863443691</v>
      </c>
    </row>
    <row r="10" spans="1:15" s="14" customFormat="1" x14ac:dyDescent="0.45">
      <c r="A10" s="38" t="s">
        <v>31</v>
      </c>
      <c r="B10" s="26"/>
      <c r="C10"/>
      <c r="D10"/>
      <c r="E10" s="15">
        <f t="shared" ref="E10:M10" si="7">E5-E6-E7-E8-E9</f>
        <v>-2103345</v>
      </c>
      <c r="F10" s="15">
        <f t="shared" si="7"/>
        <v>-4331308.9922200004</v>
      </c>
      <c r="G10" s="15">
        <f t="shared" si="7"/>
        <v>-8026949.2611739989</v>
      </c>
      <c r="H10" s="15">
        <f t="shared" si="7"/>
        <v>-14800693.459451798</v>
      </c>
      <c r="I10" s="15">
        <f t="shared" si="7"/>
        <v>-27170669.585961502</v>
      </c>
      <c r="J10" s="15">
        <f t="shared" si="7"/>
        <v>-49686652.122649126</v>
      </c>
      <c r="K10" s="15">
        <f t="shared" si="7"/>
        <v>-90551242.666638911</v>
      </c>
      <c r="L10" s="15">
        <f t="shared" si="7"/>
        <v>-164523157.7944417</v>
      </c>
      <c r="M10" s="15">
        <f t="shared" si="7"/>
        <v>-298109087.00496155</v>
      </c>
    </row>
    <row r="11" spans="1:15" x14ac:dyDescent="0.45">
      <c r="A11" s="35" t="s">
        <v>12</v>
      </c>
      <c r="B11" s="24">
        <v>5.7000000000000002E-2</v>
      </c>
      <c r="E11" s="21">
        <f>Projections!D34</f>
        <v>515381</v>
      </c>
      <c r="F11" s="1">
        <f>F5*$B11</f>
        <v>1139422.9719</v>
      </c>
      <c r="G11" s="1">
        <f t="shared" ref="G11:M11" si="8">G5*$B11</f>
        <v>1937019.05223</v>
      </c>
      <c r="H11" s="1">
        <f t="shared" si="8"/>
        <v>3292932.3887910005</v>
      </c>
      <c r="I11" s="1">
        <f t="shared" si="8"/>
        <v>5597985.0609447006</v>
      </c>
      <c r="J11" s="1">
        <f t="shared" si="8"/>
        <v>9516574.6036059894</v>
      </c>
      <c r="K11" s="1">
        <f t="shared" si="8"/>
        <v>16178176.826130183</v>
      </c>
      <c r="L11" s="1">
        <f t="shared" si="8"/>
        <v>27502900.60442131</v>
      </c>
      <c r="M11" s="1">
        <f t="shared" si="8"/>
        <v>46754931.027516223</v>
      </c>
    </row>
    <row r="12" spans="1:15" x14ac:dyDescent="0.45">
      <c r="A12" s="35" t="s">
        <v>13</v>
      </c>
      <c r="B12" s="25">
        <v>0.24</v>
      </c>
      <c r="E12" s="21">
        <f>Projections!D35</f>
        <v>2263537</v>
      </c>
      <c r="F12" s="1">
        <f>F5*$B12</f>
        <v>4797570.4079999998</v>
      </c>
      <c r="G12" s="1">
        <f t="shared" ref="G12:M12" si="9">G5*$B12</f>
        <v>8155869.6935999999</v>
      </c>
      <c r="H12" s="1">
        <f t="shared" si="9"/>
        <v>13864978.479119999</v>
      </c>
      <c r="I12" s="1">
        <f t="shared" si="9"/>
        <v>23570463.414503999</v>
      </c>
      <c r="J12" s="1">
        <f t="shared" si="9"/>
        <v>40069787.804656796</v>
      </c>
      <c r="K12" s="1">
        <f t="shared" si="9"/>
        <v>68118639.26791656</v>
      </c>
      <c r="L12" s="1">
        <f t="shared" si="9"/>
        <v>115801686.75545815</v>
      </c>
      <c r="M12" s="1">
        <f t="shared" si="9"/>
        <v>196862867.48427883</v>
      </c>
    </row>
    <row r="13" spans="1:15" x14ac:dyDescent="0.45">
      <c r="A13" s="35" t="s">
        <v>14</v>
      </c>
      <c r="B13" s="25">
        <v>0.23</v>
      </c>
      <c r="E13" s="21">
        <f>Projections!D36</f>
        <v>2390250</v>
      </c>
      <c r="F13" s="1">
        <f>F5*$B13</f>
        <v>4597671.6409999998</v>
      </c>
      <c r="G13" s="1">
        <f t="shared" ref="G13:M13" si="10">G5*$B13</f>
        <v>7816041.7897000005</v>
      </c>
      <c r="H13" s="1">
        <f t="shared" si="10"/>
        <v>13287271.042490002</v>
      </c>
      <c r="I13" s="1">
        <f t="shared" si="10"/>
        <v>22588360.772233002</v>
      </c>
      <c r="J13" s="1">
        <f t="shared" si="10"/>
        <v>38400213.312796101</v>
      </c>
      <c r="K13" s="1">
        <f t="shared" si="10"/>
        <v>65280362.63175337</v>
      </c>
      <c r="L13" s="1">
        <f t="shared" si="10"/>
        <v>110976616.47398072</v>
      </c>
      <c r="M13" s="1">
        <f t="shared" si="10"/>
        <v>188660248.00576723</v>
      </c>
    </row>
    <row r="14" spans="1:15" x14ac:dyDescent="0.45">
      <c r="A14" s="35" t="s">
        <v>42</v>
      </c>
      <c r="B14" s="25"/>
      <c r="E14" s="21"/>
      <c r="F14" s="1">
        <f>(F11+F12)-F13</f>
        <v>1339321.7389000002</v>
      </c>
      <c r="G14" s="1">
        <f>(G11+G12)-G13</f>
        <v>2276846.9561299989</v>
      </c>
      <c r="H14" s="1">
        <f t="shared" ref="H14:M14" si="11">(H11+H12)-H13</f>
        <v>3870639.825420998</v>
      </c>
      <c r="I14" s="1">
        <f t="shared" si="11"/>
        <v>6580087.7032156959</v>
      </c>
      <c r="J14" s="1">
        <f t="shared" si="11"/>
        <v>11186149.095466688</v>
      </c>
      <c r="K14" s="1">
        <f t="shared" si="11"/>
        <v>19016453.462293372</v>
      </c>
      <c r="L14" s="1">
        <f t="shared" si="11"/>
        <v>32327970.885898739</v>
      </c>
      <c r="M14" s="1">
        <f t="shared" si="11"/>
        <v>54957550.506027818</v>
      </c>
    </row>
    <row r="15" spans="1:15" x14ac:dyDescent="0.45">
      <c r="A15" s="35" t="s">
        <v>15</v>
      </c>
      <c r="B15" s="25">
        <v>0.84</v>
      </c>
      <c r="E15" s="21">
        <f>Projections!D32</f>
        <v>10027522</v>
      </c>
      <c r="F15" s="1">
        <f>F5*$B15</f>
        <v>16791496.427999999</v>
      </c>
      <c r="G15" s="1">
        <f t="shared" ref="G15:M15" si="12">G5*$B15</f>
        <v>28545543.9276</v>
      </c>
      <c r="H15" s="1">
        <f t="shared" si="12"/>
        <v>48527424.676919997</v>
      </c>
      <c r="I15" s="1">
        <f t="shared" si="12"/>
        <v>82496621.950764</v>
      </c>
      <c r="J15" s="1">
        <f t="shared" si="12"/>
        <v>140244257.31629878</v>
      </c>
      <c r="K15" s="1">
        <f>K5*$B15</f>
        <v>238415237.43770796</v>
      </c>
      <c r="L15" s="1">
        <f t="shared" si="12"/>
        <v>405305903.64410347</v>
      </c>
      <c r="M15" s="1">
        <f t="shared" si="12"/>
        <v>689020036.19497597</v>
      </c>
    </row>
    <row r="16" spans="1:15" x14ac:dyDescent="0.45">
      <c r="A16" s="35" t="s">
        <v>16</v>
      </c>
      <c r="B16" s="25"/>
      <c r="E16" s="21"/>
      <c r="F16" s="1">
        <f>F15-E15</f>
        <v>6763974.4279999994</v>
      </c>
      <c r="G16" s="1">
        <f t="shared" ref="G16:M16" si="13">G15-F15</f>
        <v>11754047.499600001</v>
      </c>
      <c r="H16" s="1">
        <f t="shared" si="13"/>
        <v>19981880.749319997</v>
      </c>
      <c r="I16" s="1">
        <f t="shared" si="13"/>
        <v>33969197.273844004</v>
      </c>
      <c r="J16" s="1">
        <f t="shared" si="13"/>
        <v>57747635.365534782</v>
      </c>
      <c r="K16" s="1">
        <f t="shared" si="13"/>
        <v>98170980.121409178</v>
      </c>
      <c r="L16" s="1">
        <f t="shared" si="13"/>
        <v>166890666.20639551</v>
      </c>
      <c r="M16" s="1">
        <f t="shared" si="13"/>
        <v>283714132.5508725</v>
      </c>
    </row>
    <row r="17" spans="1:13" x14ac:dyDescent="0.45">
      <c r="A17" s="35" t="s">
        <v>18</v>
      </c>
      <c r="B17" s="23"/>
      <c r="E17" s="22"/>
      <c r="F17" s="1">
        <f>F10-F14-F16</f>
        <v>-12434605.159120001</v>
      </c>
      <c r="G17" s="1">
        <f t="shared" ref="G17:M17" si="14">G10-G14-G16</f>
        <v>-22057843.716903999</v>
      </c>
      <c r="H17" s="1">
        <f t="shared" si="14"/>
        <v>-38653214.034192793</v>
      </c>
      <c r="I17" s="1">
        <f t="shared" si="14"/>
        <v>-67719954.563021198</v>
      </c>
      <c r="J17" s="1">
        <f t="shared" si="14"/>
        <v>-118620436.58365059</v>
      </c>
      <c r="K17" s="1">
        <f t="shared" si="14"/>
        <v>-207738676.25034148</v>
      </c>
      <c r="L17" s="1">
        <f t="shared" si="14"/>
        <v>-363741794.88673592</v>
      </c>
      <c r="M17" s="1">
        <f t="shared" si="14"/>
        <v>-636780770.06186187</v>
      </c>
    </row>
    <row r="18" spans="1:13" x14ac:dyDescent="0.45">
      <c r="A18" s="39" t="s">
        <v>7</v>
      </c>
      <c r="B18" s="27"/>
      <c r="E18" s="16">
        <v>1636003</v>
      </c>
      <c r="F18" s="8">
        <f>E18*2.14</f>
        <v>3501046.4200000004</v>
      </c>
      <c r="G18" s="8">
        <f t="shared" ref="G18:M18" si="15">F18*2.14</f>
        <v>7492239.338800001</v>
      </c>
      <c r="H18" s="8">
        <f t="shared" si="15"/>
        <v>16033392.185032003</v>
      </c>
      <c r="I18" s="8">
        <f t="shared" si="15"/>
        <v>34311459.275968485</v>
      </c>
      <c r="J18" s="8">
        <f t="shared" si="15"/>
        <v>73426522.850572556</v>
      </c>
      <c r="K18" s="8">
        <f t="shared" si="15"/>
        <v>157132758.90022528</v>
      </c>
      <c r="L18" s="8">
        <f t="shared" si="15"/>
        <v>336264104.04648215</v>
      </c>
      <c r="M18" s="8">
        <f t="shared" si="15"/>
        <v>719605182.65947187</v>
      </c>
    </row>
    <row r="19" spans="1:13" s="14" customFormat="1" x14ac:dyDescent="0.45">
      <c r="A19" s="40" t="s">
        <v>43</v>
      </c>
      <c r="B19" s="28"/>
      <c r="C19"/>
      <c r="D19"/>
      <c r="F19" s="15">
        <f>F17+F18</f>
        <v>-8933558.739120001</v>
      </c>
      <c r="G19" s="15">
        <f t="shared" ref="G19:M19" si="16">G17+G18</f>
        <v>-14565604.378103998</v>
      </c>
      <c r="H19" s="15">
        <f t="shared" si="16"/>
        <v>-22619821.84916079</v>
      </c>
      <c r="I19" s="15">
        <f t="shared" si="16"/>
        <v>-33408495.287052713</v>
      </c>
      <c r="J19" s="15">
        <f t="shared" si="16"/>
        <v>-45193913.733078033</v>
      </c>
      <c r="K19" s="15">
        <f t="shared" si="16"/>
        <v>-50605917.350116193</v>
      </c>
      <c r="L19" s="15">
        <f t="shared" si="16"/>
        <v>-27477690.84025377</v>
      </c>
      <c r="M19" s="15">
        <f t="shared" si="16"/>
        <v>82824412.597609997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A3" sqref="A3:A11"/>
    </sheetView>
  </sheetViews>
  <sheetFormatPr defaultRowHeight="14.25" x14ac:dyDescent="0.45"/>
  <cols>
    <col min="1" max="1" width="36.6640625" customWidth="1"/>
  </cols>
  <sheetData>
    <row r="1" spans="1:2" x14ac:dyDescent="0.45">
      <c r="A1" s="31" t="s">
        <v>27</v>
      </c>
    </row>
    <row r="3" spans="1:2" x14ac:dyDescent="0.45">
      <c r="A3" s="32" t="s">
        <v>19</v>
      </c>
      <c r="B3">
        <v>1.34</v>
      </c>
    </row>
    <row r="4" spans="1:2" x14ac:dyDescent="0.45">
      <c r="A4" s="32" t="s">
        <v>20</v>
      </c>
      <c r="B4">
        <v>3.84</v>
      </c>
    </row>
    <row r="5" spans="1:2" x14ac:dyDescent="0.45">
      <c r="A5" s="32" t="s">
        <v>21</v>
      </c>
      <c r="B5">
        <v>3.15</v>
      </c>
    </row>
    <row r="6" spans="1:2" x14ac:dyDescent="0.45">
      <c r="A6" s="32" t="s">
        <v>22</v>
      </c>
      <c r="B6">
        <f>B5+(B4*B3)</f>
        <v>8.2956000000000003</v>
      </c>
    </row>
    <row r="7" spans="1:2" x14ac:dyDescent="0.45">
      <c r="A7" s="32" t="s">
        <v>23</v>
      </c>
      <c r="B7">
        <v>5.2</v>
      </c>
    </row>
    <row r="8" spans="1:2" x14ac:dyDescent="0.45">
      <c r="A8" s="32" t="s">
        <v>24</v>
      </c>
      <c r="B8">
        <v>1.82</v>
      </c>
    </row>
    <row r="9" spans="1:2" x14ac:dyDescent="0.45">
      <c r="A9" s="32" t="s">
        <v>25</v>
      </c>
      <c r="B9">
        <f>0.35*B6</f>
        <v>2.9034599999999999</v>
      </c>
    </row>
    <row r="10" spans="1:2" x14ac:dyDescent="0.45">
      <c r="A10" s="32" t="s">
        <v>26</v>
      </c>
      <c r="B10">
        <f>0.645*0.75*B7</f>
        <v>2.5155000000000003</v>
      </c>
    </row>
    <row r="11" spans="1:2" s="9" customFormat="1" x14ac:dyDescent="0.45">
      <c r="A11" s="34" t="s">
        <v>27</v>
      </c>
      <c r="B11" s="9">
        <f>B9+B10</f>
        <v>5.4189600000000002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Projections</vt:lpstr>
      <vt:lpstr>Earning per share</vt:lpstr>
      <vt:lpstr>Enterprise value</vt:lpstr>
      <vt:lpstr>Sensitivity analysis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2020-04-28T18:55:45Z</dcterms:modified>
</cp:coreProperties>
</file>