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<sst xmlns="http://schemas.openxmlformats.org/spreadsheetml/2006/main" count="24" uniqueCount="24">
  <si>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Comapany</t>
  </si>
  <si>
    <t>Price</t>
  </si>
  <si>
    <t>Market cap</t>
  </si>
  <si>
    <t>EV</t>
  </si>
  <si>
    <t xml:space="preserve">Sales </t>
  </si>
  <si>
    <t>EBITDA</t>
  </si>
  <si>
    <t>EBIT</t>
  </si>
  <si>
    <t>Earning</t>
  </si>
  <si>
    <t>EV/sales</t>
  </si>
  <si>
    <t>EV/EBITDA</t>
  </si>
  <si>
    <t>EV/EBIT</t>
  </si>
  <si>
    <t>P/E</t>
  </si>
  <si>
    <t>GM</t>
  </si>
  <si>
    <t>Ford</t>
  </si>
  <si>
    <t>Toyota</t>
  </si>
  <si>
    <t>Volkswagen</t>
  </si>
  <si>
    <t>daimler</t>
  </si>
  <si>
    <t>BMW</t>
  </si>
  <si>
    <t>Honda</t>
  </si>
  <si>
    <t>Tesla</t>
  </si>
  <si>
    <t>how many years to cover the cost of the company</t>
  </si>
  <si>
    <t>Average</t>
  </si>
  <si>
    <t>Difference</t>
  </si>
  <si>
    <t>Strong Sell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</si>
</sst>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232A31"/>
      <name val="Arial"/>
      <scheme val="minor"/>
    </font>
    <font>
      <color rgb="FF232A31"/>
      <name val="Arial"/>
    </font>
    <font>
      <color rgb="FF232A31"/>
      <name val="&quot;Yahoo Sans Finance&quot;"/>
    </font>
    <font>
      <b/>
      <color rgb="FF232A31"/>
      <name val="&quot;Yahoo Sans Finance&quot;"/>
    </font>
    <font>
      <b/>
      <color rgb="FF232A31"/>
      <name val="Arial"/>
    </font>
    <font>
      <b/>
      <color rgb="FFFF0000"/>
      <name val="Arial"/>
      <scheme val="minor"/>
    </font>
    <font>
      <color rgb="FFFF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Font="1" applyNumberFormat="1"/>
    <xf borderId="0" fillId="2" fontId="3" numFmtId="165" xfId="0" applyAlignment="1" applyFill="1" applyFont="1" applyNumberFormat="1">
      <alignment horizontal="center" readingOrder="0"/>
    </xf>
    <xf borderId="0" fillId="2" fontId="4" numFmtId="165" xfId="0" applyAlignment="1" applyFont="1" applyNumberFormat="1">
      <alignment horizontal="center" readingOrder="0"/>
    </xf>
    <xf borderId="0" fillId="0" fontId="2" numFmtId="4" xfId="0" applyFont="1" applyNumberFormat="1"/>
    <xf borderId="0" fillId="2" fontId="5" numFmtId="165" xfId="0" applyAlignment="1" applyFont="1" applyNumberFormat="1">
      <alignment horizontal="center" readingOrder="0"/>
    </xf>
    <xf borderId="0" fillId="0" fontId="2" numFmtId="164" xfId="0" applyAlignment="1" applyFont="1" applyNumberFormat="1">
      <alignment readingOrder="0"/>
    </xf>
    <xf borderId="0" fillId="2" fontId="4" numFmtId="165" xfId="0" applyAlignment="1" applyFont="1" applyNumberFormat="1">
      <alignment horizontal="right" readingOrder="0"/>
    </xf>
    <xf borderId="0" fillId="0" fontId="1" numFmtId="164" xfId="0" applyFont="1" applyNumberFormat="1"/>
    <xf borderId="0" fillId="0" fontId="1" numFmtId="165" xfId="0" applyFont="1" applyNumberFormat="1"/>
    <xf borderId="0" fillId="2" fontId="6" numFmtId="165" xfId="0" applyAlignment="1" applyFont="1" applyNumberFormat="1">
      <alignment horizontal="center" readingOrder="0"/>
    </xf>
    <xf borderId="0" fillId="2" fontId="7" numFmtId="165" xfId="0" applyAlignment="1" applyFont="1" applyNumberFormat="1">
      <alignment horizontal="center" readingOrder="0"/>
    </xf>
    <xf borderId="0" fillId="0" fontId="1" numFmtId="4" xfId="0" applyFont="1" applyNumberFormat="1"/>
    <xf borderId="0" fillId="0" fontId="8" numFmtId="10" xfId="0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7.0"/>
    <col customWidth="1" min="3" max="5" width="14.38"/>
    <col customWidth="1" min="6" max="8" width="13.5"/>
    <col customWidth="1" min="9" max="9" width="37.63"/>
    <col customWidth="1" min="10" max="10" width="9.88"/>
    <col customWidth="1" min="11" max="11" width="7.5"/>
    <col customWidth="1" min="12" max="12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4">
        <f>IFERROR(__xludf.DUMMYFUNCTION("GOOGLEFINANCE(""NYSE:GM"",""price"")"),39.23)</f>
        <v>39.23</v>
      </c>
      <c r="C2" s="5">
        <f>IFERROR(__xludf.DUMMYFUNCTION("GOOGLEFINANCE(""NYSE:GM"","" marketcap"")"),5.4534524653E10)</f>
        <v>54534524653</v>
      </c>
      <c r="D2" s="6">
        <f>C2 + 95546000000</f>
        <v>150080524653</v>
      </c>
      <c r="E2" s="7">
        <v>1.56735E11</v>
      </c>
      <c r="F2" s="7">
        <v>2.3874E10</v>
      </c>
      <c r="G2" s="7">
        <v>1.2584E10</v>
      </c>
      <c r="H2" s="7">
        <v>8.915E9</v>
      </c>
      <c r="I2" s="8">
        <f t="shared" ref="I2:I9" si="1">D2/E2</f>
        <v>0.9575431439</v>
      </c>
      <c r="J2" s="8">
        <f t="shared" ref="J2:J9" si="2">D2/F2</f>
        <v>6.286358576</v>
      </c>
      <c r="K2" s="8">
        <f t="shared" ref="K2:K9" si="3">D2/G2</f>
        <v>11.92629725</v>
      </c>
      <c r="L2" s="8">
        <f>C2/H2</f>
        <v>6.117164852</v>
      </c>
    </row>
    <row r="3">
      <c r="A3" s="3" t="s">
        <v>13</v>
      </c>
      <c r="B3" s="4">
        <f>IFERROR(__xludf.DUMMYFUNCTION("GOOGLEFINANCE(""NYSE:F"",""price"")"),14.1)</f>
        <v>14.1</v>
      </c>
      <c r="C3" s="5">
        <f>IFERROR(__xludf.DUMMYFUNCTION("GOOGLEFINANCE(""NYSE:F"","" marketcap"")"),5.6410858526E10)</f>
        <v>56410858526</v>
      </c>
      <c r="D3" s="9">
        <f>C3+ 113835000000</f>
        <v>170245858526</v>
      </c>
      <c r="E3" s="7">
        <v>1.58057E11</v>
      </c>
      <c r="F3" s="7">
        <v>1.1255E10</v>
      </c>
      <c r="G3" s="7">
        <v>4.762E9</v>
      </c>
      <c r="H3" s="7">
        <v>-1.981E9</v>
      </c>
      <c r="I3" s="8">
        <f t="shared" si="1"/>
        <v>1.077116854</v>
      </c>
      <c r="J3" s="8">
        <f t="shared" si="2"/>
        <v>15.12624243</v>
      </c>
      <c r="K3" s="8">
        <f t="shared" si="3"/>
        <v>35.75091527</v>
      </c>
      <c r="L3" s="8"/>
    </row>
    <row r="4">
      <c r="A4" s="3" t="s">
        <v>14</v>
      </c>
      <c r="B4" s="4">
        <f>IFERROR(__xludf.DUMMYFUNCTION("GOOGLEFINANCE(""NYSE:TM"",""price"")"),163.97)</f>
        <v>163.97</v>
      </c>
      <c r="C4" s="5">
        <f>IFERROR(__xludf.DUMMYFUNCTION("GOOGLEFINANCE(""NYSE:TM"","" marketcap"")"),3.731235926E13)</f>
        <v>37312359260000</v>
      </c>
      <c r="D4" s="7">
        <f>IFERROR(__xludf.DUMMYFUNCTION("C4+ 2186330700000*GOOGLEFINANCE(""CURRENCY:JPYUSD"")"),3.7328017401915164E13)</f>
        <v>37328017401915</v>
      </c>
      <c r="E4" s="7">
        <f>IFERROR(__xludf.DUMMYFUNCTION("35576499000000*GOOGLEFINANCE(""CURRENCY:JPYUSD"")"),2.54793051292164E11)</f>
        <v>254793051292</v>
      </c>
      <c r="F4" s="7">
        <f>IFERROR(__xludf.DUMMYFUNCTION("5751578000000*GOOGLEFINANCE(""CURRENCY:JPYUSD"")"),4.1191858377208E10)</f>
        <v>41191858377</v>
      </c>
      <c r="G4" s="7">
        <f>IFERROR(__xludf.DUMMYFUNCTION("373747200000*GOOGLEFINANCE(""CURRENCY:JPYUSD"")"),2.6767161518592E9)</f>
        <v>2676716152</v>
      </c>
      <c r="H4" s="7">
        <f>IFERROR(__xludf.DUMMYFUNCTION("2432914000000*GOOGLEFINANCE(""CURRENCY:JPYUSD"")"),1.7424131070104E10)</f>
        <v>17424131070</v>
      </c>
      <c r="I4" s="8">
        <f t="shared" si="1"/>
        <v>146.5032787</v>
      </c>
      <c r="J4" s="8">
        <f t="shared" si="2"/>
        <v>906.1989158</v>
      </c>
      <c r="K4" s="8">
        <f t="shared" si="3"/>
        <v>13945.45229</v>
      </c>
      <c r="L4" s="8">
        <f t="shared" ref="L4:L9" si="4">C4/H4</f>
        <v>2141.418652</v>
      </c>
    </row>
    <row r="5">
      <c r="A5" s="3" t="s">
        <v>15</v>
      </c>
      <c r="B5" s="4">
        <f>IFERROR(__xludf.DUMMYFUNCTION("GOOGLEFINANCE(""ETR:VOW3"",""price"")*GOOGLEFINANCE(""CURRENCY:EURUSD"")"),138.9527776)</f>
        <v>138.9527776</v>
      </c>
      <c r="C5" s="5">
        <f>IFERROR(__xludf.DUMMYFUNCTION("GOOGLEFINANCE(""ETR:VOW3"",""marketcap"")*GOOGLEFINANCE(""CURRENCY:EURUSD"")"),7.88198433538244E10)</f>
        <v>78819843354</v>
      </c>
      <c r="D5" s="7">
        <f>IFERROR(__xludf.DUMMYFUNCTION("C5+ 142879000000*GOOGLEFINANCE(""CURRENCY:EURUSD"")"),2.392386693938244E11)</f>
        <v>239238669394</v>
      </c>
      <c r="E5" s="7">
        <f>IFERROR(__xludf.DUMMYFUNCTION("266598000000*GOOGLEFINANCE(""CURRENCY:EURUSD"")"),2.9932557048E11)</f>
        <v>299325570480</v>
      </c>
      <c r="F5" s="9">
        <f>IFERROR(__xludf.DUMMYFUNCTION("55595000000*GOOGLEFINANCE(""CURRENCY:EURUSD"")"),6.24198422E10)</f>
        <v>62419842200</v>
      </c>
      <c r="G5" s="9">
        <f>IFERROR(__xludf.DUMMYFUNCTION("25243000000*GOOGLEFINANCE(""CURRENCY:EURUSD"")"),2.834183068E10)</f>
        <v>28341830680</v>
      </c>
      <c r="H5" s="9">
        <f>IFERROR(__xludf.DUMMYFUNCTION("16231000000*GOOGLEFINANCE(""CURRENCY:EURUSD"")"),1.822351756E10)</f>
        <v>18223517560</v>
      </c>
      <c r="I5" s="8">
        <f t="shared" si="1"/>
        <v>0.7992590443</v>
      </c>
      <c r="J5" s="8">
        <f t="shared" si="2"/>
        <v>3.832734287</v>
      </c>
      <c r="K5" s="8">
        <f t="shared" si="3"/>
        <v>8.441186178</v>
      </c>
      <c r="L5" s="8">
        <f t="shared" si="4"/>
        <v>4.325171751</v>
      </c>
    </row>
    <row r="6">
      <c r="A6" s="3" t="s">
        <v>16</v>
      </c>
      <c r="B6" s="4">
        <f>IFERROR(__xludf.DUMMYFUNCTION("GOOGLEFINANCE(""ETR:MBG"",""price"")*GOOGLEFINANCE(""CURRENCY:EURUSD"")"),80.7152164)</f>
        <v>80.7152164</v>
      </c>
      <c r="C6" s="5">
        <f>IFERROR(__xludf.DUMMYFUNCTION("GOOGLEFINANCE(""ETR:MBG"",""marketcap"")*GOOGLEFINANCE(""CURRENCY:EURUSD"")"),1.1936822679004E8)</f>
        <v>119368226.8</v>
      </c>
      <c r="D6" s="7">
        <f>IFERROR(__xludf.DUMMYFUNCTION("C6+ 64090000000*GOOGLEFINANCE(""CURRENCY:EURUSD"")"),7.207705662679004E10)</f>
        <v>72077056627</v>
      </c>
      <c r="E6" s="9">
        <f>IFERROR(__xludf.DUMMYFUNCTION("144254000000*GOOGLEFINANCE(""CURRENCY:EURUSD"")"),1.6196262104E11)</f>
        <v>161962621040</v>
      </c>
      <c r="F6" s="9">
        <f>IFERROR(__xludf.DUMMYFUNCTION("25858000000*GOOGLEFINANCE(""CURRENCY:EURUSD"")"),2.903232808E10)</f>
        <v>29032328080</v>
      </c>
      <c r="G6" s="9">
        <f>IFERROR(__xludf.DUMMYFUNCTION("19345000000*GOOGLEFINANCE(""CURRENCY:EURUSD"")"),2.17197922E10)</f>
        <v>21719792200</v>
      </c>
      <c r="H6" s="9">
        <f>IFERROR(__xludf.DUMMYFUNCTION("23168000000*GOOGLEFINANCE(""CURRENCY:EURUSD"")"),2.601210368E10)</f>
        <v>26012103680</v>
      </c>
      <c r="I6" s="8">
        <f t="shared" si="1"/>
        <v>0.4450227847</v>
      </c>
      <c r="J6" s="8">
        <f t="shared" si="2"/>
        <v>2.482648185</v>
      </c>
      <c r="K6" s="8">
        <f t="shared" si="3"/>
        <v>3.318496603</v>
      </c>
      <c r="L6" s="8">
        <f t="shared" si="4"/>
        <v>0.00458894937</v>
      </c>
    </row>
    <row r="7">
      <c r="A7" s="3" t="s">
        <v>17</v>
      </c>
      <c r="B7" s="4">
        <f>IFERROR(__xludf.DUMMYFUNCTION("GOOGLEFINANCE(""ETR:BMW"",""price"")*GOOGLEFINANCE(""CURRENCY:EURUSD"")"),120.359872)</f>
        <v>120.359872</v>
      </c>
      <c r="C7" s="5">
        <f>IFERROR(__xludf.DUMMYFUNCTION("GOOGLEFINANCE(""ETR:BMW"",""marketcap"")*GOOGLEFINANCE(""CURRENCY:EURUSD"")"),7.91189636725488E10)</f>
        <v>79118963673</v>
      </c>
      <c r="D7" s="7">
        <f>IFERROR(__xludf.DUMMYFUNCTION("C7+ 51927000000*GOOGLEFINANCE(""CURRENCY:EURUSD"")"),1.374205221925488E11)</f>
        <v>137420522193</v>
      </c>
      <c r="E7" s="9">
        <f>IFERROR(__xludf.DUMMYFUNCTION("131496000000*GOOGLEFINANCE(""CURRENCY:EURUSD"")"),1.4763844896E11)</f>
        <v>147638448960</v>
      </c>
      <c r="F7" s="9">
        <f>IFERROR(__xludf.DUMMYFUNCTION("21276000000*GOOGLEFINANCE(""CURRENCY:EURUSD"")"),2.388784176E10)</f>
        <v>23887841760</v>
      </c>
      <c r="G7" s="9">
        <f>IFERROR(__xludf.DUMMYFUNCTION("13466000000*GOOGLEFINANCE(""CURRENCY:EURUSD"")"),1.511908616E10)</f>
        <v>15119086160</v>
      </c>
      <c r="H7" s="9">
        <f>IFERROR(__xludf.DUMMYFUNCTION("18000000000*GOOGLEFINANCE(""CURRENCY:EURUSD"")"),2.020968E10)</f>
        <v>20209680000</v>
      </c>
      <c r="I7" s="8">
        <f t="shared" si="1"/>
        <v>0.9307908825</v>
      </c>
      <c r="J7" s="8">
        <f t="shared" si="2"/>
        <v>5.752739137</v>
      </c>
      <c r="K7" s="8">
        <f t="shared" si="3"/>
        <v>9.089208219</v>
      </c>
      <c r="L7" s="8">
        <f t="shared" si="4"/>
        <v>3.914904327</v>
      </c>
    </row>
    <row r="8">
      <c r="A8" s="3" t="s">
        <v>18</v>
      </c>
      <c r="B8" s="10">
        <v>29.07</v>
      </c>
      <c r="C8" s="11">
        <v>4.9471E10</v>
      </c>
      <c r="D8" s="9">
        <f>IFERROR(__xludf.DUMMYFUNCTION("C8+ 3862154000000*GOOGLEFINANCE(""CURRENCY:JPYUSD"")"),7.7131113554744E10)</f>
        <v>77131113555</v>
      </c>
      <c r="E8" s="7">
        <f>IFERROR(__xludf.DUMMYFUNCTION("16399173000000*GOOGLEFINANCE(""CURRENCY:JPYUSD"")"),1.17448187561628E11)</f>
        <v>117448187562</v>
      </c>
      <c r="F8" s="7">
        <f>IFERROR(__xludf.DUMMYFUNCTION("1806705000000*GOOGLEFINANCE(""CURRENCY:JPYUSD"")"),1.2939324910380001E10)</f>
        <v>12939324910</v>
      </c>
      <c r="G8" s="7">
        <f>IFERROR(__xludf.DUMMYFUNCTION("1116741000000*GOOGLEFINANCE(""CURRENCY:JPYUSD"")"),7.997915896476001E9)</f>
        <v>7997915896</v>
      </c>
      <c r="H8" s="7">
        <f>IFERROR(__xludf.DUMMYFUNCTION("708067000000*GOOGLEFINANCE(""CURRENCY:JPYUSD"")"),5.071059731012E9)</f>
        <v>5071059731</v>
      </c>
      <c r="I8" s="8">
        <f t="shared" si="1"/>
        <v>0.6567245962</v>
      </c>
      <c r="J8" s="8">
        <f t="shared" si="2"/>
        <v>5.96098437</v>
      </c>
      <c r="K8" s="8">
        <f t="shared" si="3"/>
        <v>9.643901555</v>
      </c>
      <c r="L8" s="8">
        <f t="shared" si="4"/>
        <v>9.755554583</v>
      </c>
    </row>
    <row r="9">
      <c r="A9" s="1" t="s">
        <v>19</v>
      </c>
      <c r="B9" s="12">
        <f>IFERROR(__xludf.DUMMYFUNCTION("GOOGLEFINANCE(""NASDAQ:TSLA"",""price"")"),291.26)</f>
        <v>291.26</v>
      </c>
      <c r="C9" s="13">
        <f>IFERROR(__xludf.DUMMYFUNCTION("GOOGLEFINANCE(""NASDAQ:TSLA"","" marketcap"")"),9.126545028E11)</f>
        <v>912654502800</v>
      </c>
      <c r="D9" s="14">
        <f>C9+ 3099000000</f>
        <v>915753502800</v>
      </c>
      <c r="E9" s="15">
        <v>8.1462E10</v>
      </c>
      <c r="F9" s="15">
        <v>1.7657E10</v>
      </c>
      <c r="G9" s="15">
        <v>1.391E10</v>
      </c>
      <c r="H9" s="15">
        <v>1.2583E10</v>
      </c>
      <c r="I9" s="16">
        <f t="shared" si="1"/>
        <v>11.24148072</v>
      </c>
      <c r="J9" s="16">
        <f t="shared" si="2"/>
        <v>51.86348206</v>
      </c>
      <c r="K9" s="16">
        <f t="shared" si="3"/>
        <v>65.83418424</v>
      </c>
      <c r="L9" s="16">
        <f t="shared" si="4"/>
        <v>72.530756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I10" s="3" t="s">
        <v>20</v>
      </c>
    </row>
    <row r="11">
      <c r="A11" s="1" t="s">
        <v>21</v>
      </c>
      <c r="B11" s="2"/>
      <c r="C11" s="2"/>
      <c r="D11" s="2"/>
      <c r="E11" s="2"/>
      <c r="F11" s="2"/>
      <c r="G11" s="2"/>
      <c r="H11" s="2"/>
      <c r="I11" s="16">
        <f t="shared" ref="I11:L11" si="5">AVERAGE(I2:I8)</f>
        <v>21.624248</v>
      </c>
      <c r="J11" s="16">
        <f t="shared" si="5"/>
        <v>135.0915175</v>
      </c>
      <c r="K11" s="16">
        <f t="shared" si="5"/>
        <v>2003.374614</v>
      </c>
      <c r="L11" s="16">
        <f t="shared" si="5"/>
        <v>360.9226727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22</v>
      </c>
      <c r="B12" s="2"/>
      <c r="C12" s="2"/>
      <c r="D12" s="2"/>
      <c r="E12" s="2"/>
      <c r="F12" s="2"/>
      <c r="G12" s="2"/>
      <c r="H12" s="2"/>
      <c r="I12" s="16">
        <f t="shared" ref="I12:L12" si="6">I9/I11</f>
        <v>0.5198553367</v>
      </c>
      <c r="J12" s="16">
        <f t="shared" si="6"/>
        <v>0.3839136832</v>
      </c>
      <c r="K12" s="16">
        <f t="shared" si="6"/>
        <v>0.03286164443</v>
      </c>
      <c r="L12" s="16">
        <f t="shared" si="6"/>
        <v>0.2009592677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I13" s="12">
        <f t="shared" ref="I13:L13" si="7">$B$9/I12</f>
        <v>560.2712513</v>
      </c>
      <c r="J13" s="12">
        <f t="shared" si="7"/>
        <v>758.6601176</v>
      </c>
      <c r="K13" s="12">
        <f t="shared" si="7"/>
        <v>8863.220481</v>
      </c>
      <c r="L13" s="12">
        <f t="shared" si="7"/>
        <v>1449.348434</v>
      </c>
      <c r="M13" s="12">
        <f>AVERAGE(I13:L13)</f>
        <v>2907.875071</v>
      </c>
    </row>
    <row r="14">
      <c r="M14" s="2"/>
    </row>
    <row r="15">
      <c r="M15" s="17">
        <f>M13/B9 -1</f>
        <v>8.983777625</v>
      </c>
      <c r="N15" s="18" t="s">
        <v>23</v>
      </c>
    </row>
  </sheetData>
  <drawing r:id="rId1"/>
</worksheet>
</file>