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NKUMAR\OneDrive\Desktop\"/>
    </mc:Choice>
  </mc:AlternateContent>
  <xr:revisionPtr revIDLastSave="0" documentId="13_ncr:1_{30EF4E2B-D626-4E35-8F3E-4634C873D5CD}" xr6:coauthVersionLast="47" xr6:coauthVersionMax="47" xr10:uidLastSave="{00000000-0000-0000-0000-000000000000}"/>
  <bookViews>
    <workbookView xWindow="-108" yWindow="-108" windowWidth="23256" windowHeight="12456" xr2:uid="{ADC4B82E-997A-4539-9090-E4F45662A2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1" i="1" l="1"/>
  <c r="O21" i="1"/>
  <c r="N21" i="1"/>
  <c r="F21" i="1"/>
  <c r="G21" i="1"/>
  <c r="AB6" i="1"/>
  <c r="AB14" i="1"/>
  <c r="AC3" i="1"/>
  <c r="E3" i="1"/>
  <c r="E4" i="1"/>
  <c r="E5" i="1"/>
  <c r="E6" i="1"/>
  <c r="E7" i="1"/>
  <c r="E8" i="1"/>
  <c r="L8" i="1" s="1"/>
  <c r="E9" i="1"/>
  <c r="L9" i="1" s="1"/>
  <c r="E10" i="1"/>
  <c r="L10" i="1" s="1"/>
  <c r="E11" i="1"/>
  <c r="E12" i="1"/>
  <c r="E13" i="1"/>
  <c r="E14" i="1"/>
  <c r="E15" i="1"/>
  <c r="L15" i="1" s="1"/>
  <c r="E16" i="1"/>
  <c r="L16" i="1" s="1"/>
  <c r="E17" i="1"/>
  <c r="E18" i="1"/>
  <c r="L18" i="1" s="1"/>
  <c r="E19" i="1"/>
  <c r="L19" i="1" s="1"/>
  <c r="E20" i="1"/>
  <c r="E2" i="1"/>
  <c r="L5" i="1"/>
  <c r="L6" i="1"/>
  <c r="L7" i="1"/>
  <c r="F2" i="1"/>
  <c r="G3" i="1"/>
  <c r="G4" i="1"/>
  <c r="AA4" i="1" s="1"/>
  <c r="G5" i="1"/>
  <c r="AA5" i="1" s="1"/>
  <c r="G6" i="1"/>
  <c r="AA6" i="1" s="1"/>
  <c r="G7" i="1"/>
  <c r="G8" i="1"/>
  <c r="G9" i="1"/>
  <c r="G10" i="1"/>
  <c r="G11" i="1"/>
  <c r="G12" i="1"/>
  <c r="G13" i="1"/>
  <c r="AA13" i="1" s="1"/>
  <c r="G14" i="1"/>
  <c r="G15" i="1"/>
  <c r="G16" i="1"/>
  <c r="G17" i="1"/>
  <c r="G18" i="1"/>
  <c r="G19" i="1"/>
  <c r="G20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AC2" i="1"/>
  <c r="AA9" i="1"/>
  <c r="AA12" i="1"/>
  <c r="AA20" i="1"/>
  <c r="AA2" i="1"/>
  <c r="A3" i="1"/>
  <c r="A4" i="1"/>
  <c r="A5" i="1"/>
  <c r="A6" i="1"/>
  <c r="A7" i="1"/>
  <c r="A8" i="1"/>
  <c r="A9" i="1"/>
  <c r="A2" i="1"/>
  <c r="B2" i="1"/>
  <c r="D2" i="1"/>
  <c r="V2" i="1" s="1"/>
  <c r="J2" i="1"/>
  <c r="AB2" i="1" s="1"/>
  <c r="L2" i="1"/>
  <c r="Q2" i="1"/>
  <c r="M2" i="1" s="1"/>
  <c r="M21" i="1" s="1"/>
  <c r="A10" i="1"/>
  <c r="A11" i="1"/>
  <c r="A12" i="1"/>
  <c r="L14" i="1"/>
  <c r="L20" i="1"/>
  <c r="L12" i="1"/>
  <c r="L13" i="1"/>
  <c r="L4" i="1"/>
  <c r="Q4" i="1"/>
  <c r="M4" i="1" s="1"/>
  <c r="Q5" i="1"/>
  <c r="M5" i="1" s="1"/>
  <c r="Q6" i="1"/>
  <c r="M6" i="1" s="1"/>
  <c r="Q7" i="1"/>
  <c r="M7" i="1" s="1"/>
  <c r="Q8" i="1"/>
  <c r="M8" i="1" s="1"/>
  <c r="Q9" i="1"/>
  <c r="M9" i="1" s="1"/>
  <c r="Q10" i="1"/>
  <c r="M10" i="1" s="1"/>
  <c r="Q11" i="1"/>
  <c r="M11" i="1" s="1"/>
  <c r="Q12" i="1"/>
  <c r="M12" i="1" s="1"/>
  <c r="Q13" i="1"/>
  <c r="M13" i="1" s="1"/>
  <c r="Q14" i="1"/>
  <c r="M14" i="1" s="1"/>
  <c r="Q15" i="1"/>
  <c r="M15" i="1" s="1"/>
  <c r="Q16" i="1"/>
  <c r="M16" i="1" s="1"/>
  <c r="Q17" i="1"/>
  <c r="M17" i="1" s="1"/>
  <c r="Q18" i="1"/>
  <c r="M18" i="1" s="1"/>
  <c r="Q19" i="1"/>
  <c r="M19" i="1" s="1"/>
  <c r="Q20" i="1"/>
  <c r="M20" i="1" s="1"/>
  <c r="Q3" i="1"/>
  <c r="M3" i="1" s="1"/>
  <c r="J20" i="1"/>
  <c r="AB20" i="1" s="1"/>
  <c r="J17" i="1"/>
  <c r="AB17" i="1" s="1"/>
  <c r="J18" i="1"/>
  <c r="AB18" i="1" s="1"/>
  <c r="J19" i="1"/>
  <c r="AB19" i="1" s="1"/>
  <c r="J3" i="1"/>
  <c r="AB3" i="1" s="1"/>
  <c r="J4" i="1"/>
  <c r="AB4" i="1" s="1"/>
  <c r="J5" i="1"/>
  <c r="AB5" i="1" s="1"/>
  <c r="J6" i="1"/>
  <c r="J7" i="1"/>
  <c r="AB7" i="1" s="1"/>
  <c r="J8" i="1"/>
  <c r="AB8" i="1" s="1"/>
  <c r="J9" i="1"/>
  <c r="AB9" i="1" s="1"/>
  <c r="J10" i="1"/>
  <c r="AB10" i="1" s="1"/>
  <c r="J11" i="1"/>
  <c r="AB11" i="1" s="1"/>
  <c r="J12" i="1"/>
  <c r="AB12" i="1" s="1"/>
  <c r="J13" i="1"/>
  <c r="AB13" i="1" s="1"/>
  <c r="J14" i="1"/>
  <c r="J15" i="1"/>
  <c r="AB15" i="1" s="1"/>
  <c r="J16" i="1"/>
  <c r="AB16" i="1" s="1"/>
  <c r="D3" i="1"/>
  <c r="V3" i="1" s="1"/>
  <c r="D4" i="1"/>
  <c r="V4" i="1" s="1"/>
  <c r="D5" i="1"/>
  <c r="X5" i="1" s="1"/>
  <c r="D6" i="1"/>
  <c r="V6" i="1" s="1"/>
  <c r="D7" i="1"/>
  <c r="V7" i="1" s="1"/>
  <c r="D8" i="1"/>
  <c r="X8" i="1" s="1"/>
  <c r="D9" i="1"/>
  <c r="V9" i="1" s="1"/>
  <c r="D10" i="1"/>
  <c r="W10" i="1" s="1"/>
  <c r="D11" i="1"/>
  <c r="V11" i="1" s="1"/>
  <c r="D12" i="1"/>
  <c r="V12" i="1" s="1"/>
  <c r="D13" i="1"/>
  <c r="X13" i="1" s="1"/>
  <c r="D14" i="1"/>
  <c r="V14" i="1" s="1"/>
  <c r="D15" i="1"/>
  <c r="V15" i="1" s="1"/>
  <c r="D16" i="1"/>
  <c r="X16" i="1" s="1"/>
  <c r="D17" i="1"/>
  <c r="V17" i="1" s="1"/>
  <c r="D18" i="1"/>
  <c r="W18" i="1" s="1"/>
  <c r="D19" i="1"/>
  <c r="V19" i="1" s="1"/>
  <c r="D20" i="1"/>
  <c r="V20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A20" i="1"/>
  <c r="A13" i="1"/>
  <c r="A14" i="1"/>
  <c r="A15" i="1"/>
  <c r="A16" i="1"/>
  <c r="A17" i="1"/>
  <c r="A18" i="1"/>
  <c r="A19" i="1"/>
  <c r="AB21" i="1" l="1"/>
  <c r="Q21" i="1"/>
  <c r="AA11" i="1"/>
  <c r="AA3" i="1"/>
  <c r="AD3" i="1" s="1"/>
  <c r="AC13" i="1"/>
  <c r="AC5" i="1"/>
  <c r="AD5" i="1" s="1"/>
  <c r="AD13" i="1"/>
  <c r="AC4" i="1"/>
  <c r="AC21" i="1" s="1"/>
  <c r="AC17" i="1"/>
  <c r="L11" i="1"/>
  <c r="L3" i="1"/>
  <c r="L21" i="1" s="1"/>
  <c r="AC20" i="1"/>
  <c r="AD20" i="1" s="1"/>
  <c r="AC12" i="1"/>
  <c r="AD12" i="1" s="1"/>
  <c r="AA17" i="1"/>
  <c r="AD17" i="1" s="1"/>
  <c r="AC19" i="1"/>
  <c r="AC11" i="1"/>
  <c r="AD11" i="1" s="1"/>
  <c r="AC18" i="1"/>
  <c r="AD18" i="1" s="1"/>
  <c r="AC10" i="1"/>
  <c r="AC9" i="1"/>
  <c r="AD9" i="1" s="1"/>
  <c r="AA19" i="1"/>
  <c r="AA14" i="1"/>
  <c r="AD14" i="1" s="1"/>
  <c r="AC16" i="1"/>
  <c r="AC8" i="1"/>
  <c r="AD2" i="1"/>
  <c r="AC15" i="1"/>
  <c r="AC7" i="1"/>
  <c r="AC14" i="1"/>
  <c r="AC6" i="1"/>
  <c r="AD6" i="1" s="1"/>
  <c r="L17" i="1"/>
  <c r="AA15" i="1"/>
  <c r="AA10" i="1"/>
  <c r="AD10" i="1" s="1"/>
  <c r="AA16" i="1"/>
  <c r="AD16" i="1" s="1"/>
  <c r="AA8" i="1"/>
  <c r="AD8" i="1" s="1"/>
  <c r="AA18" i="1"/>
  <c r="AA7" i="1"/>
  <c r="AD7" i="1" s="1"/>
  <c r="X2" i="1"/>
  <c r="W2" i="1"/>
  <c r="R2" i="1"/>
  <c r="R19" i="1"/>
  <c r="S19" i="1" s="1"/>
  <c r="W8" i="1"/>
  <c r="R3" i="1"/>
  <c r="R14" i="1"/>
  <c r="R11" i="1"/>
  <c r="U11" i="1" s="1"/>
  <c r="R13" i="1"/>
  <c r="R5" i="1"/>
  <c r="U5" i="1" s="1"/>
  <c r="V8" i="1"/>
  <c r="R18" i="1"/>
  <c r="T18" i="1" s="1"/>
  <c r="R10" i="1"/>
  <c r="S10" i="1" s="1"/>
  <c r="V16" i="1"/>
  <c r="R15" i="1"/>
  <c r="S15" i="1" s="1"/>
  <c r="W15" i="1"/>
  <c r="W7" i="1"/>
  <c r="X19" i="1"/>
  <c r="R7" i="1"/>
  <c r="U7" i="1" s="1"/>
  <c r="X18" i="1"/>
  <c r="X11" i="1"/>
  <c r="R20" i="1"/>
  <c r="R12" i="1"/>
  <c r="U12" i="1" s="1"/>
  <c r="R4" i="1"/>
  <c r="V5" i="1"/>
  <c r="V21" i="1" s="1"/>
  <c r="W20" i="1"/>
  <c r="X10" i="1"/>
  <c r="X3" i="1"/>
  <c r="R17" i="1"/>
  <c r="R9" i="1"/>
  <c r="W12" i="1"/>
  <c r="V13" i="1"/>
  <c r="W4" i="1"/>
  <c r="R6" i="1"/>
  <c r="S6" i="1" s="1"/>
  <c r="X15" i="1"/>
  <c r="R16" i="1"/>
  <c r="U16" i="1" s="1"/>
  <c r="R8" i="1"/>
  <c r="W16" i="1"/>
  <c r="X7" i="1"/>
  <c r="V10" i="1"/>
  <c r="V18" i="1"/>
  <c r="W17" i="1"/>
  <c r="W9" i="1"/>
  <c r="X20" i="1"/>
  <c r="X12" i="1"/>
  <c r="X4" i="1"/>
  <c r="W14" i="1"/>
  <c r="W6" i="1"/>
  <c r="X17" i="1"/>
  <c r="X9" i="1"/>
  <c r="W19" i="1"/>
  <c r="W11" i="1"/>
  <c r="W3" i="1"/>
  <c r="X14" i="1"/>
  <c r="X6" i="1"/>
  <c r="W13" i="1"/>
  <c r="W5" i="1"/>
  <c r="W21" i="1" l="1"/>
  <c r="AD4" i="1"/>
  <c r="U2" i="1"/>
  <c r="R21" i="1"/>
  <c r="AA21" i="1"/>
  <c r="X21" i="1"/>
  <c r="AD15" i="1"/>
  <c r="AD21" i="1"/>
  <c r="AD19" i="1"/>
  <c r="Y4" i="1"/>
  <c r="S3" i="1"/>
  <c r="Y3" i="1"/>
  <c r="S2" i="1"/>
  <c r="T2" i="1"/>
  <c r="Y2" i="1"/>
  <c r="U6" i="1"/>
  <c r="S16" i="1"/>
  <c r="T7" i="1"/>
  <c r="U3" i="1"/>
  <c r="U18" i="1"/>
  <c r="U19" i="1"/>
  <c r="S7" i="1"/>
  <c r="T5" i="1"/>
  <c r="T16" i="1"/>
  <c r="T3" i="1"/>
  <c r="Y5" i="1"/>
  <c r="S5" i="1"/>
  <c r="T9" i="1"/>
  <c r="Y9" i="1"/>
  <c r="U15" i="1"/>
  <c r="Y15" i="1"/>
  <c r="U4" i="1"/>
  <c r="Y16" i="1"/>
  <c r="S20" i="1"/>
  <c r="Y20" i="1"/>
  <c r="S14" i="1"/>
  <c r="Y14" i="1"/>
  <c r="T13" i="1"/>
  <c r="Y13" i="1"/>
  <c r="U8" i="1"/>
  <c r="Y8" i="1"/>
  <c r="S11" i="1"/>
  <c r="Y11" i="1"/>
  <c r="S13" i="1"/>
  <c r="T12" i="1"/>
  <c r="Y12" i="1"/>
  <c r="S4" i="1"/>
  <c r="T4" i="1"/>
  <c r="T6" i="1"/>
  <c r="Y6" i="1"/>
  <c r="U10" i="1"/>
  <c r="Y10" i="1"/>
  <c r="S17" i="1"/>
  <c r="Y17" i="1"/>
  <c r="T11" i="1"/>
  <c r="S12" i="1"/>
  <c r="U17" i="1"/>
  <c r="Y7" i="1"/>
  <c r="S18" i="1"/>
  <c r="Y18" i="1"/>
  <c r="T19" i="1"/>
  <c r="Y19" i="1"/>
  <c r="T10" i="1"/>
  <c r="S9" i="1"/>
  <c r="U9" i="1"/>
  <c r="U13" i="1"/>
  <c r="T8" i="1"/>
  <c r="S8" i="1"/>
  <c r="T15" i="1"/>
  <c r="U20" i="1"/>
  <c r="U14" i="1"/>
  <c r="T17" i="1"/>
  <c r="T14" i="1"/>
  <c r="T20" i="1"/>
  <c r="Y21" i="1" l="1"/>
  <c r="T21" i="1"/>
  <c r="S21" i="1"/>
  <c r="U21" i="1"/>
</calcChain>
</file>

<file path=xl/sharedStrings.xml><?xml version="1.0" encoding="utf-8"?>
<sst xmlns="http://schemas.openxmlformats.org/spreadsheetml/2006/main" count="133" uniqueCount="58">
  <si>
    <t>DATE</t>
  </si>
  <si>
    <t>MACHINE NAME</t>
  </si>
  <si>
    <t>ITEM NAME</t>
  </si>
  <si>
    <t>STD CYCLE TIME</t>
  </si>
  <si>
    <t>OK QTY</t>
  </si>
  <si>
    <t>TOTAL QTY</t>
  </si>
  <si>
    <t>IC-12/1000L- 3" White-150mm</t>
  </si>
  <si>
    <t>ITEM WEIGHT</t>
  </si>
  <si>
    <t>HRS OF OPEARTION</t>
  </si>
  <si>
    <t>DOWNTIME HRS</t>
  </si>
  <si>
    <t>TOTAL HRS</t>
  </si>
  <si>
    <t>MAX QTY</t>
  </si>
  <si>
    <t>CAL QTY</t>
  </si>
  <si>
    <t>REJ QTY(on)</t>
  </si>
  <si>
    <t>REJ QTY(off)</t>
  </si>
  <si>
    <t>Blow Pin Table &amp; Bung House Maintenance</t>
  </si>
  <si>
    <t>Gripper &amp; Stretching Pin Issues</t>
  </si>
  <si>
    <t>DCV (Directional Control Valve) Adjustments</t>
  </si>
  <si>
    <t>Weight &amp; Profile Adjustments</t>
  </si>
  <si>
    <t>Mould &amp; Lid Issues</t>
  </si>
  <si>
    <t>Breather Cleaning &amp; Core Setup</t>
  </si>
  <si>
    <t>Shaft &amp; Motor Failures</t>
  </si>
  <si>
    <t>Proxy Sensor &amp; Electrical Issues</t>
  </si>
  <si>
    <t>Compressor &amp; Hydraulic Issues</t>
  </si>
  <si>
    <t>Punch &amp; Ejection Issues</t>
  </si>
  <si>
    <t>Mould Cooling &amp; Pipe Changes</t>
  </si>
  <si>
    <t>Power &amp; Machine Start-Up Issues</t>
  </si>
  <si>
    <t>Other</t>
  </si>
  <si>
    <t>TOTAL RAW INPUT</t>
  </si>
  <si>
    <t>RAW (HDPE001)</t>
  </si>
  <si>
    <t>RAW (HDPE002)</t>
  </si>
  <si>
    <t>RAW (GRINDING)</t>
  </si>
  <si>
    <t>RAW CONSUMED</t>
  </si>
  <si>
    <t>RAW REJECTED(on)</t>
  </si>
  <si>
    <t>RAW REJECTED(off)</t>
  </si>
  <si>
    <t>ACTUAL CYCLE TIME</t>
  </si>
  <si>
    <t>DOWNTIME(NORMAL)</t>
  </si>
  <si>
    <t xml:space="preserve">loss of profuction due to abnnormal downtime </t>
  </si>
  <si>
    <t>loss abnormal and normal</t>
  </si>
  <si>
    <t>(shift wise evaulation)</t>
  </si>
  <si>
    <t>1 report done</t>
  </si>
  <si>
    <t>raw material to be consumed accc to max prod.</t>
  </si>
  <si>
    <t>raw material actual consumed</t>
  </si>
  <si>
    <t>max prod acc to cycle time, actual prod done, prod loss of gain(qty)</t>
  </si>
  <si>
    <t>Normal</t>
  </si>
  <si>
    <t>Abnormal</t>
  </si>
  <si>
    <t>DOWNTIME REASON</t>
  </si>
  <si>
    <t xml:space="preserve">DOWNTIME REASON TYPE </t>
  </si>
  <si>
    <t>Nil</t>
  </si>
  <si>
    <t>AVAILABILITY(%)</t>
  </si>
  <si>
    <t>CUMULATIVE</t>
  </si>
  <si>
    <t>PERFORMACE EFFICIENCY(%)</t>
  </si>
  <si>
    <t>OEE (%)</t>
  </si>
  <si>
    <t>QUALITY PRODUCED(%)</t>
  </si>
  <si>
    <t>LOSS</t>
  </si>
  <si>
    <t>RECOVERY</t>
  </si>
  <si>
    <t>RAW MATRIAL LOSS/RECOVERY(kg)</t>
  </si>
  <si>
    <t>RAW MATERIAL LOSS/RECOVERY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</si>
</sst>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3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39" fontId="0" fillId="0" borderId="0" xfId="0" applyNumberFormat="1"/>
    <xf numFmtId="2" fontId="0" fillId="0" borderId="0" xfId="0" applyNumberFormat="1" applyAlignment="1">
      <alignment horizontal="center"/>
    </xf>
    <xf numFmtId="39" fontId="0" fillId="0" borderId="0" xfId="0" applyNumberFormat="1" applyAlignment="1">
      <alignment horizontal="left"/>
    </xf>
    <xf numFmtId="14" fontId="1" fillId="0" borderId="0" xfId="0" applyNumberFormat="1" applyFont="1"/>
    <xf numFmtId="0" fontId="1" fillId="0" borderId="0" xfId="0" applyFon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A64B7-83A9-467E-A042-68803D3DA71B}">
  <dimension ref="A1:AD57"/>
  <sheetViews>
    <sheetView tabSelected="1" zoomScale="106" zoomScaleNormal="100" workbookViewId="0">
      <selection activeCell="A21" sqref="A21"/>
    </sheetView>
  </sheetViews>
  <sheetFormatPr defaultRowHeight="14.4" x14ac:dyDescent="0.3"/>
  <cols>
    <col min="1" max="1" width="11.6640625" customWidth="1"/>
    <col min="2" max="2" width="25.109375" customWidth="1"/>
    <col min="3" max="3" width="26.109375" customWidth="1"/>
    <col min="4" max="5" width="19.21875" customWidth="1"/>
    <col min="6" max="6" width="20.33203125" customWidth="1"/>
    <col min="7" max="7" width="16.44140625" customWidth="1"/>
    <col min="8" max="8" width="37.44140625" customWidth="1"/>
    <col min="9" max="9" width="25.44140625" customWidth="1"/>
    <col min="10" max="10" width="16.77734375" customWidth="1"/>
    <col min="11" max="11" width="18.5546875" customWidth="1"/>
    <col min="12" max="12" width="10.109375" customWidth="1"/>
    <col min="13" max="13" width="11.77734375" customWidth="1"/>
    <col min="14" max="14" width="9.21875" customWidth="1"/>
    <col min="15" max="15" width="11.88671875" customWidth="1"/>
    <col min="16" max="16" width="14.44140625" customWidth="1"/>
    <col min="17" max="17" width="14.77734375" customWidth="1"/>
    <col min="18" max="18" width="21.44140625" customWidth="1"/>
    <col min="19" max="19" width="17.88671875" customWidth="1"/>
    <col min="20" max="20" width="15.44140625" customWidth="1"/>
    <col min="21" max="21" width="15.77734375" customWidth="1"/>
    <col min="22" max="22" width="16.6640625" customWidth="1"/>
    <col min="23" max="23" width="16.77734375" customWidth="1"/>
    <col min="24" max="24" width="17.21875" customWidth="1"/>
    <col min="25" max="25" width="30.88671875" customWidth="1"/>
    <col min="26" max="26" width="27.77734375" customWidth="1"/>
    <col min="27" max="27" width="16.6640625" customWidth="1"/>
    <col min="28" max="28" width="26.109375" customWidth="1"/>
    <col min="29" max="29" width="20.5546875" customWidth="1"/>
    <col min="30" max="30" width="23.77734375" customWidth="1"/>
  </cols>
  <sheetData>
    <row r="1" spans="1:30" x14ac:dyDescent="0.3">
      <c r="A1" s="2" t="s">
        <v>0</v>
      </c>
      <c r="B1" s="2" t="s">
        <v>1</v>
      </c>
      <c r="C1" s="2" t="s">
        <v>2</v>
      </c>
      <c r="D1" s="2" t="s">
        <v>7</v>
      </c>
      <c r="E1" s="2" t="s">
        <v>10</v>
      </c>
      <c r="F1" s="2" t="s">
        <v>8</v>
      </c>
      <c r="G1" s="2" t="s">
        <v>9</v>
      </c>
      <c r="H1" s="2" t="s">
        <v>46</v>
      </c>
      <c r="I1" s="2" t="s">
        <v>47</v>
      </c>
      <c r="J1" s="2" t="s">
        <v>3</v>
      </c>
      <c r="K1" s="2" t="s">
        <v>35</v>
      </c>
      <c r="L1" s="2" t="s">
        <v>11</v>
      </c>
      <c r="M1" s="2" t="s">
        <v>12</v>
      </c>
      <c r="N1" s="2" t="s">
        <v>4</v>
      </c>
      <c r="O1" s="2" t="s">
        <v>13</v>
      </c>
      <c r="P1" s="2" t="s">
        <v>14</v>
      </c>
      <c r="Q1" s="2" t="s">
        <v>5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56</v>
      </c>
      <c r="Z1" s="2" t="s">
        <v>57</v>
      </c>
      <c r="AA1" s="2" t="s">
        <v>49</v>
      </c>
      <c r="AB1" s="2" t="s">
        <v>51</v>
      </c>
      <c r="AC1" s="2" t="s">
        <v>53</v>
      </c>
      <c r="AD1" s="2" t="s">
        <v>52</v>
      </c>
    </row>
    <row r="2" spans="1:30" x14ac:dyDescent="0.3">
      <c r="A2" s="3">
        <f>DATE(2025,2,1) + ROW(A1) - 1</f>
        <v>45689</v>
      </c>
      <c r="B2" s="1" t="str">
        <f>"M-21"</f>
        <v>M-21</v>
      </c>
      <c r="C2" t="s">
        <v>6</v>
      </c>
      <c r="D2" s="1">
        <f>16.5</f>
        <v>16.5</v>
      </c>
      <c r="E2" s="7">
        <f>IF(Sheet2!$E$2=24, 24, ROUND(INT(Sheet2!$E$2) + (MOD(Sheet2!$E$2,1) * 60 / 100),2))</f>
        <v>24</v>
      </c>
      <c r="F2" s="7">
        <f>IF(Sheet2!F2=24, 24, ROUND(INT(Sheet2!F2) + (MOD(Sheet2!F2,1) * 60 / 100),2))</f>
        <v>16</v>
      </c>
      <c r="G2" s="7">
        <f>IF(Sheet2!G2=24, 24, ROUND(INT(Sheet2!G2) + (MOD(Sheet2!G2,1) * 60 / 100),2))</f>
        <v>8</v>
      </c>
      <c r="H2" s="8" t="s">
        <v>15</v>
      </c>
      <c r="I2" s="4" t="s">
        <v>44</v>
      </c>
      <c r="J2" s="1">
        <f>220</f>
        <v>220</v>
      </c>
      <c r="K2" s="5">
        <v>230</v>
      </c>
      <c r="L2" s="1">
        <f t="shared" ref="L2:L20" si="0">ROUND((E2*60*60/K2),0)</f>
        <v>376</v>
      </c>
      <c r="M2" s="1">
        <f t="shared" ref="M2" si="1">ROUND(((Q2*2/98)+Q2),0)</f>
        <v>255</v>
      </c>
      <c r="N2" s="1">
        <v>237</v>
      </c>
      <c r="O2" s="1">
        <v>13</v>
      </c>
      <c r="P2" s="1">
        <v>12</v>
      </c>
      <c r="Q2" s="1">
        <f t="shared" ref="Q2:Q19" si="2">N2+O2</f>
        <v>250</v>
      </c>
      <c r="R2" s="1">
        <f t="shared" ref="R2:R20" si="3">ROUND((M2*D2),0)</f>
        <v>4208</v>
      </c>
      <c r="S2" s="1">
        <f t="shared" ref="S2:S19" si="4">ROUND((R2*35/100),0)</f>
        <v>1473</v>
      </c>
      <c r="T2" s="1">
        <f t="shared" ref="T2:T19" si="5">ROUND((R2*35/100),0)</f>
        <v>1473</v>
      </c>
      <c r="U2" s="1">
        <f t="shared" ref="U2:U19" si="6">ROUND((R2*30/100),0)</f>
        <v>1262</v>
      </c>
      <c r="V2" s="1">
        <f t="shared" ref="V2:V20" si="7">ROUND((N2*D2),0)</f>
        <v>3911</v>
      </c>
      <c r="W2" s="1">
        <f t="shared" ref="W2:W20" si="8">ROUND((O2*D2),0)</f>
        <v>215</v>
      </c>
      <c r="X2" s="1">
        <f t="shared" ref="X2:X20" si="9">ROUND((P2*D2),0)</f>
        <v>198</v>
      </c>
      <c r="Y2" s="1">
        <f>R2-(V2+W2+X2)</f>
        <v>-116</v>
      </c>
      <c r="Z2" s="1" t="s">
        <v>54</v>
      </c>
      <c r="AA2" s="7">
        <f>ROUND((((E2-G2)/E2)*100),2)</f>
        <v>66.67</v>
      </c>
      <c r="AB2" s="7">
        <f>ROUND((J2 * N2) / ((E2 - IF(I2="Normal", G2 + (MOD(G2,1) * 40 / 60), 0)) * 3600) * 100, 2)</f>
        <v>90.52</v>
      </c>
      <c r="AC2" s="7">
        <f>ROUND(((Q2 - O2) / Q2) * 100, 2)</f>
        <v>94.8</v>
      </c>
      <c r="AD2" s="7">
        <f>ROUND((AA2 * AB2 * AC2) / 10000, 2)</f>
        <v>57.21</v>
      </c>
    </row>
    <row r="3" spans="1:30" x14ac:dyDescent="0.3">
      <c r="A3" s="3">
        <f t="shared" ref="A3:A9" si="10">DATE(2025,2,1) + ROW(A2) - 1</f>
        <v>45690</v>
      </c>
      <c r="B3" s="1" t="str">
        <f t="shared" ref="B3:B20" si="11">"M-21"</f>
        <v>M-21</v>
      </c>
      <c r="C3" t="s">
        <v>6</v>
      </c>
      <c r="D3" s="1">
        <f t="shared" ref="D3:D20" si="12">16.5</f>
        <v>16.5</v>
      </c>
      <c r="E3" s="7">
        <f>IF(Sheet2!$E$2=24, 24, ROUND(INT(Sheet2!$E$2) + (MOD(Sheet2!$E$2,1) * 60 / 100),2))</f>
        <v>24</v>
      </c>
      <c r="F3" s="7">
        <f>IF(Sheet2!F3=24, 24, ROUND(INT(Sheet2!F3) + (MOD(Sheet2!F3,1) * 60 / 100),2))</f>
        <v>17.3</v>
      </c>
      <c r="G3" s="7">
        <f>IF(Sheet2!G3=24, 24, ROUND(INT(Sheet2!G3) + (MOD(Sheet2!G3,1) * 60 / 100),2))</f>
        <v>6.3</v>
      </c>
      <c r="H3" s="8" t="s">
        <v>15</v>
      </c>
      <c r="I3" s="4" t="s">
        <v>44</v>
      </c>
      <c r="J3" s="1">
        <f>220</f>
        <v>220</v>
      </c>
      <c r="K3" s="5">
        <v>220</v>
      </c>
      <c r="L3" s="1">
        <f t="shared" si="0"/>
        <v>393</v>
      </c>
      <c r="M3" s="1">
        <f t="shared" ref="M3:M19" si="13">ROUND(((Q3*2/98)+Q3),0)</f>
        <v>285</v>
      </c>
      <c r="N3" s="1">
        <v>259</v>
      </c>
      <c r="O3" s="1">
        <v>20</v>
      </c>
      <c r="P3" s="1">
        <v>26</v>
      </c>
      <c r="Q3" s="1">
        <f t="shared" si="2"/>
        <v>279</v>
      </c>
      <c r="R3" s="1">
        <f t="shared" si="3"/>
        <v>4703</v>
      </c>
      <c r="S3" s="1">
        <f t="shared" si="4"/>
        <v>1646</v>
      </c>
      <c r="T3" s="1">
        <f t="shared" si="5"/>
        <v>1646</v>
      </c>
      <c r="U3" s="1">
        <f t="shared" si="6"/>
        <v>1411</v>
      </c>
      <c r="V3" s="1">
        <f t="shared" si="7"/>
        <v>4274</v>
      </c>
      <c r="W3" s="1">
        <f t="shared" si="8"/>
        <v>330</v>
      </c>
      <c r="X3" s="1">
        <f t="shared" si="9"/>
        <v>429</v>
      </c>
      <c r="Y3" s="1">
        <f t="shared" ref="Y3:Y4" si="14">R3-(V3+W3+X3)</f>
        <v>-330</v>
      </c>
      <c r="Z3" s="1" t="s">
        <v>54</v>
      </c>
      <c r="AA3" s="7">
        <f t="shared" ref="AA3:AA20" si="15">ROUND((((E3-G3)/E3)*100),2)</f>
        <v>73.75</v>
      </c>
      <c r="AB3" s="7">
        <f t="shared" ref="AB3:AB20" si="16">ROUND((J3 * N3) / ((E3 - IF(I3="Normal", G3 + (MOD(G3,1) * 40 / 60), 0)) * 3600) * 100, 2)</f>
        <v>90.44</v>
      </c>
      <c r="AC3" s="7">
        <f t="shared" ref="AC3:AC20" si="17">ROUND(((Q3 - O3) / Q3) * 100, 2)</f>
        <v>92.83</v>
      </c>
      <c r="AD3" s="7">
        <f t="shared" ref="AD3:AD20" si="18">ROUND((AA3 * AB3 * AC3) / 10000, 2)</f>
        <v>61.92</v>
      </c>
    </row>
    <row r="4" spans="1:30" x14ac:dyDescent="0.3">
      <c r="A4" s="3">
        <f t="shared" si="10"/>
        <v>45691</v>
      </c>
      <c r="B4" s="1" t="str">
        <f t="shared" si="11"/>
        <v>M-21</v>
      </c>
      <c r="C4" t="s">
        <v>6</v>
      </c>
      <c r="D4" s="1">
        <f t="shared" si="12"/>
        <v>16.5</v>
      </c>
      <c r="E4" s="7">
        <f>IF(Sheet2!$E$2=24, 24, ROUND(INT(Sheet2!$E$2) + (MOD(Sheet2!$E$2,1) * 60 / 100),2))</f>
        <v>24</v>
      </c>
      <c r="F4" s="7">
        <f>IF(Sheet2!F4=24, 24, ROUND(INT(Sheet2!F4) + (MOD(Sheet2!F4,1) * 60 / 100),2))</f>
        <v>22.15</v>
      </c>
      <c r="G4" s="7">
        <f>IF(Sheet2!G4=24, 24, ROUND(INT(Sheet2!G4) + (MOD(Sheet2!G4,1) * 60 / 100),2))</f>
        <v>1.45</v>
      </c>
      <c r="H4" s="8" t="s">
        <v>19</v>
      </c>
      <c r="I4" s="4" t="s">
        <v>45</v>
      </c>
      <c r="J4" s="1">
        <f>220</f>
        <v>220</v>
      </c>
      <c r="K4" s="5">
        <v>220</v>
      </c>
      <c r="L4" s="1">
        <f t="shared" si="0"/>
        <v>393</v>
      </c>
      <c r="M4" s="1">
        <f t="shared" si="13"/>
        <v>378</v>
      </c>
      <c r="N4" s="1">
        <v>345</v>
      </c>
      <c r="O4" s="1">
        <v>25</v>
      </c>
      <c r="P4" s="1">
        <v>3</v>
      </c>
      <c r="Q4" s="1">
        <f t="shared" si="2"/>
        <v>370</v>
      </c>
      <c r="R4" s="1">
        <f t="shared" si="3"/>
        <v>6237</v>
      </c>
      <c r="S4" s="1">
        <f t="shared" si="4"/>
        <v>2183</v>
      </c>
      <c r="T4" s="1">
        <f t="shared" si="5"/>
        <v>2183</v>
      </c>
      <c r="U4" s="1">
        <f t="shared" si="6"/>
        <v>1871</v>
      </c>
      <c r="V4" s="1">
        <f t="shared" si="7"/>
        <v>5693</v>
      </c>
      <c r="W4" s="1">
        <f t="shared" si="8"/>
        <v>413</v>
      </c>
      <c r="X4" s="1">
        <f t="shared" si="9"/>
        <v>50</v>
      </c>
      <c r="Y4" s="1">
        <f t="shared" si="14"/>
        <v>81</v>
      </c>
      <c r="Z4" s="1" t="s">
        <v>55</v>
      </c>
      <c r="AA4" s="7">
        <f t="shared" si="15"/>
        <v>93.96</v>
      </c>
      <c r="AB4" s="7">
        <f t="shared" si="16"/>
        <v>87.85</v>
      </c>
      <c r="AC4" s="7">
        <f t="shared" si="17"/>
        <v>93.24</v>
      </c>
      <c r="AD4" s="7">
        <f t="shared" si="18"/>
        <v>76.959999999999994</v>
      </c>
    </row>
    <row r="5" spans="1:30" x14ac:dyDescent="0.3">
      <c r="A5" s="3">
        <f t="shared" si="10"/>
        <v>45692</v>
      </c>
      <c r="B5" s="1" t="str">
        <f t="shared" si="11"/>
        <v>M-21</v>
      </c>
      <c r="C5" t="s">
        <v>6</v>
      </c>
      <c r="D5" s="1">
        <f t="shared" si="12"/>
        <v>16.5</v>
      </c>
      <c r="E5" s="7">
        <f>IF(Sheet2!$E$2=24, 24, ROUND(INT(Sheet2!$E$2) + (MOD(Sheet2!$E$2,1) * 60 / 100),2))</f>
        <v>24</v>
      </c>
      <c r="F5" s="7">
        <f>IF(Sheet2!F5=24, 24, ROUND(INT(Sheet2!F5) + (MOD(Sheet2!F5,1) * 60 / 100),2))</f>
        <v>21.3</v>
      </c>
      <c r="G5" s="7">
        <f>IF(Sheet2!G5=24, 24, ROUND(INT(Sheet2!G5) + (MOD(Sheet2!G5,1) * 60 / 100),2))</f>
        <v>2.2999999999999998</v>
      </c>
      <c r="H5" s="8" t="s">
        <v>17</v>
      </c>
      <c r="I5" s="4" t="s">
        <v>44</v>
      </c>
      <c r="J5" s="1">
        <f>220</f>
        <v>220</v>
      </c>
      <c r="K5" s="5">
        <v>220</v>
      </c>
      <c r="L5" s="1">
        <f t="shared" si="0"/>
        <v>393</v>
      </c>
      <c r="M5" s="1">
        <f t="shared" si="13"/>
        <v>352</v>
      </c>
      <c r="N5" s="1">
        <v>323</v>
      </c>
      <c r="O5" s="1">
        <v>22</v>
      </c>
      <c r="P5" s="1">
        <v>11</v>
      </c>
      <c r="Q5" s="1">
        <f t="shared" si="2"/>
        <v>345</v>
      </c>
      <c r="R5" s="1">
        <f t="shared" si="3"/>
        <v>5808</v>
      </c>
      <c r="S5" s="1">
        <f t="shared" si="4"/>
        <v>2033</v>
      </c>
      <c r="T5" s="1">
        <f t="shared" si="5"/>
        <v>2033</v>
      </c>
      <c r="U5" s="1">
        <f t="shared" si="6"/>
        <v>1742</v>
      </c>
      <c r="V5" s="1">
        <f t="shared" si="7"/>
        <v>5330</v>
      </c>
      <c r="W5" s="1">
        <f t="shared" si="8"/>
        <v>363</v>
      </c>
      <c r="X5" s="1">
        <f t="shared" si="9"/>
        <v>182</v>
      </c>
      <c r="Y5" s="1">
        <f t="shared" ref="Y5:Y19" si="19">R5-(V5+W5+X5)</f>
        <v>-67</v>
      </c>
      <c r="Z5" s="1" t="s">
        <v>54</v>
      </c>
      <c r="AA5" s="7">
        <f t="shared" si="15"/>
        <v>90.42</v>
      </c>
      <c r="AB5" s="7">
        <f t="shared" si="16"/>
        <v>91.81</v>
      </c>
      <c r="AC5" s="7">
        <f t="shared" si="17"/>
        <v>93.62</v>
      </c>
      <c r="AD5" s="7">
        <f t="shared" si="18"/>
        <v>77.72</v>
      </c>
    </row>
    <row r="6" spans="1:30" x14ac:dyDescent="0.3">
      <c r="A6" s="3">
        <f t="shared" si="10"/>
        <v>45693</v>
      </c>
      <c r="B6" s="1" t="str">
        <f t="shared" si="11"/>
        <v>M-21</v>
      </c>
      <c r="C6" t="s">
        <v>6</v>
      </c>
      <c r="D6" s="1">
        <f t="shared" si="12"/>
        <v>16.5</v>
      </c>
      <c r="E6" s="7">
        <f>IF(Sheet2!$E$2=24, 24, ROUND(INT(Sheet2!$E$2) + (MOD(Sheet2!$E$2,1) * 60 / 100),2))</f>
        <v>24</v>
      </c>
      <c r="F6" s="7">
        <f>IF(Sheet2!F6=24, 24, ROUND(INT(Sheet2!F6) + (MOD(Sheet2!F6,1) * 60 / 100),2))</f>
        <v>22.15</v>
      </c>
      <c r="G6" s="7">
        <f>IF(Sheet2!G6=24, 24, ROUND(INT(Sheet2!G6) + (MOD(Sheet2!G6,1) * 60 / 100),2))</f>
        <v>1.45</v>
      </c>
      <c r="H6" s="8" t="s">
        <v>17</v>
      </c>
      <c r="I6" s="4" t="s">
        <v>44</v>
      </c>
      <c r="J6" s="1">
        <f>220</f>
        <v>220</v>
      </c>
      <c r="K6" s="5">
        <v>220</v>
      </c>
      <c r="L6" s="1">
        <f t="shared" si="0"/>
        <v>393</v>
      </c>
      <c r="M6" s="1">
        <f t="shared" si="13"/>
        <v>372</v>
      </c>
      <c r="N6" s="1">
        <v>343</v>
      </c>
      <c r="O6" s="1">
        <v>22</v>
      </c>
      <c r="P6" s="1">
        <v>14</v>
      </c>
      <c r="Q6" s="1">
        <f t="shared" si="2"/>
        <v>365</v>
      </c>
      <c r="R6" s="1">
        <f t="shared" si="3"/>
        <v>6138</v>
      </c>
      <c r="S6" s="1">
        <f t="shared" si="4"/>
        <v>2148</v>
      </c>
      <c r="T6" s="1">
        <f t="shared" si="5"/>
        <v>2148</v>
      </c>
      <c r="U6" s="1">
        <f t="shared" si="6"/>
        <v>1841</v>
      </c>
      <c r="V6" s="1">
        <f t="shared" si="7"/>
        <v>5660</v>
      </c>
      <c r="W6" s="1">
        <f t="shared" si="8"/>
        <v>363</v>
      </c>
      <c r="X6" s="1">
        <f t="shared" si="9"/>
        <v>231</v>
      </c>
      <c r="Y6" s="1">
        <f t="shared" si="19"/>
        <v>-116</v>
      </c>
      <c r="Z6" s="1" t="s">
        <v>54</v>
      </c>
      <c r="AA6" s="7">
        <f t="shared" si="15"/>
        <v>93.96</v>
      </c>
      <c r="AB6" s="7">
        <f t="shared" si="16"/>
        <v>94.21</v>
      </c>
      <c r="AC6" s="7">
        <f t="shared" si="17"/>
        <v>93.97</v>
      </c>
      <c r="AD6" s="7">
        <f t="shared" si="18"/>
        <v>83.18</v>
      </c>
    </row>
    <row r="7" spans="1:30" x14ac:dyDescent="0.3">
      <c r="A7" s="3">
        <f t="shared" si="10"/>
        <v>45694</v>
      </c>
      <c r="B7" s="1" t="str">
        <f t="shared" si="11"/>
        <v>M-21</v>
      </c>
      <c r="C7" t="s">
        <v>6</v>
      </c>
      <c r="D7" s="1">
        <f t="shared" si="12"/>
        <v>16.5</v>
      </c>
      <c r="E7" s="7">
        <f>IF(Sheet2!$E$2=24, 24, ROUND(INT(Sheet2!$E$2) + (MOD(Sheet2!$E$2,1) * 60 / 100),2))</f>
        <v>24</v>
      </c>
      <c r="F7" s="7">
        <f>IF(Sheet2!F7=24, 24, ROUND(INT(Sheet2!F7) + (MOD(Sheet2!F7,1) * 60 / 100),2))</f>
        <v>17.399999999999999</v>
      </c>
      <c r="G7" s="7">
        <f>IF(Sheet2!G7=24, 24, ROUND(INT(Sheet2!G7) + (MOD(Sheet2!G7,1) * 60 / 100),2))</f>
        <v>6.2</v>
      </c>
      <c r="H7" s="8" t="s">
        <v>21</v>
      </c>
      <c r="I7" s="4" t="s">
        <v>45</v>
      </c>
      <c r="J7" s="1">
        <f>220</f>
        <v>220</v>
      </c>
      <c r="K7" s="5">
        <v>220</v>
      </c>
      <c r="L7" s="1">
        <f t="shared" si="0"/>
        <v>393</v>
      </c>
      <c r="M7" s="1">
        <f t="shared" si="13"/>
        <v>292</v>
      </c>
      <c r="N7" s="1">
        <v>269</v>
      </c>
      <c r="O7" s="1">
        <v>17</v>
      </c>
      <c r="P7" s="1">
        <v>7</v>
      </c>
      <c r="Q7" s="1">
        <f t="shared" si="2"/>
        <v>286</v>
      </c>
      <c r="R7" s="1">
        <f t="shared" si="3"/>
        <v>4818</v>
      </c>
      <c r="S7" s="1">
        <f t="shared" si="4"/>
        <v>1686</v>
      </c>
      <c r="T7" s="1">
        <f t="shared" si="5"/>
        <v>1686</v>
      </c>
      <c r="U7" s="1">
        <f t="shared" si="6"/>
        <v>1445</v>
      </c>
      <c r="V7" s="1">
        <f t="shared" si="7"/>
        <v>4439</v>
      </c>
      <c r="W7" s="1">
        <f t="shared" si="8"/>
        <v>281</v>
      </c>
      <c r="X7" s="1">
        <f t="shared" si="9"/>
        <v>116</v>
      </c>
      <c r="Y7" s="1">
        <f t="shared" si="19"/>
        <v>-18</v>
      </c>
      <c r="Z7" s="1" t="s">
        <v>54</v>
      </c>
      <c r="AA7" s="7">
        <f t="shared" si="15"/>
        <v>74.17</v>
      </c>
      <c r="AB7" s="7">
        <f t="shared" si="16"/>
        <v>68.5</v>
      </c>
      <c r="AC7" s="7">
        <f t="shared" si="17"/>
        <v>94.06</v>
      </c>
      <c r="AD7" s="7">
        <f t="shared" si="18"/>
        <v>47.79</v>
      </c>
    </row>
    <row r="8" spans="1:30" x14ac:dyDescent="0.3">
      <c r="A8" s="3">
        <f t="shared" si="10"/>
        <v>45695</v>
      </c>
      <c r="B8" s="1" t="str">
        <f t="shared" si="11"/>
        <v>M-21</v>
      </c>
      <c r="C8" t="s">
        <v>6</v>
      </c>
      <c r="D8" s="1">
        <f t="shared" si="12"/>
        <v>16.5</v>
      </c>
      <c r="E8" s="7">
        <f>IF(Sheet2!$E$2=24, 24, ROUND(INT(Sheet2!$E$2) + (MOD(Sheet2!$E$2,1) * 60 / 100),2))</f>
        <v>24</v>
      </c>
      <c r="F8" s="7">
        <f>IF(Sheet2!F8=24, 24, ROUND(INT(Sheet2!F8) + (MOD(Sheet2!F8,1) * 60 / 100),2))</f>
        <v>15</v>
      </c>
      <c r="G8" s="7">
        <f>IF(Sheet2!G8=24, 24, ROUND(INT(Sheet2!G8) + (MOD(Sheet2!G8,1) * 60 / 100),2))</f>
        <v>9</v>
      </c>
      <c r="H8" s="8" t="s">
        <v>21</v>
      </c>
      <c r="I8" s="4" t="s">
        <v>45</v>
      </c>
      <c r="J8" s="1">
        <f>220</f>
        <v>220</v>
      </c>
      <c r="K8" s="5">
        <v>220</v>
      </c>
      <c r="L8" s="1">
        <f t="shared" si="0"/>
        <v>393</v>
      </c>
      <c r="M8" s="1">
        <f t="shared" si="13"/>
        <v>250</v>
      </c>
      <c r="N8" s="1">
        <v>228</v>
      </c>
      <c r="O8" s="1">
        <v>17</v>
      </c>
      <c r="P8" s="1">
        <v>4</v>
      </c>
      <c r="Q8" s="1">
        <f t="shared" si="2"/>
        <v>245</v>
      </c>
      <c r="R8" s="1">
        <f t="shared" si="3"/>
        <v>4125</v>
      </c>
      <c r="S8" s="1">
        <f t="shared" si="4"/>
        <v>1444</v>
      </c>
      <c r="T8" s="1">
        <f t="shared" si="5"/>
        <v>1444</v>
      </c>
      <c r="U8" s="1">
        <f t="shared" si="6"/>
        <v>1238</v>
      </c>
      <c r="V8" s="1">
        <f t="shared" si="7"/>
        <v>3762</v>
      </c>
      <c r="W8" s="1">
        <f t="shared" si="8"/>
        <v>281</v>
      </c>
      <c r="X8" s="1">
        <f t="shared" si="9"/>
        <v>66</v>
      </c>
      <c r="Y8" s="1">
        <f t="shared" si="19"/>
        <v>16</v>
      </c>
      <c r="Z8" s="1" t="s">
        <v>55</v>
      </c>
      <c r="AA8" s="7">
        <f t="shared" si="15"/>
        <v>62.5</v>
      </c>
      <c r="AB8" s="7">
        <f t="shared" si="16"/>
        <v>58.06</v>
      </c>
      <c r="AC8" s="7">
        <f t="shared" si="17"/>
        <v>93.06</v>
      </c>
      <c r="AD8" s="7">
        <f t="shared" si="18"/>
        <v>33.770000000000003</v>
      </c>
    </row>
    <row r="9" spans="1:30" x14ac:dyDescent="0.3">
      <c r="A9" s="3">
        <f t="shared" si="10"/>
        <v>45696</v>
      </c>
      <c r="B9" s="1" t="str">
        <f t="shared" si="11"/>
        <v>M-21</v>
      </c>
      <c r="C9" t="s">
        <v>6</v>
      </c>
      <c r="D9" s="1">
        <f t="shared" si="12"/>
        <v>16.5</v>
      </c>
      <c r="E9" s="7">
        <f>IF(Sheet2!$E$2=24, 24, ROUND(INT(Sheet2!$E$2) + (MOD(Sheet2!$E$2,1) * 60 / 100),2))</f>
        <v>24</v>
      </c>
      <c r="F9" s="7">
        <f>IF(Sheet2!F9=24, 24, ROUND(INT(Sheet2!F9) + (MOD(Sheet2!F9,1) * 60 / 100),2))</f>
        <v>24</v>
      </c>
      <c r="G9" s="7">
        <f>IF(Sheet2!G9=24, 24, ROUND(INT(Sheet2!G9) + (MOD(Sheet2!G9,1) * 60 / 100),2))</f>
        <v>0</v>
      </c>
      <c r="H9" s="8" t="s">
        <v>48</v>
      </c>
      <c r="I9" s="4" t="s">
        <v>48</v>
      </c>
      <c r="J9" s="1">
        <f>220</f>
        <v>220</v>
      </c>
      <c r="K9" s="5">
        <v>218</v>
      </c>
      <c r="L9" s="1">
        <f t="shared" si="0"/>
        <v>396</v>
      </c>
      <c r="M9" s="1">
        <f t="shared" si="13"/>
        <v>402</v>
      </c>
      <c r="N9" s="1">
        <v>371</v>
      </c>
      <c r="O9" s="1">
        <v>23</v>
      </c>
      <c r="P9" s="1">
        <v>5</v>
      </c>
      <c r="Q9" s="1">
        <f t="shared" si="2"/>
        <v>394</v>
      </c>
      <c r="R9" s="1">
        <f t="shared" si="3"/>
        <v>6633</v>
      </c>
      <c r="S9" s="1">
        <f t="shared" si="4"/>
        <v>2322</v>
      </c>
      <c r="T9" s="1">
        <f t="shared" si="5"/>
        <v>2322</v>
      </c>
      <c r="U9" s="1">
        <f t="shared" si="6"/>
        <v>1990</v>
      </c>
      <c r="V9" s="1">
        <f t="shared" si="7"/>
        <v>6122</v>
      </c>
      <c r="W9" s="1">
        <f t="shared" si="8"/>
        <v>380</v>
      </c>
      <c r="X9" s="1">
        <f t="shared" si="9"/>
        <v>83</v>
      </c>
      <c r="Y9" s="1">
        <f t="shared" si="19"/>
        <v>48</v>
      </c>
      <c r="Z9" s="1" t="s">
        <v>55</v>
      </c>
      <c r="AA9" s="7">
        <f t="shared" si="15"/>
        <v>100</v>
      </c>
      <c r="AB9" s="7">
        <f t="shared" si="16"/>
        <v>94.47</v>
      </c>
      <c r="AC9" s="7">
        <f t="shared" si="17"/>
        <v>94.16</v>
      </c>
      <c r="AD9" s="7">
        <f t="shared" si="18"/>
        <v>88.95</v>
      </c>
    </row>
    <row r="10" spans="1:30" x14ac:dyDescent="0.3">
      <c r="A10" s="3">
        <f>DATE(2025,2,1)+INT((ROW(A27)-1)/3)</f>
        <v>45697</v>
      </c>
      <c r="B10" s="1" t="str">
        <f t="shared" si="11"/>
        <v>M-21</v>
      </c>
      <c r="C10" t="s">
        <v>6</v>
      </c>
      <c r="D10" s="1">
        <f t="shared" si="12"/>
        <v>16.5</v>
      </c>
      <c r="E10" s="7">
        <f>IF(Sheet2!$E$2=24, 24, ROUND(INT(Sheet2!$E$2) + (MOD(Sheet2!$E$2,1) * 60 / 100),2))</f>
        <v>24</v>
      </c>
      <c r="F10" s="7">
        <f>IF(Sheet2!F10=24, 24, ROUND(INT(Sheet2!F10) + (MOD(Sheet2!F10,1) * 60 / 100),2))</f>
        <v>24</v>
      </c>
      <c r="G10" s="7">
        <f>IF(Sheet2!G10=24, 24, ROUND(INT(Sheet2!G10) + (MOD(Sheet2!G10,1) * 60 / 100),2))</f>
        <v>0</v>
      </c>
      <c r="H10" s="8" t="s">
        <v>48</v>
      </c>
      <c r="I10" s="4" t="s">
        <v>48</v>
      </c>
      <c r="J10" s="1">
        <f>220</f>
        <v>220</v>
      </c>
      <c r="K10" s="5">
        <v>220</v>
      </c>
      <c r="L10" s="1">
        <f t="shared" si="0"/>
        <v>393</v>
      </c>
      <c r="M10" s="1">
        <f t="shared" si="13"/>
        <v>405</v>
      </c>
      <c r="N10" s="1">
        <v>373</v>
      </c>
      <c r="O10" s="1">
        <v>24</v>
      </c>
      <c r="P10" s="1">
        <v>7</v>
      </c>
      <c r="Q10" s="1">
        <f t="shared" si="2"/>
        <v>397</v>
      </c>
      <c r="R10" s="1">
        <f t="shared" si="3"/>
        <v>6683</v>
      </c>
      <c r="S10" s="1">
        <f t="shared" si="4"/>
        <v>2339</v>
      </c>
      <c r="T10" s="1">
        <f t="shared" si="5"/>
        <v>2339</v>
      </c>
      <c r="U10" s="1">
        <f t="shared" si="6"/>
        <v>2005</v>
      </c>
      <c r="V10" s="1">
        <f t="shared" si="7"/>
        <v>6155</v>
      </c>
      <c r="W10" s="1">
        <f t="shared" si="8"/>
        <v>396</v>
      </c>
      <c r="X10" s="1">
        <f t="shared" si="9"/>
        <v>116</v>
      </c>
      <c r="Y10" s="1">
        <f t="shared" si="19"/>
        <v>16</v>
      </c>
      <c r="Z10" s="1" t="s">
        <v>55</v>
      </c>
      <c r="AA10" s="7">
        <f t="shared" si="15"/>
        <v>100</v>
      </c>
      <c r="AB10" s="7">
        <f t="shared" si="16"/>
        <v>94.98</v>
      </c>
      <c r="AC10" s="7">
        <f t="shared" si="17"/>
        <v>93.95</v>
      </c>
      <c r="AD10" s="7">
        <f t="shared" si="18"/>
        <v>89.23</v>
      </c>
    </row>
    <row r="11" spans="1:30" x14ac:dyDescent="0.3">
      <c r="A11" s="3">
        <f>DATE(2025,2,1)+INT((ROW(A30)-1)/3)</f>
        <v>45698</v>
      </c>
      <c r="B11" s="1" t="str">
        <f t="shared" si="11"/>
        <v>M-21</v>
      </c>
      <c r="C11" t="s">
        <v>6</v>
      </c>
      <c r="D11" s="1">
        <f t="shared" si="12"/>
        <v>16.5</v>
      </c>
      <c r="E11" s="7">
        <f>IF(Sheet2!$E$2=24, 24, ROUND(INT(Sheet2!$E$2) + (MOD(Sheet2!$E$2,1) * 60 / 100),2))</f>
        <v>24</v>
      </c>
      <c r="F11" s="7">
        <f>IF(Sheet2!F11=24, 24, ROUND(INT(Sheet2!F11) + (MOD(Sheet2!F11,1) * 60 / 100),2))</f>
        <v>24</v>
      </c>
      <c r="G11" s="7">
        <f>IF(Sheet2!G11=24, 24, ROUND(INT(Sheet2!G11) + (MOD(Sheet2!G11,1) * 60 / 100),2))</f>
        <v>0</v>
      </c>
      <c r="H11" s="8" t="s">
        <v>48</v>
      </c>
      <c r="I11" s="4" t="s">
        <v>48</v>
      </c>
      <c r="J11" s="1">
        <f>220</f>
        <v>220</v>
      </c>
      <c r="K11" s="5">
        <v>217</v>
      </c>
      <c r="L11" s="1">
        <f t="shared" si="0"/>
        <v>398</v>
      </c>
      <c r="M11" s="1">
        <f t="shared" si="13"/>
        <v>406</v>
      </c>
      <c r="N11" s="1">
        <v>376</v>
      </c>
      <c r="O11" s="1">
        <v>22</v>
      </c>
      <c r="P11" s="1">
        <v>17</v>
      </c>
      <c r="Q11" s="1">
        <f t="shared" si="2"/>
        <v>398</v>
      </c>
      <c r="R11" s="1">
        <f t="shared" si="3"/>
        <v>6699</v>
      </c>
      <c r="S11" s="1">
        <f t="shared" si="4"/>
        <v>2345</v>
      </c>
      <c r="T11" s="1">
        <f t="shared" si="5"/>
        <v>2345</v>
      </c>
      <c r="U11" s="1">
        <f t="shared" si="6"/>
        <v>2010</v>
      </c>
      <c r="V11" s="1">
        <f t="shared" si="7"/>
        <v>6204</v>
      </c>
      <c r="W11" s="1">
        <f t="shared" si="8"/>
        <v>363</v>
      </c>
      <c r="X11" s="1">
        <f t="shared" si="9"/>
        <v>281</v>
      </c>
      <c r="Y11" s="1">
        <f t="shared" si="19"/>
        <v>-149</v>
      </c>
      <c r="Z11" s="1" t="s">
        <v>54</v>
      </c>
      <c r="AA11" s="7">
        <f t="shared" si="15"/>
        <v>100</v>
      </c>
      <c r="AB11" s="7">
        <f t="shared" si="16"/>
        <v>95.74</v>
      </c>
      <c r="AC11" s="7">
        <f t="shared" si="17"/>
        <v>94.47</v>
      </c>
      <c r="AD11" s="7">
        <f t="shared" si="18"/>
        <v>90.45</v>
      </c>
    </row>
    <row r="12" spans="1:30" x14ac:dyDescent="0.3">
      <c r="A12" s="3">
        <f>DATE(2025,2,1)+INT((ROW(A33)-1)/3)</f>
        <v>45699</v>
      </c>
      <c r="B12" s="1" t="str">
        <f t="shared" si="11"/>
        <v>M-21</v>
      </c>
      <c r="C12" t="s">
        <v>6</v>
      </c>
      <c r="D12" s="1">
        <f t="shared" si="12"/>
        <v>16.5</v>
      </c>
      <c r="E12" s="7">
        <f>IF(Sheet2!$E$2=24, 24, ROUND(INT(Sheet2!$E$2) + (MOD(Sheet2!$E$2,1) * 60 / 100),2))</f>
        <v>24</v>
      </c>
      <c r="F12" s="7">
        <f>IF(Sheet2!F12=24, 24, ROUND(INT(Sheet2!F12) + (MOD(Sheet2!F12,1) * 60 / 100),2))</f>
        <v>23.24</v>
      </c>
      <c r="G12" s="7">
        <f>IF(Sheet2!G12=24, 24, ROUND(INT(Sheet2!G12) + (MOD(Sheet2!G12,1) * 60 / 100),2))</f>
        <v>0.36</v>
      </c>
      <c r="H12" s="8" t="s">
        <v>17</v>
      </c>
      <c r="I12" s="4" t="s">
        <v>44</v>
      </c>
      <c r="J12" s="1">
        <f>220</f>
        <v>220</v>
      </c>
      <c r="K12" s="5">
        <v>220</v>
      </c>
      <c r="L12" s="1">
        <f t="shared" si="0"/>
        <v>393</v>
      </c>
      <c r="M12" s="1">
        <f t="shared" si="13"/>
        <v>390</v>
      </c>
      <c r="N12" s="1">
        <v>358</v>
      </c>
      <c r="O12" s="1">
        <v>24</v>
      </c>
      <c r="P12" s="1">
        <v>4</v>
      </c>
      <c r="Q12" s="1">
        <f t="shared" si="2"/>
        <v>382</v>
      </c>
      <c r="R12" s="1">
        <f t="shared" si="3"/>
        <v>6435</v>
      </c>
      <c r="S12" s="1">
        <f t="shared" si="4"/>
        <v>2252</v>
      </c>
      <c r="T12" s="1">
        <f t="shared" si="5"/>
        <v>2252</v>
      </c>
      <c r="U12" s="1">
        <f t="shared" si="6"/>
        <v>1931</v>
      </c>
      <c r="V12" s="1">
        <f t="shared" si="7"/>
        <v>5907</v>
      </c>
      <c r="W12" s="1">
        <f t="shared" si="8"/>
        <v>396</v>
      </c>
      <c r="X12" s="1">
        <f t="shared" si="9"/>
        <v>66</v>
      </c>
      <c r="Y12" s="1">
        <f t="shared" si="19"/>
        <v>66</v>
      </c>
      <c r="Z12" s="1" t="s">
        <v>55</v>
      </c>
      <c r="AA12" s="7">
        <f t="shared" si="15"/>
        <v>98.5</v>
      </c>
      <c r="AB12" s="7">
        <f t="shared" si="16"/>
        <v>93.49</v>
      </c>
      <c r="AC12" s="7">
        <f t="shared" si="17"/>
        <v>93.72</v>
      </c>
      <c r="AD12" s="7">
        <f t="shared" si="18"/>
        <v>86.3</v>
      </c>
    </row>
    <row r="13" spans="1:30" x14ac:dyDescent="0.3">
      <c r="A13" s="3">
        <f>DATE(2025,2,1)+INT((ROW(A36)-1)/3)</f>
        <v>45700</v>
      </c>
      <c r="B13" s="1" t="str">
        <f t="shared" si="11"/>
        <v>M-21</v>
      </c>
      <c r="C13" t="s">
        <v>6</v>
      </c>
      <c r="D13" s="1">
        <f t="shared" si="12"/>
        <v>16.5</v>
      </c>
      <c r="E13" s="7">
        <f>IF(Sheet2!$E$2=24, 24, ROUND(INT(Sheet2!$E$2) + (MOD(Sheet2!$E$2,1) * 60 / 100),2))</f>
        <v>24</v>
      </c>
      <c r="F13" s="7">
        <f>IF(Sheet2!F13=24, 24, ROUND(INT(Sheet2!F13) + (MOD(Sheet2!F13,1) * 60 / 100),2))</f>
        <v>22.1</v>
      </c>
      <c r="G13" s="7">
        <f>IF(Sheet2!G13=24, 24, ROUND(INT(Sheet2!G13) + (MOD(Sheet2!G13,1) * 60 / 100),2))</f>
        <v>1.5</v>
      </c>
      <c r="H13" s="8" t="s">
        <v>17</v>
      </c>
      <c r="I13" s="4" t="s">
        <v>44</v>
      </c>
      <c r="J13" s="1">
        <f>220</f>
        <v>220</v>
      </c>
      <c r="K13" s="5">
        <v>220</v>
      </c>
      <c r="L13" s="1">
        <f t="shared" si="0"/>
        <v>393</v>
      </c>
      <c r="M13" s="1">
        <f t="shared" si="13"/>
        <v>369</v>
      </c>
      <c r="N13" s="1">
        <v>336</v>
      </c>
      <c r="O13" s="1">
        <v>26</v>
      </c>
      <c r="P13" s="1">
        <v>13</v>
      </c>
      <c r="Q13" s="1">
        <f t="shared" si="2"/>
        <v>362</v>
      </c>
      <c r="R13" s="1">
        <f t="shared" si="3"/>
        <v>6089</v>
      </c>
      <c r="S13" s="1">
        <f t="shared" si="4"/>
        <v>2131</v>
      </c>
      <c r="T13" s="1">
        <f t="shared" si="5"/>
        <v>2131</v>
      </c>
      <c r="U13" s="1">
        <f t="shared" si="6"/>
        <v>1827</v>
      </c>
      <c r="V13" s="1">
        <f t="shared" si="7"/>
        <v>5544</v>
      </c>
      <c r="W13" s="1">
        <f t="shared" si="8"/>
        <v>429</v>
      </c>
      <c r="X13" s="1">
        <f t="shared" si="9"/>
        <v>215</v>
      </c>
      <c r="Y13" s="1">
        <f t="shared" si="19"/>
        <v>-99</v>
      </c>
      <c r="Z13" s="1" t="s">
        <v>54</v>
      </c>
      <c r="AA13" s="7">
        <f t="shared" si="15"/>
        <v>93.75</v>
      </c>
      <c r="AB13" s="7">
        <f t="shared" si="16"/>
        <v>92.63</v>
      </c>
      <c r="AC13" s="7">
        <f t="shared" si="17"/>
        <v>92.82</v>
      </c>
      <c r="AD13" s="7">
        <f t="shared" si="18"/>
        <v>80.61</v>
      </c>
    </row>
    <row r="14" spans="1:30" x14ac:dyDescent="0.3">
      <c r="A14" s="3">
        <f>DATE(2025,2,1)+INT((ROW(A39)-1)/3)</f>
        <v>45701</v>
      </c>
      <c r="B14" s="1" t="str">
        <f t="shared" si="11"/>
        <v>M-21</v>
      </c>
      <c r="C14" t="s">
        <v>6</v>
      </c>
      <c r="D14" s="1">
        <f t="shared" si="12"/>
        <v>16.5</v>
      </c>
      <c r="E14" s="7">
        <f>IF(Sheet2!$E$2=24, 24, ROUND(INT(Sheet2!$E$2) + (MOD(Sheet2!$E$2,1) * 60 / 100),2))</f>
        <v>24</v>
      </c>
      <c r="F14" s="7">
        <f>IF(Sheet2!F14=24, 24, ROUND(INT(Sheet2!F14) + (MOD(Sheet2!F14,1) * 60 / 100),2))</f>
        <v>24</v>
      </c>
      <c r="G14" s="7">
        <f>IF(Sheet2!G14=24, 24, ROUND(INT(Sheet2!G14) + (MOD(Sheet2!G14,1) * 60 / 100),2))</f>
        <v>0</v>
      </c>
      <c r="H14" s="8" t="s">
        <v>48</v>
      </c>
      <c r="I14" s="4" t="s">
        <v>48</v>
      </c>
      <c r="J14" s="1">
        <f>220</f>
        <v>220</v>
      </c>
      <c r="K14" s="5">
        <v>213</v>
      </c>
      <c r="L14" s="1">
        <f t="shared" si="0"/>
        <v>406</v>
      </c>
      <c r="M14" s="1">
        <f t="shared" si="13"/>
        <v>413</v>
      </c>
      <c r="N14" s="1">
        <v>391</v>
      </c>
      <c r="O14" s="1">
        <v>14</v>
      </c>
      <c r="P14" s="1">
        <v>3</v>
      </c>
      <c r="Q14" s="1">
        <f t="shared" si="2"/>
        <v>405</v>
      </c>
      <c r="R14" s="1">
        <f t="shared" si="3"/>
        <v>6815</v>
      </c>
      <c r="S14" s="1">
        <f t="shared" si="4"/>
        <v>2385</v>
      </c>
      <c r="T14" s="1">
        <f t="shared" si="5"/>
        <v>2385</v>
      </c>
      <c r="U14" s="1">
        <f t="shared" si="6"/>
        <v>2045</v>
      </c>
      <c r="V14" s="1">
        <f t="shared" si="7"/>
        <v>6452</v>
      </c>
      <c r="W14" s="1">
        <f t="shared" si="8"/>
        <v>231</v>
      </c>
      <c r="X14" s="1">
        <f t="shared" si="9"/>
        <v>50</v>
      </c>
      <c r="Y14" s="1">
        <f t="shared" si="19"/>
        <v>82</v>
      </c>
      <c r="Z14" s="1" t="s">
        <v>55</v>
      </c>
      <c r="AA14" s="7">
        <f t="shared" si="15"/>
        <v>100</v>
      </c>
      <c r="AB14" s="7">
        <f t="shared" si="16"/>
        <v>99.56</v>
      </c>
      <c r="AC14" s="7">
        <f t="shared" si="17"/>
        <v>96.54</v>
      </c>
      <c r="AD14" s="7">
        <f t="shared" si="18"/>
        <v>96.12</v>
      </c>
    </row>
    <row r="15" spans="1:30" x14ac:dyDescent="0.3">
      <c r="A15" s="3">
        <f>DATE(2025,2,1)+INT((ROW(A42)-1)/3)</f>
        <v>45702</v>
      </c>
      <c r="B15" s="1" t="str">
        <f t="shared" si="11"/>
        <v>M-21</v>
      </c>
      <c r="C15" t="s">
        <v>6</v>
      </c>
      <c r="D15" s="1">
        <f t="shared" si="12"/>
        <v>16.5</v>
      </c>
      <c r="E15" s="7">
        <f>IF(Sheet2!$E$2=24, 24, ROUND(INT(Sheet2!$E$2) + (MOD(Sheet2!$E$2,1) * 60 / 100),2))</f>
        <v>24</v>
      </c>
      <c r="F15" s="7">
        <f>IF(Sheet2!F15=24, 24, ROUND(INT(Sheet2!F15) + (MOD(Sheet2!F15,1) * 60 / 100),2))</f>
        <v>23.3</v>
      </c>
      <c r="G15" s="7">
        <f>IF(Sheet2!G15=24, 24, ROUND(INT(Sheet2!G15) + (MOD(Sheet2!G15,1) * 60 / 100),2))</f>
        <v>0.3</v>
      </c>
      <c r="H15" s="8" t="s">
        <v>48</v>
      </c>
      <c r="I15" s="4" t="s">
        <v>48</v>
      </c>
      <c r="J15" s="1">
        <f>220</f>
        <v>220</v>
      </c>
      <c r="K15" s="5">
        <v>218</v>
      </c>
      <c r="L15" s="1">
        <f t="shared" si="0"/>
        <v>396</v>
      </c>
      <c r="M15" s="1">
        <f t="shared" si="13"/>
        <v>398</v>
      </c>
      <c r="N15" s="1">
        <v>373</v>
      </c>
      <c r="O15" s="1">
        <v>17</v>
      </c>
      <c r="P15" s="1">
        <v>6</v>
      </c>
      <c r="Q15" s="1">
        <f t="shared" si="2"/>
        <v>390</v>
      </c>
      <c r="R15" s="1">
        <f t="shared" si="3"/>
        <v>6567</v>
      </c>
      <c r="S15" s="1">
        <f t="shared" si="4"/>
        <v>2298</v>
      </c>
      <c r="T15" s="1">
        <f t="shared" si="5"/>
        <v>2298</v>
      </c>
      <c r="U15" s="1">
        <f t="shared" si="6"/>
        <v>1970</v>
      </c>
      <c r="V15" s="1">
        <f t="shared" si="7"/>
        <v>6155</v>
      </c>
      <c r="W15" s="1">
        <f t="shared" si="8"/>
        <v>281</v>
      </c>
      <c r="X15" s="1">
        <f t="shared" si="9"/>
        <v>99</v>
      </c>
      <c r="Y15" s="1">
        <f t="shared" si="19"/>
        <v>32</v>
      </c>
      <c r="Z15" s="1" t="s">
        <v>55</v>
      </c>
      <c r="AA15" s="7">
        <f t="shared" si="15"/>
        <v>98.75</v>
      </c>
      <c r="AB15" s="7">
        <f t="shared" si="16"/>
        <v>94.98</v>
      </c>
      <c r="AC15" s="7">
        <f t="shared" si="17"/>
        <v>95.64</v>
      </c>
      <c r="AD15" s="7">
        <f t="shared" si="18"/>
        <v>89.7</v>
      </c>
    </row>
    <row r="16" spans="1:30" x14ac:dyDescent="0.3">
      <c r="A16" s="3">
        <f>DATE(2025,2,1)+INT((ROW(A45)-1)/3)</f>
        <v>45703</v>
      </c>
      <c r="B16" s="1" t="str">
        <f t="shared" si="11"/>
        <v>M-21</v>
      </c>
      <c r="C16" t="s">
        <v>6</v>
      </c>
      <c r="D16" s="1">
        <f t="shared" si="12"/>
        <v>16.5</v>
      </c>
      <c r="E16" s="7">
        <f>IF(Sheet2!$E$2=24, 24, ROUND(INT(Sheet2!$E$2) + (MOD(Sheet2!$E$2,1) * 60 / 100),2))</f>
        <v>24</v>
      </c>
      <c r="F16" s="7">
        <f>IF(Sheet2!F16=24, 24, ROUND(INT(Sheet2!F16) + (MOD(Sheet2!F16,1) * 60 / 100),2))</f>
        <v>22.29</v>
      </c>
      <c r="G16" s="7">
        <f>IF(Sheet2!G16=24, 24, ROUND(INT(Sheet2!G16) + (MOD(Sheet2!G16,1) * 60 / 100),2))</f>
        <v>1.31</v>
      </c>
      <c r="H16" s="8" t="s">
        <v>24</v>
      </c>
      <c r="I16" s="4" t="s">
        <v>45</v>
      </c>
      <c r="J16" s="1">
        <f>220</f>
        <v>220</v>
      </c>
      <c r="K16" s="5">
        <v>220</v>
      </c>
      <c r="L16" s="1">
        <f t="shared" si="0"/>
        <v>393</v>
      </c>
      <c r="M16" s="1">
        <f t="shared" si="13"/>
        <v>372</v>
      </c>
      <c r="N16" s="1">
        <v>345</v>
      </c>
      <c r="O16" s="1">
        <v>20</v>
      </c>
      <c r="P16" s="1">
        <v>7</v>
      </c>
      <c r="Q16" s="1">
        <f t="shared" si="2"/>
        <v>365</v>
      </c>
      <c r="R16" s="1">
        <f t="shared" si="3"/>
        <v>6138</v>
      </c>
      <c r="S16" s="1">
        <f t="shared" si="4"/>
        <v>2148</v>
      </c>
      <c r="T16" s="1">
        <f t="shared" si="5"/>
        <v>2148</v>
      </c>
      <c r="U16" s="1">
        <f t="shared" si="6"/>
        <v>1841</v>
      </c>
      <c r="V16" s="1">
        <f t="shared" si="7"/>
        <v>5693</v>
      </c>
      <c r="W16" s="1">
        <f t="shared" si="8"/>
        <v>330</v>
      </c>
      <c r="X16" s="1">
        <f t="shared" si="9"/>
        <v>116</v>
      </c>
      <c r="Y16" s="1">
        <f t="shared" si="19"/>
        <v>-1</v>
      </c>
      <c r="Z16" s="1" t="s">
        <v>54</v>
      </c>
      <c r="AA16" s="7">
        <f t="shared" si="15"/>
        <v>94.54</v>
      </c>
      <c r="AB16" s="7">
        <f t="shared" si="16"/>
        <v>87.85</v>
      </c>
      <c r="AC16" s="7">
        <f t="shared" si="17"/>
        <v>94.52</v>
      </c>
      <c r="AD16" s="7">
        <f t="shared" si="18"/>
        <v>78.5</v>
      </c>
    </row>
    <row r="17" spans="1:30" x14ac:dyDescent="0.3">
      <c r="A17" s="3">
        <f>DATE(2025,2,1)+INT((ROW(A48)-1)/3)</f>
        <v>45704</v>
      </c>
      <c r="B17" s="1" t="str">
        <f t="shared" si="11"/>
        <v>M-21</v>
      </c>
      <c r="C17" t="s">
        <v>6</v>
      </c>
      <c r="D17" s="1">
        <f t="shared" si="12"/>
        <v>16.5</v>
      </c>
      <c r="E17" s="7">
        <f>IF(Sheet2!$E$2=24, 24, ROUND(INT(Sheet2!$E$2) + (MOD(Sheet2!$E$2,1) * 60 / 100),2))</f>
        <v>24</v>
      </c>
      <c r="F17" s="7">
        <f>IF(Sheet2!F17=24, 24, ROUND(INT(Sheet2!F17) + (MOD(Sheet2!F17,1) * 60 / 100),2))</f>
        <v>24</v>
      </c>
      <c r="G17" s="7">
        <f>IF(Sheet2!G17=24, 24, ROUND(INT(Sheet2!G17) + (MOD(Sheet2!G17,1) * 60 / 100),2))</f>
        <v>0</v>
      </c>
      <c r="H17" s="8" t="s">
        <v>48</v>
      </c>
      <c r="I17" s="4" t="s">
        <v>48</v>
      </c>
      <c r="J17" s="1">
        <f>220</f>
        <v>220</v>
      </c>
      <c r="K17" s="5">
        <v>213</v>
      </c>
      <c r="L17" s="1">
        <f t="shared" si="0"/>
        <v>406</v>
      </c>
      <c r="M17" s="1">
        <f t="shared" si="13"/>
        <v>413</v>
      </c>
      <c r="N17" s="1">
        <v>389</v>
      </c>
      <c r="O17" s="1">
        <v>16</v>
      </c>
      <c r="P17" s="1">
        <v>15</v>
      </c>
      <c r="Q17" s="1">
        <f t="shared" si="2"/>
        <v>405</v>
      </c>
      <c r="R17" s="1">
        <f t="shared" si="3"/>
        <v>6815</v>
      </c>
      <c r="S17" s="1">
        <f t="shared" si="4"/>
        <v>2385</v>
      </c>
      <c r="T17" s="1">
        <f t="shared" si="5"/>
        <v>2385</v>
      </c>
      <c r="U17" s="1">
        <f t="shared" si="6"/>
        <v>2045</v>
      </c>
      <c r="V17" s="1">
        <f t="shared" si="7"/>
        <v>6419</v>
      </c>
      <c r="W17" s="1">
        <f t="shared" si="8"/>
        <v>264</v>
      </c>
      <c r="X17" s="1">
        <f t="shared" si="9"/>
        <v>248</v>
      </c>
      <c r="Y17" s="1">
        <f t="shared" si="19"/>
        <v>-116</v>
      </c>
      <c r="Z17" s="1" t="s">
        <v>54</v>
      </c>
      <c r="AA17" s="7">
        <f t="shared" si="15"/>
        <v>100</v>
      </c>
      <c r="AB17" s="7">
        <f t="shared" si="16"/>
        <v>99.05</v>
      </c>
      <c r="AC17" s="7">
        <f t="shared" si="17"/>
        <v>96.05</v>
      </c>
      <c r="AD17" s="7">
        <f t="shared" si="18"/>
        <v>95.14</v>
      </c>
    </row>
    <row r="18" spans="1:30" x14ac:dyDescent="0.3">
      <c r="A18" s="3">
        <f>DATE(2025,2,1)+INT((ROW(A51)-1)/3)</f>
        <v>45705</v>
      </c>
      <c r="B18" s="1" t="str">
        <f t="shared" si="11"/>
        <v>M-21</v>
      </c>
      <c r="C18" t="s">
        <v>6</v>
      </c>
      <c r="D18" s="1">
        <f t="shared" si="12"/>
        <v>16.5</v>
      </c>
      <c r="E18" s="7">
        <f>IF(Sheet2!$E$2=24, 24, ROUND(INT(Sheet2!$E$2) + (MOD(Sheet2!$E$2,1) * 60 / 100),2))</f>
        <v>24</v>
      </c>
      <c r="F18" s="7">
        <f>IF(Sheet2!F18=24, 24, ROUND(INT(Sheet2!F18) + (MOD(Sheet2!F18,1) * 60 / 100),2))</f>
        <v>21.05</v>
      </c>
      <c r="G18" s="7">
        <f>IF(Sheet2!G18=24, 24, ROUND(INT(Sheet2!G18) + (MOD(Sheet2!G18,1) * 60 / 100),2))</f>
        <v>2.5499999999999998</v>
      </c>
      <c r="H18" s="8" t="s">
        <v>23</v>
      </c>
      <c r="I18" s="4" t="s">
        <v>45</v>
      </c>
      <c r="J18" s="1">
        <f>220</f>
        <v>220</v>
      </c>
      <c r="K18" s="5">
        <v>220</v>
      </c>
      <c r="L18" s="1">
        <f t="shared" si="0"/>
        <v>393</v>
      </c>
      <c r="M18" s="1">
        <f t="shared" si="13"/>
        <v>350</v>
      </c>
      <c r="N18" s="1">
        <v>328</v>
      </c>
      <c r="O18" s="1">
        <v>15</v>
      </c>
      <c r="P18" s="1">
        <v>5</v>
      </c>
      <c r="Q18" s="1">
        <f t="shared" si="2"/>
        <v>343</v>
      </c>
      <c r="R18" s="1">
        <f t="shared" si="3"/>
        <v>5775</v>
      </c>
      <c r="S18" s="1">
        <f t="shared" si="4"/>
        <v>2021</v>
      </c>
      <c r="T18" s="1">
        <f t="shared" si="5"/>
        <v>2021</v>
      </c>
      <c r="U18" s="1">
        <f t="shared" si="6"/>
        <v>1733</v>
      </c>
      <c r="V18" s="1">
        <f t="shared" si="7"/>
        <v>5412</v>
      </c>
      <c r="W18" s="1">
        <f t="shared" si="8"/>
        <v>248</v>
      </c>
      <c r="X18" s="1">
        <f t="shared" si="9"/>
        <v>83</v>
      </c>
      <c r="Y18" s="1">
        <f t="shared" si="19"/>
        <v>32</v>
      </c>
      <c r="Z18" s="1" t="s">
        <v>55</v>
      </c>
      <c r="AA18" s="7">
        <f t="shared" si="15"/>
        <v>89.38</v>
      </c>
      <c r="AB18" s="7">
        <f t="shared" si="16"/>
        <v>83.52</v>
      </c>
      <c r="AC18" s="7">
        <f t="shared" si="17"/>
        <v>95.63</v>
      </c>
      <c r="AD18" s="7">
        <f t="shared" si="18"/>
        <v>71.39</v>
      </c>
    </row>
    <row r="19" spans="1:30" x14ac:dyDescent="0.3">
      <c r="A19" s="3">
        <f>DATE(2025,2,1)+INT((ROW(A54)-1)/3)</f>
        <v>45706</v>
      </c>
      <c r="B19" s="1" t="str">
        <f t="shared" si="11"/>
        <v>M-21</v>
      </c>
      <c r="C19" t="s">
        <v>6</v>
      </c>
      <c r="D19" s="1">
        <f t="shared" si="12"/>
        <v>16.5</v>
      </c>
      <c r="E19" s="7">
        <f>IF(Sheet2!$E$2=24, 24, ROUND(INT(Sheet2!$E$2) + (MOD(Sheet2!$E$2,1) * 60 / 100),2))</f>
        <v>24</v>
      </c>
      <c r="F19" s="7">
        <f>IF(Sheet2!F19=24, 24, ROUND(INT(Sheet2!F19) + (MOD(Sheet2!F19,1) * 60 / 100),2))</f>
        <v>24</v>
      </c>
      <c r="G19" s="7">
        <f>IF(Sheet2!G19=24, 24, ROUND(INT(Sheet2!G19) + (MOD(Sheet2!G19,1) * 60 / 100),2))</f>
        <v>0</v>
      </c>
      <c r="H19" s="8" t="s">
        <v>48</v>
      </c>
      <c r="I19" s="4" t="s">
        <v>48</v>
      </c>
      <c r="J19" s="1">
        <f>220</f>
        <v>220</v>
      </c>
      <c r="K19" s="5">
        <v>217</v>
      </c>
      <c r="L19" s="1">
        <f t="shared" si="0"/>
        <v>398</v>
      </c>
      <c r="M19" s="1">
        <f t="shared" si="13"/>
        <v>404</v>
      </c>
      <c r="N19" s="1">
        <v>377</v>
      </c>
      <c r="O19" s="1">
        <v>19</v>
      </c>
      <c r="P19" s="1">
        <v>5</v>
      </c>
      <c r="Q19" s="1">
        <f t="shared" si="2"/>
        <v>396</v>
      </c>
      <c r="R19" s="1">
        <f t="shared" si="3"/>
        <v>6666</v>
      </c>
      <c r="S19" s="1">
        <f t="shared" si="4"/>
        <v>2333</v>
      </c>
      <c r="T19" s="1">
        <f t="shared" si="5"/>
        <v>2333</v>
      </c>
      <c r="U19" s="1">
        <f t="shared" si="6"/>
        <v>2000</v>
      </c>
      <c r="V19" s="1">
        <f t="shared" si="7"/>
        <v>6221</v>
      </c>
      <c r="W19" s="1">
        <f t="shared" si="8"/>
        <v>314</v>
      </c>
      <c r="X19" s="1">
        <f t="shared" si="9"/>
        <v>83</v>
      </c>
      <c r="Y19" s="1">
        <f t="shared" si="19"/>
        <v>48</v>
      </c>
      <c r="Z19" s="1" t="s">
        <v>55</v>
      </c>
      <c r="AA19" s="7">
        <f t="shared" si="15"/>
        <v>100</v>
      </c>
      <c r="AB19" s="7">
        <f t="shared" si="16"/>
        <v>96</v>
      </c>
      <c r="AC19" s="7">
        <f t="shared" si="17"/>
        <v>95.2</v>
      </c>
      <c r="AD19" s="7">
        <f t="shared" si="18"/>
        <v>91.39</v>
      </c>
    </row>
    <row r="20" spans="1:30" x14ac:dyDescent="0.3">
      <c r="A20" s="3">
        <f>DATE(2025,2,1)+INT((ROW(A57)-1)/3)</f>
        <v>45707</v>
      </c>
      <c r="B20" s="1" t="str">
        <f t="shared" si="11"/>
        <v>M-21</v>
      </c>
      <c r="C20" t="s">
        <v>6</v>
      </c>
      <c r="D20" s="1">
        <f t="shared" si="12"/>
        <v>16.5</v>
      </c>
      <c r="E20" s="7">
        <f>IF(Sheet2!$E$2=24, 24, ROUND(INT(Sheet2!$E$2) + (MOD(Sheet2!$E$2,1) * 60 / 100),2))</f>
        <v>24</v>
      </c>
      <c r="F20" s="7">
        <f>IF(Sheet2!F20=24, 24, ROUND(INT(Sheet2!F20) + (MOD(Sheet2!F20,1) * 60 / 100),2))</f>
        <v>20.21</v>
      </c>
      <c r="G20" s="7">
        <f>IF(Sheet2!G20=24, 24, ROUND(INT(Sheet2!G20) + (MOD(Sheet2!G20,1) * 60 / 100),2))</f>
        <v>3.39</v>
      </c>
      <c r="H20" s="8" t="s">
        <v>21</v>
      </c>
      <c r="I20" s="4" t="s">
        <v>45</v>
      </c>
      <c r="J20" s="1">
        <f>220</f>
        <v>220</v>
      </c>
      <c r="K20" s="5">
        <v>220</v>
      </c>
      <c r="L20" s="1">
        <f t="shared" si="0"/>
        <v>393</v>
      </c>
      <c r="M20" s="1">
        <f t="shared" ref="M20" si="20">ROUND(((Q20*2/98)+Q20),0)</f>
        <v>337</v>
      </c>
      <c r="N20" s="1">
        <v>308</v>
      </c>
      <c r="O20" s="1">
        <v>22</v>
      </c>
      <c r="P20" s="1">
        <v>6</v>
      </c>
      <c r="Q20" s="1">
        <f t="shared" ref="Q20" si="21">N20+O20</f>
        <v>330</v>
      </c>
      <c r="R20" s="1">
        <f t="shared" si="3"/>
        <v>5561</v>
      </c>
      <c r="S20" s="1">
        <f t="shared" ref="S20" si="22">ROUND((R20*35/100),0)</f>
        <v>1946</v>
      </c>
      <c r="T20" s="1">
        <f t="shared" ref="T20" si="23">ROUND((R20*35/100),0)</f>
        <v>1946</v>
      </c>
      <c r="U20" s="1">
        <f t="shared" ref="U20" si="24">ROUND((R20*30/100),0)</f>
        <v>1668</v>
      </c>
      <c r="V20" s="1">
        <f t="shared" si="7"/>
        <v>5082</v>
      </c>
      <c r="W20" s="1">
        <f t="shared" si="8"/>
        <v>363</v>
      </c>
      <c r="X20" s="1">
        <f t="shared" si="9"/>
        <v>99</v>
      </c>
      <c r="Y20" s="1">
        <f t="shared" ref="Y20" si="25">R20-(V20+W20+X20)</f>
        <v>17</v>
      </c>
      <c r="Z20" s="1" t="s">
        <v>55</v>
      </c>
      <c r="AA20" s="7">
        <f t="shared" si="15"/>
        <v>85.88</v>
      </c>
      <c r="AB20" s="7">
        <f t="shared" si="16"/>
        <v>78.430000000000007</v>
      </c>
      <c r="AC20" s="7">
        <f t="shared" si="17"/>
        <v>93.33</v>
      </c>
      <c r="AD20" s="7">
        <f t="shared" si="18"/>
        <v>62.86</v>
      </c>
    </row>
    <row r="21" spans="1:30" s="10" customFormat="1" x14ac:dyDescent="0.3">
      <c r="A21" s="9" t="s">
        <v>50</v>
      </c>
      <c r="F21" s="2">
        <f>INT(SUM(Sheet2!F2:F20)) + ROUND((SUM(Sheet2!F2:F20) - INT(SUM(Sheet2!F2:F20))) * 60 / 100, 2)</f>
        <v>409.09</v>
      </c>
      <c r="G21" s="2">
        <f>INT(SUM(Sheet2!G2:G20)) + ROUND((SUM(Sheet2!G2:G20) - INT(SUM(Sheet2!G2:G20))) * 60 / 100, 2)</f>
        <v>46.51</v>
      </c>
      <c r="L21" s="2">
        <f>SUM(L2:L20)</f>
        <v>7492</v>
      </c>
      <c r="M21" s="2">
        <f>SUM(M2:M20)</f>
        <v>6843</v>
      </c>
      <c r="N21" s="2">
        <f>SUM(N2:N20)</f>
        <v>6329</v>
      </c>
      <c r="O21" s="2">
        <f>SUM(O2:O20)</f>
        <v>378</v>
      </c>
      <c r="P21" s="2">
        <f>SUM(P2:P20)</f>
        <v>170</v>
      </c>
      <c r="Q21" s="2">
        <f>SUM(Q2:Q20)</f>
        <v>6707</v>
      </c>
      <c r="R21" s="2">
        <f>SUM(R2:R20)</f>
        <v>112913</v>
      </c>
      <c r="S21" s="2">
        <f>SUM(S2:S20)</f>
        <v>39518</v>
      </c>
      <c r="T21" s="2">
        <f>SUM(T2:T20)</f>
        <v>39518</v>
      </c>
      <c r="U21" s="2">
        <f>SUM(U2:U20)</f>
        <v>33875</v>
      </c>
      <c r="V21" s="2">
        <f>SUM(V2:V20)</f>
        <v>104435</v>
      </c>
      <c r="W21" s="2">
        <f>SUM(W2:W20)</f>
        <v>6241</v>
      </c>
      <c r="X21" s="2">
        <f>SUM(X2:X20)</f>
        <v>2811</v>
      </c>
      <c r="Y21" s="2">
        <f>SUM(Y2:Y20)</f>
        <v>-574</v>
      </c>
      <c r="AA21" s="11">
        <f>MIN(100, AVERAGE(AA2:AA20))</f>
        <v>90.327894736842111</v>
      </c>
      <c r="AB21" s="11">
        <f>MIN(100, AVERAGE(AB2:AB20))</f>
        <v>89.057368421052615</v>
      </c>
      <c r="AC21" s="11">
        <f>MIN(100, AVERAGE(AC2:AC20))</f>
        <v>94.295263157894738</v>
      </c>
      <c r="AD21" s="11">
        <f>MIN(100, AVERAGE(AD2:AD20))</f>
        <v>76.79947368421054</v>
      </c>
    </row>
    <row r="23" spans="1:30" x14ac:dyDescent="0.3">
      <c r="A23" s="3"/>
      <c r="B23" s="1"/>
      <c r="D23" s="1"/>
      <c r="E23" s="4"/>
      <c r="F23" s="4"/>
      <c r="G23" s="6"/>
      <c r="H23" s="4"/>
      <c r="I23" s="4"/>
      <c r="J23" s="1"/>
      <c r="K23" s="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C23" s="1"/>
      <c r="AD23" s="1"/>
    </row>
    <row r="24" spans="1:30" x14ac:dyDescent="0.3">
      <c r="A24" s="3"/>
      <c r="B24" s="1"/>
      <c r="D24" s="1"/>
      <c r="E24" s="4"/>
      <c r="F24" s="4"/>
      <c r="G24" s="4"/>
      <c r="H24" s="4"/>
      <c r="I24" s="4"/>
      <c r="J24" s="1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C24" s="1"/>
      <c r="AD24" s="1"/>
    </row>
    <row r="26" spans="1:30" x14ac:dyDescent="0.3">
      <c r="A26" s="3"/>
      <c r="B26" s="1"/>
      <c r="D26" s="1"/>
      <c r="E26" s="4"/>
      <c r="F26" s="4"/>
      <c r="G26" s="4"/>
      <c r="H26" s="4"/>
      <c r="I26" s="4"/>
      <c r="J26" s="1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C26" s="1"/>
      <c r="AD26" s="1"/>
    </row>
    <row r="27" spans="1:30" x14ac:dyDescent="0.3">
      <c r="A27" s="3"/>
      <c r="B27" s="1"/>
      <c r="D27" s="1"/>
      <c r="E27" s="4"/>
      <c r="F27" s="4"/>
      <c r="G27" s="4"/>
      <c r="H27" s="4"/>
      <c r="I27" s="4"/>
      <c r="J27" s="1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C27" s="1"/>
      <c r="AD27" s="1"/>
    </row>
    <row r="29" spans="1:30" x14ac:dyDescent="0.3">
      <c r="A29" s="3"/>
      <c r="B29" s="1"/>
      <c r="D29" s="1"/>
      <c r="E29" s="4"/>
      <c r="F29" s="4"/>
      <c r="G29" s="4"/>
      <c r="H29" s="4"/>
      <c r="I29" s="4"/>
      <c r="J29" s="1"/>
      <c r="K29" s="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C29" s="1"/>
      <c r="AD29" s="1"/>
    </row>
    <row r="30" spans="1:30" x14ac:dyDescent="0.3">
      <c r="A30" s="3"/>
      <c r="B30" s="1"/>
      <c r="D30" s="1"/>
      <c r="E30" s="4"/>
      <c r="F30" s="4"/>
      <c r="G30" s="4"/>
      <c r="H30" s="4"/>
      <c r="I30" s="4"/>
      <c r="J30" s="1"/>
      <c r="K30" s="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C30" s="1"/>
      <c r="AD30" s="1"/>
    </row>
    <row r="32" spans="1:30" x14ac:dyDescent="0.3">
      <c r="A32" s="3"/>
      <c r="B32" s="1"/>
      <c r="D32" s="1"/>
      <c r="E32" s="4"/>
      <c r="F32" s="4"/>
      <c r="G32" s="4"/>
      <c r="H32" s="4"/>
      <c r="I32" s="4"/>
      <c r="J32" s="1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C32" s="1"/>
      <c r="AD32" s="1"/>
    </row>
    <row r="33" spans="1:30" x14ac:dyDescent="0.3">
      <c r="A33" s="3"/>
      <c r="B33" s="1"/>
      <c r="D33" s="1"/>
      <c r="E33" s="4"/>
      <c r="F33" s="4"/>
      <c r="G33" s="4"/>
      <c r="H33" s="4"/>
      <c r="I33" s="4"/>
      <c r="J33" s="1"/>
      <c r="K33" s="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C33" s="1"/>
      <c r="AD33" s="1"/>
    </row>
    <row r="35" spans="1:30" x14ac:dyDescent="0.3">
      <c r="A35" s="3"/>
      <c r="B35" s="1"/>
      <c r="D35" s="1"/>
      <c r="E35" s="4"/>
      <c r="F35" s="4"/>
      <c r="G35" s="4"/>
      <c r="H35" s="4"/>
      <c r="I35" s="4"/>
      <c r="J35" s="1"/>
      <c r="K35" s="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C35" s="1"/>
      <c r="AD35" s="1"/>
    </row>
    <row r="36" spans="1:30" x14ac:dyDescent="0.3">
      <c r="A36" s="3"/>
      <c r="B36" s="1"/>
      <c r="D36" s="1"/>
      <c r="E36" s="4"/>
      <c r="F36" s="4"/>
      <c r="G36" s="4"/>
      <c r="H36" s="4"/>
      <c r="I36" s="4"/>
      <c r="J36" s="1"/>
      <c r="K36" s="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C36" s="1"/>
      <c r="AD36" s="1"/>
    </row>
    <row r="38" spans="1:30" x14ac:dyDescent="0.3">
      <c r="A38" s="3"/>
      <c r="B38" s="1"/>
      <c r="D38" s="1"/>
      <c r="E38" s="4"/>
      <c r="F38" s="4"/>
      <c r="G38" s="4"/>
      <c r="H38" s="4"/>
      <c r="I38" s="4"/>
      <c r="J38" s="1"/>
      <c r="K38" s="5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C38" s="1"/>
      <c r="AD38" s="1"/>
    </row>
    <row r="39" spans="1:30" x14ac:dyDescent="0.3">
      <c r="A39" s="3"/>
      <c r="B39" s="1"/>
      <c r="D39" s="1"/>
      <c r="E39" s="4"/>
      <c r="F39" s="4"/>
      <c r="G39" s="4"/>
      <c r="H39" s="4"/>
      <c r="I39" s="4"/>
      <c r="J39" s="1"/>
      <c r="K39" s="5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C39" s="1"/>
      <c r="AD39" s="1"/>
    </row>
    <row r="41" spans="1:30" x14ac:dyDescent="0.3">
      <c r="A41" s="3"/>
      <c r="B41" s="1"/>
      <c r="D41" s="1"/>
      <c r="E41" s="4"/>
      <c r="F41" s="4"/>
      <c r="G41" s="4"/>
      <c r="H41" s="4"/>
      <c r="I41" s="4"/>
      <c r="J41" s="1"/>
      <c r="K41" s="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C41" s="1"/>
      <c r="AD41" s="1"/>
    </row>
    <row r="42" spans="1:30" x14ac:dyDescent="0.3">
      <c r="A42" s="3"/>
      <c r="B42" s="1"/>
      <c r="D42" s="1"/>
      <c r="E42" s="4"/>
      <c r="F42" s="4"/>
      <c r="G42" s="4"/>
      <c r="H42" s="4"/>
      <c r="I42" s="4"/>
      <c r="J42" s="1"/>
      <c r="K42" s="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C42" s="1"/>
      <c r="AD42" s="1"/>
    </row>
    <row r="44" spans="1:30" x14ac:dyDescent="0.3">
      <c r="A44" s="3"/>
      <c r="B44" s="1"/>
      <c r="D44" s="1"/>
      <c r="E44" s="4"/>
      <c r="F44" s="4"/>
      <c r="G44" s="4"/>
      <c r="H44" s="4"/>
      <c r="I44" s="4"/>
      <c r="J44" s="1"/>
      <c r="K44" s="5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C44" s="1"/>
      <c r="AD44" s="1"/>
    </row>
    <row r="45" spans="1:30" x14ac:dyDescent="0.3">
      <c r="A45" s="3"/>
      <c r="B45" s="1"/>
      <c r="D45" s="1"/>
      <c r="E45" s="4"/>
      <c r="F45" s="4"/>
      <c r="G45" s="4"/>
      <c r="H45" s="4"/>
      <c r="I45" s="4"/>
      <c r="J45" s="1"/>
      <c r="K45" s="5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C45" s="1"/>
      <c r="AD45" s="1"/>
    </row>
    <row r="47" spans="1:30" x14ac:dyDescent="0.3">
      <c r="A47" s="3"/>
      <c r="B47" s="1"/>
      <c r="D47" s="1"/>
      <c r="E47" s="4"/>
      <c r="F47" s="4"/>
      <c r="G47" s="4"/>
      <c r="H47" s="4"/>
      <c r="I47" s="4"/>
      <c r="J47" s="1"/>
      <c r="K47" s="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C47" s="1"/>
      <c r="AD47" s="1"/>
    </row>
    <row r="48" spans="1:30" x14ac:dyDescent="0.3">
      <c r="A48" s="3"/>
      <c r="B48" s="1"/>
      <c r="D48" s="1"/>
      <c r="E48" s="4"/>
      <c r="F48" s="4"/>
      <c r="G48" s="4"/>
      <c r="H48" s="4"/>
      <c r="I48" s="4"/>
      <c r="J48" s="1"/>
      <c r="K48" s="5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C48" s="1"/>
      <c r="AD48" s="1"/>
    </row>
    <row r="50" spans="1:30" x14ac:dyDescent="0.3">
      <c r="A50" s="3"/>
      <c r="B50" s="1"/>
      <c r="D50" s="1"/>
      <c r="E50" s="4"/>
      <c r="F50" s="4"/>
      <c r="G50" s="4"/>
      <c r="H50" s="4"/>
      <c r="I50" s="4"/>
      <c r="J50" s="1"/>
      <c r="K50" s="5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C50" s="1"/>
      <c r="AD50" s="1"/>
    </row>
    <row r="51" spans="1:30" x14ac:dyDescent="0.3">
      <c r="A51" s="3"/>
      <c r="B51" s="1"/>
      <c r="D51" s="1"/>
      <c r="E51" s="4"/>
      <c r="F51" s="4"/>
      <c r="G51" s="4"/>
      <c r="H51" s="4"/>
      <c r="I51" s="4"/>
      <c r="J51" s="1"/>
      <c r="K51" s="5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C51" s="1"/>
      <c r="AD51" s="1"/>
    </row>
    <row r="53" spans="1:30" x14ac:dyDescent="0.3">
      <c r="A53" s="3"/>
      <c r="B53" s="1"/>
      <c r="D53" s="1"/>
      <c r="E53" s="4"/>
      <c r="F53" s="4"/>
      <c r="G53" s="4"/>
      <c r="H53" s="4"/>
      <c r="I53" s="4"/>
      <c r="J53" s="1"/>
      <c r="K53" s="5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C53" s="1"/>
      <c r="AD53" s="1"/>
    </row>
    <row r="54" spans="1:30" x14ac:dyDescent="0.3">
      <c r="A54" s="3"/>
      <c r="B54" s="1"/>
      <c r="D54" s="1"/>
      <c r="E54" s="4"/>
      <c r="F54" s="4"/>
      <c r="G54" s="4"/>
      <c r="H54" s="4"/>
      <c r="I54" s="4"/>
      <c r="J54" s="1"/>
      <c r="K54" s="5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C54" s="1"/>
      <c r="AD54" s="1"/>
    </row>
    <row r="56" spans="1:30" x14ac:dyDescent="0.3">
      <c r="A56" s="3"/>
      <c r="B56" s="1"/>
      <c r="D56" s="1"/>
      <c r="E56" s="4"/>
      <c r="F56" s="4"/>
      <c r="G56" s="4"/>
      <c r="H56" s="4"/>
      <c r="I56" s="4"/>
      <c r="J56" s="1"/>
      <c r="K56" s="5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C56" s="1"/>
      <c r="AD56" s="1"/>
    </row>
    <row r="57" spans="1:30" x14ac:dyDescent="0.3">
      <c r="A57" s="3"/>
      <c r="B57" s="1"/>
      <c r="D57" s="1"/>
      <c r="E57" s="4"/>
      <c r="F57" s="4"/>
      <c r="G57" s="4"/>
      <c r="H57" s="4"/>
      <c r="I57" s="4"/>
      <c r="J57" s="1"/>
      <c r="K57" s="5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C57" s="1"/>
      <c r="AD57" s="1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7FACD34-B3FC-4122-8A0C-0A666F6D718E}">
          <x14:formula1>
            <xm:f>Sheet2!$A$1:$A$14</xm:f>
          </x14:formula1>
          <xm:sqref>H23:H24 H26:H27 H29:H30 H32:H33 H35:H36 H38:H39 H41:H42 H44:H45 H47:H48 H50:H51 H53:H54 H1:H21 H56:H57 H59:H1048576</xm:sqref>
        </x14:dataValidation>
        <x14:dataValidation type="list" allowBlank="1" showInputMessage="1" showErrorMessage="1" xr:uid="{6A72987A-8E47-429A-AAE1-386F25D01DBB}">
          <x14:formula1>
            <xm:f>Sheet2!$B$1:$B$3</xm:f>
          </x14:formula1>
          <xm:sqref>I23:I24 I26:I27 I29:I30 I32:I33 I35:I36 I38:I39 I41:I42 I44:I45 I47:I48 I50:I51 I53:I54 I1:I21 I56:I57 I59:I1048576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43B4-D3FC-45FF-B273-805FFF497C27}">
  <dimension ref="A1:G22"/>
  <sheetViews>
    <sheetView zoomScale="120" zoomScaleNormal="120" workbookViewId="0">
      <selection activeCell="F3" sqref="F3"/>
    </sheetView>
  </sheetViews>
  <sheetFormatPr defaultRowHeight="14.4" x14ac:dyDescent="0.3"/>
  <cols>
    <col min="1" max="1" width="44.6640625" customWidth="1"/>
    <col min="2" max="2" width="11.6640625" customWidth="1"/>
  </cols>
  <sheetData>
    <row r="1" spans="1:7" x14ac:dyDescent="0.3">
      <c r="A1" t="s">
        <v>15</v>
      </c>
      <c r="B1" t="s">
        <v>44</v>
      </c>
      <c r="C1" t="s">
        <v>36</v>
      </c>
      <c r="F1" s="1"/>
    </row>
    <row r="2" spans="1:7" x14ac:dyDescent="0.3">
      <c r="A2" t="s">
        <v>16</v>
      </c>
      <c r="B2" t="s">
        <v>45</v>
      </c>
      <c r="E2">
        <v>24</v>
      </c>
      <c r="F2" s="1">
        <v>16</v>
      </c>
      <c r="G2" s="1">
        <v>8</v>
      </c>
    </row>
    <row r="3" spans="1:7" x14ac:dyDescent="0.3">
      <c r="A3" t="s">
        <v>17</v>
      </c>
      <c r="B3" t="s">
        <v>48</v>
      </c>
      <c r="C3" t="s">
        <v>36</v>
      </c>
      <c r="F3" s="1">
        <v>17.5</v>
      </c>
      <c r="G3" s="1">
        <v>6.5</v>
      </c>
    </row>
    <row r="4" spans="1:7" x14ac:dyDescent="0.3">
      <c r="A4" t="s">
        <v>18</v>
      </c>
      <c r="F4" s="1">
        <v>22.25</v>
      </c>
      <c r="G4" s="1">
        <v>1.75</v>
      </c>
    </row>
    <row r="5" spans="1:7" x14ac:dyDescent="0.3">
      <c r="A5" t="s">
        <v>19</v>
      </c>
      <c r="F5" s="1">
        <v>21.5</v>
      </c>
      <c r="G5" s="1">
        <v>2.5</v>
      </c>
    </row>
    <row r="6" spans="1:7" x14ac:dyDescent="0.3">
      <c r="A6" t="s">
        <v>20</v>
      </c>
      <c r="F6" s="1">
        <v>22.25</v>
      </c>
      <c r="G6" s="1">
        <v>1.75</v>
      </c>
    </row>
    <row r="7" spans="1:7" x14ac:dyDescent="0.3">
      <c r="A7" t="s">
        <v>21</v>
      </c>
      <c r="F7" s="1">
        <v>17.670000000000002</v>
      </c>
      <c r="G7" s="1">
        <v>6.33</v>
      </c>
    </row>
    <row r="8" spans="1:7" x14ac:dyDescent="0.3">
      <c r="A8" t="s">
        <v>22</v>
      </c>
      <c r="F8" s="1">
        <v>15</v>
      </c>
      <c r="G8" s="1">
        <v>9</v>
      </c>
    </row>
    <row r="9" spans="1:7" x14ac:dyDescent="0.3">
      <c r="A9" t="s">
        <v>23</v>
      </c>
      <c r="F9" s="1">
        <v>24</v>
      </c>
      <c r="G9" s="1">
        <v>0</v>
      </c>
    </row>
    <row r="10" spans="1:7" x14ac:dyDescent="0.3">
      <c r="A10" t="s">
        <v>24</v>
      </c>
      <c r="F10" s="1">
        <v>24</v>
      </c>
      <c r="G10" s="1">
        <v>0</v>
      </c>
    </row>
    <row r="11" spans="1:7" x14ac:dyDescent="0.3">
      <c r="A11" t="s">
        <v>25</v>
      </c>
      <c r="F11" s="1">
        <v>24</v>
      </c>
      <c r="G11" s="1">
        <v>0</v>
      </c>
    </row>
    <row r="12" spans="1:7" x14ac:dyDescent="0.3">
      <c r="A12" t="s">
        <v>26</v>
      </c>
      <c r="F12" s="1">
        <v>23.4</v>
      </c>
      <c r="G12" s="1">
        <v>0.6</v>
      </c>
    </row>
    <row r="13" spans="1:7" x14ac:dyDescent="0.3">
      <c r="A13" t="s">
        <v>27</v>
      </c>
      <c r="F13" s="1">
        <v>22.17</v>
      </c>
      <c r="G13" s="1">
        <v>1.83</v>
      </c>
    </row>
    <row r="14" spans="1:7" x14ac:dyDescent="0.3">
      <c r="A14" t="s">
        <v>48</v>
      </c>
      <c r="F14" s="1">
        <v>24</v>
      </c>
      <c r="G14" s="1">
        <v>0</v>
      </c>
    </row>
    <row r="15" spans="1:7" x14ac:dyDescent="0.3">
      <c r="F15" s="1">
        <v>23.5</v>
      </c>
      <c r="G15" s="1">
        <v>0.5</v>
      </c>
    </row>
    <row r="16" spans="1:7" x14ac:dyDescent="0.3">
      <c r="A16" t="s">
        <v>37</v>
      </c>
      <c r="B16" t="s">
        <v>39</v>
      </c>
      <c r="F16" s="1">
        <v>22.48</v>
      </c>
      <c r="G16" s="1">
        <v>1.52</v>
      </c>
    </row>
    <row r="17" spans="1:7" x14ac:dyDescent="0.3">
      <c r="A17" t="s">
        <v>43</v>
      </c>
      <c r="F17" s="1">
        <v>24</v>
      </c>
      <c r="G17" s="1">
        <v>0</v>
      </c>
    </row>
    <row r="18" spans="1:7" x14ac:dyDescent="0.3">
      <c r="A18" t="s">
        <v>38</v>
      </c>
      <c r="F18" s="1">
        <v>21.08</v>
      </c>
      <c r="G18" s="1">
        <v>2.92</v>
      </c>
    </row>
    <row r="19" spans="1:7" x14ac:dyDescent="0.3">
      <c r="A19" t="s">
        <v>40</v>
      </c>
      <c r="F19" s="1">
        <v>24</v>
      </c>
      <c r="G19" s="1">
        <v>0</v>
      </c>
    </row>
    <row r="20" spans="1:7" x14ac:dyDescent="0.3">
      <c r="F20" s="1">
        <v>20.350000000000001</v>
      </c>
      <c r="G20" s="1">
        <v>3.65</v>
      </c>
    </row>
    <row r="21" spans="1:7" x14ac:dyDescent="0.3">
      <c r="A21" t="s">
        <v>41</v>
      </c>
    </row>
    <row r="22" spans="1:7" x14ac:dyDescent="0.3">
      <c r="A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GAGANKUMAR SETH</dc:creator>
  <cp:lastModifiedBy>GAGANKUMAR SETH</cp:lastModifiedBy>
  <dcterms:created xsi:type="dcterms:W3CDTF">2025-03-29T09:43:54Z</dcterms:created>
  <dcterms:modified xsi:type="dcterms:W3CDTF">2025-04-02T16:30:15Z</dcterms:modified>
</cp:coreProperties>
</file>