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https://utoronto-my.sharepoint.com/personal/shriyans_ganpate_mail_utoronto_ca/Documents/"/>
    </mc:Choice>
  </mc:AlternateContent>
  <xr:revisionPtr revIDLastSave="1584" documentId="8_{2DDF24C9-212A-F74A-B1C3-23E5B93F1FE8}" xr6:coauthVersionLast="47" xr6:coauthVersionMax="47" xr10:uidLastSave="{E501FA33-5157-AB42-A264-46397DED51A8}"/>
  <bookViews>
    <workbookView xWindow="30160" yWindow="500" windowWidth="36380" windowHeight="20100" activeTab="6" xr2:uid="{064AF9A0-D6EB-1E41-879C-52F20A11F073}"/>
  </bookViews>
  <sheets>
    <sheet name="FCF" sheetId="5" r:id="rId1"/>
    <sheet name="WACC" sheetId="10" r:id="rId2"/>
    <sheet name="DCF" sheetId="8" r:id="rId3"/>
    <sheet name="INC ST HIST" sheetId="3" r:id="rId4"/>
    <sheet name="Sheet2" sheetId="2" r:id="rId5"/>
    <sheet name="Fixed Assets" sheetId="6" r:id="rId6"/>
    <sheet name="Balance Sheet" sheetId="7" r:id="rId7"/>
    <sheet name="Net Working Capital "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 i="8" l="1" a="1"/>
  <c r="C22" i="8" s="1"/>
  <c r="C23" i="8" s="1"/>
  <c r="B20" i="8"/>
  <c r="B18" i="8"/>
  <c r="B16" i="8"/>
  <c r="B15" i="8"/>
  <c r="B14" i="8"/>
  <c r="B12" i="8"/>
  <c r="B13" i="8"/>
  <c r="B10" i="8"/>
  <c r="F6" i="8" s="1"/>
  <c r="C17" i="10"/>
  <c r="C15" i="10"/>
  <c r="C14" i="10"/>
  <c r="C11" i="10"/>
  <c r="C8" i="10"/>
  <c r="C7" i="10"/>
  <c r="C5" i="10"/>
  <c r="C3" i="10"/>
  <c r="D3" i="8"/>
  <c r="E3" i="8"/>
  <c r="F3" i="8"/>
  <c r="G3" i="8"/>
  <c r="G6" i="8" s="1"/>
  <c r="H3" i="8"/>
  <c r="H6" i="8" s="1"/>
  <c r="I3" i="8"/>
  <c r="I6" i="8" s="1"/>
  <c r="J3" i="8"/>
  <c r="J6" i="8" s="1"/>
  <c r="C3" i="8"/>
  <c r="D16" i="5"/>
  <c r="E16" i="5"/>
  <c r="F16" i="5"/>
  <c r="G16" i="5"/>
  <c r="H16" i="5"/>
  <c r="I16" i="5"/>
  <c r="J16" i="5"/>
  <c r="C16" i="5"/>
  <c r="C12" i="5"/>
  <c r="D12" i="5"/>
  <c r="E12" i="5"/>
  <c r="F12" i="5"/>
  <c r="G12" i="5"/>
  <c r="H12" i="5"/>
  <c r="I12" i="5"/>
  <c r="J12" i="5"/>
  <c r="C13" i="5"/>
  <c r="D13" i="5"/>
  <c r="E13" i="5"/>
  <c r="F13" i="5"/>
  <c r="G13" i="5"/>
  <c r="H13" i="5"/>
  <c r="I13" i="5"/>
  <c r="J13" i="5"/>
  <c r="B13" i="5"/>
  <c r="C14" i="5"/>
  <c r="D14" i="5"/>
  <c r="E14" i="5"/>
  <c r="F14" i="5"/>
  <c r="G14" i="5"/>
  <c r="H14" i="5"/>
  <c r="I14" i="5"/>
  <c r="J14" i="5"/>
  <c r="C15" i="5"/>
  <c r="D15" i="5"/>
  <c r="E15" i="5"/>
  <c r="F15" i="5"/>
  <c r="G15" i="5"/>
  <c r="H15" i="5"/>
  <c r="I15" i="5"/>
  <c r="J15" i="5"/>
  <c r="B15" i="5"/>
  <c r="B14" i="5"/>
  <c r="C11" i="9"/>
  <c r="D11" i="9"/>
  <c r="E11" i="9"/>
  <c r="B11" i="9"/>
  <c r="C6" i="9"/>
  <c r="D6" i="9"/>
  <c r="E6" i="9"/>
  <c r="B6" i="9"/>
  <c r="D11" i="5"/>
  <c r="E11" i="5"/>
  <c r="F11" i="5"/>
  <c r="G11" i="5"/>
  <c r="H11" i="5"/>
  <c r="I11" i="5"/>
  <c r="J11" i="5"/>
  <c r="C11" i="5"/>
  <c r="D10" i="5"/>
  <c r="E10" i="5"/>
  <c r="F10" i="5"/>
  <c r="G10" i="5"/>
  <c r="H10" i="5"/>
  <c r="I10" i="5"/>
  <c r="J10" i="5"/>
  <c r="C10" i="5"/>
  <c r="H18" i="3"/>
  <c r="I18" i="3"/>
  <c r="J18" i="3"/>
  <c r="G18" i="3"/>
  <c r="F18" i="3"/>
  <c r="C18" i="3"/>
  <c r="D18" i="3"/>
  <c r="E18" i="3"/>
  <c r="B18" i="3"/>
  <c r="H6" i="6"/>
  <c r="G6" i="6"/>
  <c r="G5" i="6"/>
  <c r="G4" i="6"/>
  <c r="H4" i="6"/>
  <c r="I4" i="6"/>
  <c r="F6" i="6"/>
  <c r="D4" i="6"/>
  <c r="E4" i="6"/>
  <c r="C4" i="6"/>
  <c r="D5" i="6"/>
  <c r="E5" i="6"/>
  <c r="C5" i="6"/>
  <c r="G3" i="6"/>
  <c r="H3" i="6"/>
  <c r="H5" i="6" s="1"/>
  <c r="I3" i="6"/>
  <c r="I5" i="6" s="1"/>
  <c r="I6" i="6" s="1"/>
  <c r="J3" i="6" s="1"/>
  <c r="D9" i="6"/>
  <c r="E9" i="6"/>
  <c r="C9" i="6"/>
  <c r="D8" i="6"/>
  <c r="E8" i="6"/>
  <c r="C8" i="6"/>
  <c r="F8" i="6" s="1"/>
  <c r="G12" i="7"/>
  <c r="D6" i="6"/>
  <c r="E6" i="6"/>
  <c r="F3" i="6" s="1"/>
  <c r="C6" i="6"/>
  <c r="D3" i="6"/>
  <c r="E3" i="6"/>
  <c r="C3" i="6"/>
  <c r="G6" i="3"/>
  <c r="H6" i="3"/>
  <c r="I6" i="3"/>
  <c r="J6" i="3"/>
  <c r="F6" i="3"/>
  <c r="H17" i="3"/>
  <c r="I17" i="3"/>
  <c r="J17" i="3"/>
  <c r="G17" i="3"/>
  <c r="F17" i="3"/>
  <c r="C17" i="3"/>
  <c r="D17" i="3"/>
  <c r="E17" i="3"/>
  <c r="B17" i="3"/>
  <c r="G5" i="3"/>
  <c r="H5" i="3"/>
  <c r="I5" i="3"/>
  <c r="J5" i="3"/>
  <c r="F5" i="3"/>
  <c r="G4" i="3"/>
  <c r="H4" i="3"/>
  <c r="I4" i="3"/>
  <c r="J4" i="3"/>
  <c r="F4" i="3"/>
  <c r="H16" i="3"/>
  <c r="I16" i="3"/>
  <c r="J16" i="3"/>
  <c r="G16" i="3"/>
  <c r="F16" i="3"/>
  <c r="C16" i="3"/>
  <c r="D16" i="3"/>
  <c r="E16" i="3"/>
  <c r="B16" i="3"/>
  <c r="G3" i="3"/>
  <c r="H3" i="3" s="1"/>
  <c r="I3" i="3" s="1"/>
  <c r="J3" i="3" s="1"/>
  <c r="F3" i="3"/>
  <c r="J15" i="3"/>
  <c r="I15" i="3"/>
  <c r="H15" i="3"/>
  <c r="D15" i="3"/>
  <c r="E15" i="3"/>
  <c r="C15" i="3"/>
  <c r="E4" i="5"/>
  <c r="E5" i="5"/>
  <c r="E15" i="9" s="1"/>
  <c r="E19" i="9" s="1"/>
  <c r="E7" i="5"/>
  <c r="C7" i="5"/>
  <c r="D7" i="5"/>
  <c r="B7" i="5"/>
  <c r="C5" i="5"/>
  <c r="C15" i="9" s="1"/>
  <c r="C19" i="9" s="1"/>
  <c r="D5" i="5"/>
  <c r="D15" i="9" s="1"/>
  <c r="D19" i="9" s="1"/>
  <c r="B5" i="5"/>
  <c r="B15" i="9" s="1"/>
  <c r="B19" i="9" s="1"/>
  <c r="C4" i="5"/>
  <c r="C14" i="9" s="1"/>
  <c r="D4" i="5"/>
  <c r="D14" i="9" s="1"/>
  <c r="B4" i="5"/>
  <c r="B14" i="9" s="1"/>
  <c r="C57" i="3"/>
  <c r="D57" i="3"/>
  <c r="B57" i="3"/>
  <c r="B8" i="8" l="1"/>
  <c r="E6" i="5"/>
  <c r="E8" i="5" s="1"/>
  <c r="E9" i="5" s="1"/>
  <c r="F19" i="9"/>
  <c r="B22" i="9"/>
  <c r="B17" i="9"/>
  <c r="B23" i="9"/>
  <c r="B21" i="9"/>
  <c r="B18" i="9"/>
  <c r="G19" i="9"/>
  <c r="I19" i="9"/>
  <c r="J19" i="9"/>
  <c r="H19" i="9"/>
  <c r="D18" i="9"/>
  <c r="D22" i="9"/>
  <c r="D21" i="9"/>
  <c r="D23" i="9"/>
  <c r="D17" i="9"/>
  <c r="C18" i="9"/>
  <c r="C22" i="9"/>
  <c r="C23" i="9"/>
  <c r="C17" i="9"/>
  <c r="C21" i="9"/>
  <c r="E14" i="9"/>
  <c r="F4" i="5"/>
  <c r="J5" i="6"/>
  <c r="J4" i="6"/>
  <c r="J6" i="6" s="1"/>
  <c r="H8" i="6"/>
  <c r="I8" i="6"/>
  <c r="G8" i="6"/>
  <c r="J8" i="6"/>
  <c r="F4" i="6"/>
  <c r="F9" i="6"/>
  <c r="F5" i="6"/>
  <c r="G9" i="6"/>
  <c r="D6" i="5"/>
  <c r="D8" i="5" s="1"/>
  <c r="D9" i="5" s="1"/>
  <c r="C6" i="5"/>
  <c r="C8" i="5" s="1"/>
  <c r="C9" i="5" s="1"/>
  <c r="B6" i="5"/>
  <c r="B8" i="5" s="1"/>
  <c r="B9" i="5" s="1"/>
  <c r="F5" i="5" l="1"/>
  <c r="F15" i="9" s="1"/>
  <c r="F9" i="9" s="1"/>
  <c r="G4" i="5"/>
  <c r="F7" i="5"/>
  <c r="F14" i="9"/>
  <c r="E21" i="9"/>
  <c r="F21" i="9" s="1"/>
  <c r="E18" i="9"/>
  <c r="F18" i="9" s="1"/>
  <c r="E22" i="9"/>
  <c r="F22" i="9" s="1"/>
  <c r="E23" i="9"/>
  <c r="E17" i="9"/>
  <c r="F17" i="9" s="1"/>
  <c r="F23" i="9"/>
  <c r="I9" i="6"/>
  <c r="J9" i="6"/>
  <c r="H9" i="6"/>
  <c r="J17" i="9" l="1"/>
  <c r="G17" i="9"/>
  <c r="H17" i="9"/>
  <c r="F2" i="9"/>
  <c r="I17" i="9"/>
  <c r="H4" i="5"/>
  <c r="G7" i="5"/>
  <c r="G14" i="9"/>
  <c r="G5" i="5"/>
  <c r="G15" i="9" s="1"/>
  <c r="G9" i="9" s="1"/>
  <c r="F3" i="9"/>
  <c r="G18" i="9"/>
  <c r="H18" i="9"/>
  <c r="I18" i="9"/>
  <c r="J18" i="9"/>
  <c r="G23" i="9"/>
  <c r="H23" i="9"/>
  <c r="F10" i="9"/>
  <c r="F11" i="9" s="1"/>
  <c r="I23" i="9"/>
  <c r="J23" i="9"/>
  <c r="F6" i="5"/>
  <c r="F8" i="5" s="1"/>
  <c r="F9" i="5" s="1"/>
  <c r="I21" i="9"/>
  <c r="J21" i="9"/>
  <c r="G21" i="9"/>
  <c r="H21" i="9"/>
  <c r="F4" i="9"/>
  <c r="F5" i="9"/>
  <c r="G22" i="9"/>
  <c r="H22" i="9"/>
  <c r="J22" i="9"/>
  <c r="I22" i="9"/>
  <c r="F6" i="9" l="1"/>
  <c r="H7" i="5"/>
  <c r="H14" i="9"/>
  <c r="H2" i="9" s="1"/>
  <c r="H5" i="5"/>
  <c r="H15" i="9" s="1"/>
  <c r="H9" i="9" s="1"/>
  <c r="I4" i="5"/>
  <c r="H5" i="9"/>
  <c r="G5" i="9"/>
  <c r="G4" i="9"/>
  <c r="G3" i="9"/>
  <c r="G2" i="9"/>
  <c r="G10" i="9"/>
  <c r="G11" i="9" s="1"/>
  <c r="H3" i="9"/>
  <c r="H4" i="9"/>
  <c r="H10" i="9"/>
  <c r="G6" i="5"/>
  <c r="G8" i="5" s="1"/>
  <c r="G9" i="5" s="1"/>
  <c r="H6" i="5" l="1"/>
  <c r="H8" i="5" s="1"/>
  <c r="H9" i="5" s="1"/>
  <c r="H6" i="9"/>
  <c r="I5" i="5"/>
  <c r="I15" i="9" s="1"/>
  <c r="I9" i="9" s="1"/>
  <c r="I7" i="5"/>
  <c r="I14" i="9"/>
  <c r="J4" i="5"/>
  <c r="G6" i="9"/>
  <c r="H11" i="9"/>
  <c r="I4" i="9" l="1"/>
  <c r="I10" i="9"/>
  <c r="I3" i="9"/>
  <c r="I2" i="9"/>
  <c r="I5" i="9"/>
  <c r="I6" i="5"/>
  <c r="I8" i="5" s="1"/>
  <c r="I9" i="5" s="1"/>
  <c r="J14" i="9"/>
  <c r="J5" i="5"/>
  <c r="J15" i="9" s="1"/>
  <c r="J9" i="9" s="1"/>
  <c r="J7" i="5"/>
  <c r="I11" i="9"/>
  <c r="J4" i="9" l="1"/>
  <c r="J2" i="9"/>
  <c r="J5" i="9"/>
  <c r="J10" i="9"/>
  <c r="J11" i="9" s="1"/>
  <c r="J3" i="9"/>
  <c r="J6" i="5"/>
  <c r="J8" i="5" s="1"/>
  <c r="J9" i="5" s="1"/>
  <c r="I6" i="9"/>
  <c r="J6" i="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<sst xmlns="http://schemas.openxmlformats.org/spreadsheetml/2006/main" count="238" uniqueCount="171">
  <si>
    <t>5/31/2024</t>
  </si>
  <si>
    <t>5/31/2023</t>
  </si>
  <si>
    <t>5/31/2022</t>
  </si>
  <si>
    <t>5/31/2021</t>
  </si>
  <si>
    <t>Total Revenue</t>
  </si>
  <si>
    <t>Cost of Revenue</t>
  </si>
  <si>
    <t>Gross Profit</t>
  </si>
  <si>
    <t>Operating Expense</t>
  </si>
  <si>
    <t>Pretax Income</t>
  </si>
  <si>
    <t xml:space="preserve">Tax </t>
  </si>
  <si>
    <t xml:space="preserve">Net Income </t>
  </si>
  <si>
    <t>5/31/2025</t>
  </si>
  <si>
    <t>5/31/2026</t>
  </si>
  <si>
    <t>5/31/2027</t>
  </si>
  <si>
    <t>5/31/2028</t>
  </si>
  <si>
    <t xml:space="preserve">Interest Expense </t>
  </si>
  <si>
    <t>Other Expense</t>
  </si>
  <si>
    <t>--</t>
  </si>
  <si>
    <t>EBIT</t>
  </si>
  <si>
    <t>Operating Cash Flow</t>
  </si>
  <si>
    <t>Cash Flow from Continuing Operating Activities</t>
  </si>
  <si>
    <t>Net Income from Continuing Operations</t>
  </si>
  <si>
    <t>Operating Gains Losses</t>
  </si>
  <si>
    <t>Depreciation Amortization Depletion</t>
  </si>
  <si>
    <t>Deferred Tax</t>
  </si>
  <si>
    <t>Stock based compensation</t>
  </si>
  <si>
    <t>Change in working capital</t>
  </si>
  <si>
    <t>Investing Cash Flow</t>
  </si>
  <si>
    <t>Net PPE Purchase And Sale</t>
  </si>
  <si>
    <t>Net Investment Purchase And Sale</t>
  </si>
  <si>
    <t>Financing Cash Flow</t>
  </si>
  <si>
    <t>End Cash Position</t>
  </si>
  <si>
    <t>Income Tax Paid Supplemental Data</t>
  </si>
  <si>
    <t>Interest Paid Supplemental Data</t>
  </si>
  <si>
    <t>Capital Expenditure</t>
  </si>
  <si>
    <t>Issuance of Debt</t>
  </si>
  <si>
    <t>Repayment of Debt</t>
  </si>
  <si>
    <t>Repurchase of Capital Stock</t>
  </si>
  <si>
    <t>Free Cash Flow</t>
  </si>
  <si>
    <t xml:space="preserve">All Numbers in Thousands </t>
  </si>
  <si>
    <t>Tax</t>
  </si>
  <si>
    <t>5/31/2029</t>
  </si>
  <si>
    <t xml:space="preserve">Unlevered FCF </t>
  </si>
  <si>
    <t xml:space="preserve">Fiscal Year </t>
  </si>
  <si>
    <t>2025E</t>
  </si>
  <si>
    <t>2026E</t>
  </si>
  <si>
    <t>2027E</t>
  </si>
  <si>
    <t>2028E</t>
  </si>
  <si>
    <t>2029E</t>
  </si>
  <si>
    <t xml:space="preserve">Revenue </t>
  </si>
  <si>
    <t>COGS</t>
  </si>
  <si>
    <t xml:space="preserve">Gross Profit </t>
  </si>
  <si>
    <t xml:space="preserve">Operating Expense </t>
  </si>
  <si>
    <t>EBIT*(1-Tax)</t>
  </si>
  <si>
    <t>D&amp;A</t>
  </si>
  <si>
    <t>Unlevered FCF</t>
  </si>
  <si>
    <t>Revenues</t>
  </si>
  <si>
    <t>Cost of sales</t>
  </si>
  <si>
    <t>Gross profit</t>
  </si>
  <si>
    <t>Demand creation expense</t>
  </si>
  <si>
    <t>Operating overhead expense</t>
  </si>
  <si>
    <t>Total selling and administrative expense</t>
  </si>
  <si>
    <t>Interest expense (income), net</t>
  </si>
  <si>
    <t>Other (income) expense, net</t>
  </si>
  <si>
    <t>Income before income taxes</t>
  </si>
  <si>
    <t>Income tax expense</t>
  </si>
  <si>
    <t>NET INCOME</t>
  </si>
  <si>
    <t>CONSOLIDATED STATEMENTS OF INCOME</t>
  </si>
  <si>
    <t>YEAR ENDED MAY 31,</t>
  </si>
  <si>
    <t>(In millions, except per share data)</t>
  </si>
  <si>
    <t>Income tax %</t>
  </si>
  <si>
    <t xml:space="preserve">All numbers in thousands </t>
  </si>
  <si>
    <t xml:space="preserve">Revenue Growth </t>
  </si>
  <si>
    <t xml:space="preserve">COGS as a % of Revenue </t>
  </si>
  <si>
    <t>Operating Expense as a % of Revenue</t>
  </si>
  <si>
    <t xml:space="preserve">EBIT (operating proft) </t>
  </si>
  <si>
    <t xml:space="preserve">Fixed Asset Schedule </t>
  </si>
  <si>
    <t>Fiscal Year</t>
  </si>
  <si>
    <t xml:space="preserve">Beginning PPE Balance </t>
  </si>
  <si>
    <t>CapEx</t>
  </si>
  <si>
    <t>Ending PPE</t>
  </si>
  <si>
    <t>Breakdown</t>
  </si>
  <si>
    <t>Total Assets</t>
  </si>
  <si>
    <t>Current Assets</t>
  </si>
  <si>
    <t>Total non-current assets</t>
  </si>
  <si>
    <t>Net PPE</t>
  </si>
  <si>
    <t>Gross PPE</t>
  </si>
  <si>
    <t>Accumulated Depreciation</t>
  </si>
  <si>
    <t>Goodwill And Other Intangible Assets</t>
  </si>
  <si>
    <t>Non Current Deferred Assets</t>
  </si>
  <si>
    <t>Other Non Current Assets</t>
  </si>
  <si>
    <t>Total Liabilities Net Minority Interest</t>
  </si>
  <si>
    <t>Current Liabilities</t>
  </si>
  <si>
    <t>Payables And Accrued Expenses</t>
  </si>
  <si>
    <t>Current Provisions</t>
  </si>
  <si>
    <t>Pension &amp; Other Post Retirement Benefit Plans Current</t>
  </si>
  <si>
    <t>Current Debt And Capital Lease Obligation</t>
  </si>
  <si>
    <t>Other Current Liabilities</t>
  </si>
  <si>
    <t>Total Non Current Liabilities Net Minority Interest</t>
  </si>
  <si>
    <t>Long Term Debt And Capital Lease Obligation</t>
  </si>
  <si>
    <t>Non Current Deferred Liabilities</t>
  </si>
  <si>
    <t>Derivative Product Liabilities</t>
  </si>
  <si>
    <t>Other Non Current Liabilities</t>
  </si>
  <si>
    <t>Total Equity Gross Minority Interest</t>
  </si>
  <si>
    <t>Total Capitalization</t>
  </si>
  <si>
    <t>Common Stock Equity</t>
  </si>
  <si>
    <t>Capital Lease Obligations</t>
  </si>
  <si>
    <t>Net Tangible Assets</t>
  </si>
  <si>
    <t>Working Capital</t>
  </si>
  <si>
    <t>Invested Capital</t>
  </si>
  <si>
    <t>Tangible Book Value</t>
  </si>
  <si>
    <t>Total Debt</t>
  </si>
  <si>
    <t>Net Debt</t>
  </si>
  <si>
    <t>Share Issued</t>
  </si>
  <si>
    <t>Ordinary Shares Number</t>
  </si>
  <si>
    <t>D&amp;A as % of Beginning PP&amp;E</t>
  </si>
  <si>
    <t>CapEx as % of Beginning PP&amp;E</t>
  </si>
  <si>
    <t>Income Taxes as % of EBIT</t>
  </si>
  <si>
    <t>(+) D&amp;A</t>
  </si>
  <si>
    <t>(-) CapX</t>
  </si>
  <si>
    <t>(-) Increase in Non-Cash WC</t>
  </si>
  <si>
    <t>Receivables</t>
  </si>
  <si>
    <t>Inventory</t>
  </si>
  <si>
    <t>Prepaid Assets</t>
  </si>
  <si>
    <t>Other Current Assets</t>
  </si>
  <si>
    <t xml:space="preserve">Current Liabilities </t>
  </si>
  <si>
    <t>Revenue</t>
  </si>
  <si>
    <t>Days Inventoy Ooutstanding (DIO)</t>
  </si>
  <si>
    <t xml:space="preserve">Days Sales Outstanding (DSO) </t>
  </si>
  <si>
    <t xml:space="preserve">Days Paable Outstanding (DPO) </t>
  </si>
  <si>
    <t>Prepaid Assets as % of Revenue</t>
  </si>
  <si>
    <t>Other Current Assets as % of Revenue</t>
  </si>
  <si>
    <t xml:space="preserve">Current Provisions as % of Revenue </t>
  </si>
  <si>
    <t>NWC</t>
  </si>
  <si>
    <t>Projection Year</t>
  </si>
  <si>
    <t>Equity</t>
  </si>
  <si>
    <t>Debt</t>
  </si>
  <si>
    <t>Cost of debt</t>
  </si>
  <si>
    <t>D/(D+E)</t>
  </si>
  <si>
    <t>Risk free treasury rate</t>
  </si>
  <si>
    <t xml:space="preserve">Expected marekt return </t>
  </si>
  <si>
    <t>Marekt risk premium</t>
  </si>
  <si>
    <t>Beta</t>
  </si>
  <si>
    <t>E/(D+E)</t>
  </si>
  <si>
    <t>After Tax Cost of Debt</t>
  </si>
  <si>
    <t>Cost of Equity</t>
  </si>
  <si>
    <t>WACC</t>
  </si>
  <si>
    <t>https://stockanalysis.com/stocks/nke/statistics/</t>
  </si>
  <si>
    <t>https://ycharts.com/indicators/10_year_treasury_rate</t>
  </si>
  <si>
    <t>https://pages.stern.nyu.edu/~adamodar/New_Home_Page/datafile/ctryprem.html</t>
  </si>
  <si>
    <t>Sum of PV of FCF</t>
  </si>
  <si>
    <t>Growth Rate</t>
  </si>
  <si>
    <t>Terminal Value</t>
  </si>
  <si>
    <t>PV of Terminal Value</t>
  </si>
  <si>
    <t>Enterprise Value</t>
  </si>
  <si>
    <t xml:space="preserve">(+) Cash </t>
  </si>
  <si>
    <t>(-)Debt</t>
  </si>
  <si>
    <t>(-) Minoritty Interest</t>
  </si>
  <si>
    <t xml:space="preserve">Equity Value </t>
  </si>
  <si>
    <t># of Shares Outstanding</t>
  </si>
  <si>
    <t>Share Price</t>
  </si>
  <si>
    <t>https://www.statista.com/outlook/cmo/footwear/united-states#:~:text=The%20market's%20revenue%20is%20expected,(CAGR%202024%2D2029).</t>
  </si>
  <si>
    <t>PV of Cash Flows</t>
  </si>
  <si>
    <t>EV/EBITDA</t>
  </si>
  <si>
    <t>C&amp;CE</t>
  </si>
  <si>
    <t xml:space="preserve">(Long Term Debt) </t>
  </si>
  <si>
    <t>Current Share Price</t>
  </si>
  <si>
    <t>Undervalued/Overvalued</t>
  </si>
  <si>
    <t xml:space="preserve">Undervalued </t>
  </si>
  <si>
    <t xml:space="preserve">Investment Decision </t>
  </si>
  <si>
    <t xml:space="preserve">Buy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</si>
</sst>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88" formatCode="_([$$-409]* #,##0.00_);_([$$-409]* \(#,##0.00\);_([$$-409]* &quot;-&quot;??_);_(@_)"/>
  </numFmts>
  <fonts count="21">
    <font>
      <sz val="12"/>
      <color theme="1"/>
      <name val="Aptos Narrow"/>
      <family val="2"/>
      <scheme val="minor"/>
    </font>
    <font>
      <b/>
      <sz val="12"/>
      <color theme="1"/>
      <name val="Aptos Narrow"/>
      <family val="2"/>
      <scheme val="minor"/>
    </font>
    <font>
      <sz val="10"/>
      <color theme="1"/>
      <name val="Aptos Narrow"/>
      <family val="2"/>
      <scheme val="minor"/>
    </font>
    <font>
      <b/>
      <sz val="13.5"/>
      <color theme="1"/>
      <name val="Aptos Narrow"/>
      <family val="2"/>
      <scheme val="minor"/>
    </font>
    <font>
      <b/>
      <sz val="10"/>
      <color theme="1"/>
      <name val="Aptos Narrow"/>
      <scheme val="minor"/>
    </font>
    <font>
      <sz val="12"/>
      <color theme="1"/>
      <name val="Aptos Narrow"/>
      <family val="2"/>
      <scheme val="minor"/>
    </font>
    <font>
      <sz val="12"/>
      <color theme="1"/>
      <name val="Helvetica Neue"/>
      <family val="2"/>
    </font>
    <font>
      <b/>
      <sz val="8.5"/>
      <color rgb="FF000000"/>
      <name val="Arial"/>
      <family val="2"/>
    </font>
    <font>
      <sz val="8.5"/>
      <color rgb="FF000000"/>
      <name val="Arial"/>
      <family val="2"/>
    </font>
    <font>
      <sz val="12"/>
      <color rgb="FF232A31"/>
      <name val="Helvetica Neue"/>
      <family val="2"/>
    </font>
    <font>
      <b/>
      <sz val="12"/>
      <color theme="1"/>
      <name val="Aptos Narrow"/>
      <scheme val="minor"/>
    </font>
    <font>
      <sz val="12"/>
      <color theme="1"/>
      <name val="Times"/>
    </font>
    <font>
      <sz val="22"/>
      <color rgb="FF000000"/>
      <name val="Arial"/>
      <family val="2"/>
    </font>
    <font>
      <i/>
      <sz val="8.5"/>
      <color rgb="FF000000"/>
      <name val="Arial Narrow"/>
      <family val="2"/>
    </font>
    <font>
      <sz val="8"/>
      <name val="Aptos Narrow"/>
      <family val="2"/>
      <scheme val="minor"/>
    </font>
    <font>
      <sz val="14"/>
      <color rgb="FF232A31"/>
      <name val="Helvetica Neue"/>
      <family val="2"/>
    </font>
    <font>
      <b/>
      <sz val="14"/>
      <color theme="1"/>
      <name val="Aptos Narrow"/>
      <scheme val="minor"/>
    </font>
    <font>
      <sz val="14"/>
      <color theme="1"/>
      <name val="Aptos Narrow"/>
      <family val="2"/>
      <scheme val="minor"/>
    </font>
    <font>
      <sz val="14"/>
      <color theme="1"/>
      <name val="Aptos Narrow"/>
      <scheme val="minor"/>
    </font>
    <font>
      <b/>
      <sz val="12"/>
      <color theme="1"/>
      <name val="Times"/>
    </font>
    <font>
      <b/>
      <sz val="12"/>
      <color rgb="FF00B050"/>
      <name val="Aptos Narrow"/>
      <scheme val="minor"/>
    </font>
  </fonts>
  <fills count="2">
    <fill>
      <patternFill patternType="none"/>
    </fill>
    <fill>
      <patternFill patternType="gray125"/>
    </fill>
  </fills>
  <borders count="5">
    <border>
      <left/>
      <right/>
      <top/>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5" fillId="0" borderId="0" applyFont="0" applyFill="0" applyBorder="0" applyAlignment="0" applyProtection="0"/>
  </cellStyleXfs>
  <cellXfs count="53">
    <xf numFmtId="0" fontId="0" fillId="0" borderId="0" xfId="0"/>
    <xf numFmtId="0" fontId="2" fillId="0" borderId="0" xfId="0" applyFont="1"/>
    <xf numFmtId="4" fontId="2" fillId="0" borderId="0" xfId="0" applyNumberFormat="1" applyFont="1"/>
    <xf numFmtId="0" fontId="4" fillId="0" borderId="0" xfId="0" applyFont="1"/>
    <xf numFmtId="0" fontId="4" fillId="0" borderId="1" xfId="0" applyFont="1" applyBorder="1"/>
    <xf numFmtId="4" fontId="4" fillId="0" borderId="1" xfId="0" applyNumberFormat="1" applyFont="1" applyBorder="1"/>
    <xf numFmtId="3" fontId="0" fillId="0" borderId="0" xfId="0" applyNumberFormat="1"/>
    <xf numFmtId="3" fontId="2" fillId="0" borderId="0" xfId="0" applyNumberFormat="1" applyFont="1"/>
    <xf numFmtId="0" fontId="6" fillId="0" borderId="0" xfId="0" applyFont="1"/>
    <xf numFmtId="0" fontId="7" fillId="0" borderId="0" xfId="0" applyFont="1"/>
    <xf numFmtId="0" fontId="8" fillId="0" borderId="0" xfId="0" applyFont="1"/>
    <xf numFmtId="0" fontId="3" fillId="0" borderId="0" xfId="0" applyFont="1"/>
    <xf numFmtId="0" fontId="9" fillId="0" borderId="0" xfId="0" applyFont="1"/>
    <xf numFmtId="3" fontId="9" fillId="0" borderId="0" xfId="0" applyNumberFormat="1" applyFont="1"/>
    <xf numFmtId="0" fontId="10" fillId="0" borderId="0" xfId="0" applyFont="1"/>
    <xf numFmtId="4" fontId="0" fillId="0" borderId="0" xfId="0" applyNumberFormat="1"/>
    <xf numFmtId="9" fontId="0" fillId="0" borderId="0" xfId="1" applyFont="1"/>
    <xf numFmtId="9" fontId="0" fillId="0" borderId="0" xfId="0" applyNumberFormat="1"/>
    <xf numFmtId="0" fontId="0" fillId="0" borderId="2" xfId="0" applyBorder="1"/>
    <xf numFmtId="0" fontId="10" fillId="0" borderId="1" xfId="0" applyFont="1" applyBorder="1"/>
    <xf numFmtId="0" fontId="11" fillId="0" borderId="0" xfId="0" applyFont="1"/>
    <xf numFmtId="4" fontId="8" fillId="0" borderId="0" xfId="0" applyNumberFormat="1" applyFont="1"/>
    <xf numFmtId="0" fontId="12" fillId="0" borderId="0" xfId="0" applyFont="1"/>
    <xf numFmtId="0" fontId="13" fillId="0" borderId="0" xfId="0" applyFont="1"/>
    <xf numFmtId="164" fontId="0" fillId="0" borderId="0" xfId="1" applyNumberFormat="1" applyFont="1"/>
    <xf numFmtId="3" fontId="4" fillId="0" borderId="1" xfId="0" applyNumberFormat="1" applyFont="1" applyBorder="1"/>
    <xf numFmtId="0" fontId="15" fillId="0" borderId="0" xfId="0" applyFont="1"/>
    <xf numFmtId="3" fontId="15" fillId="0" borderId="0" xfId="0" applyNumberFormat="1" applyFont="1"/>
    <xf numFmtId="4" fontId="15" fillId="0" borderId="0" xfId="0" applyNumberFormat="1" applyFont="1"/>
    <xf numFmtId="0" fontId="0" fillId="0" borderId="1" xfId="0" applyBorder="1"/>
    <xf numFmtId="0" fontId="16" fillId="0" borderId="0" xfId="0" applyFont="1"/>
    <xf numFmtId="3" fontId="17" fillId="0" borderId="1" xfId="0" applyNumberFormat="1" applyFont="1" applyBorder="1"/>
    <xf numFmtId="0" fontId="17" fillId="0" borderId="0" xfId="0" applyFont="1"/>
    <xf numFmtId="3" fontId="17" fillId="0" borderId="0" xfId="0" applyNumberFormat="1" applyFont="1"/>
    <xf numFmtId="4" fontId="17" fillId="0" borderId="0" xfId="0" applyNumberFormat="1" applyFont="1"/>
    <xf numFmtId="3" fontId="10" fillId="0" borderId="1" xfId="0" applyNumberFormat="1" applyFont="1" applyBorder="1"/>
    <xf numFmtId="10" fontId="0" fillId="0" borderId="0" xfId="0" applyNumberFormat="1"/>
    <xf numFmtId="0" fontId="18" fillId="0" borderId="0" xfId="0" applyFont="1"/>
    <xf numFmtId="3" fontId="18" fillId="0" borderId="0" xfId="0" applyNumberFormat="1" applyFont="1"/>
    <xf numFmtId="10" fontId="18" fillId="0" borderId="0" xfId="0" applyNumberFormat="1" applyFont="1"/>
    <xf numFmtId="164" fontId="18" fillId="0" borderId="0" xfId="1" applyNumberFormat="1" applyFont="1"/>
    <xf numFmtId="164" fontId="18" fillId="0" borderId="0" xfId="0" applyNumberFormat="1" applyFont="1"/>
    <xf numFmtId="0" fontId="0" fillId="0" borderId="0" xfId="0" applyFill="1" applyBorder="1"/>
    <xf numFmtId="2" fontId="0" fillId="0" borderId="0" xfId="0" applyNumberFormat="1"/>
    <xf numFmtId="0" fontId="1" fillId="0" borderId="3" xfId="0" applyFont="1" applyFill="1" applyBorder="1"/>
    <xf numFmtId="4" fontId="19" fillId="0" borderId="3" xfId="0" applyNumberFormat="1" applyFont="1" applyBorder="1"/>
    <xf numFmtId="188" fontId="0" fillId="0" borderId="0" xfId="0" applyNumberFormat="1"/>
    <xf numFmtId="0" fontId="20" fillId="0" borderId="0" xfId="0" applyFont="1"/>
    <xf numFmtId="188" fontId="20" fillId="0" borderId="4" xfId="0" applyNumberFormat="1" applyFont="1" applyBorder="1"/>
    <xf numFmtId="0" fontId="16" fillId="0" borderId="1" xfId="0" applyFont="1" applyBorder="1"/>
    <xf numFmtId="10" fontId="18" fillId="0" borderId="1" xfId="0" applyNumberFormat="1" applyFont="1" applyBorder="1"/>
    <xf numFmtId="0" fontId="18" fillId="0" borderId="1" xfId="0" applyFont="1" applyBorder="1"/>
    <xf numFmtId="0" fontId="18" fillId="0" borderId="0" xfId="0"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9</xdr:row>
      <xdr:rowOff>0</xdr:rowOff>
    </xdr:from>
    <xdr:to>
      <xdr:col>14</xdr:col>
      <xdr:colOff>63500</xdr:colOff>
      <xdr:row>11</xdr:row>
      <xdr:rowOff>182339</xdr:rowOff>
    </xdr:to>
    <xdr:pic>
      <xdr:nvPicPr>
        <xdr:cNvPr id="2" name="Picture 1">
          <a:extLst>
            <a:ext uri="{FF2B5EF4-FFF2-40B4-BE49-F238E27FC236}">
              <a16:creationId xmlns:a16="http://schemas.microsoft.com/office/drawing/2014/main" id="{687F0C9F-CC36-4A09-5821-87C748D85BE2}"/>
            </a:ext>
          </a:extLst>
        </xdr:cNvPr>
        <xdr:cNvPicPr>
          <a:picLocks noChangeAspect="1"/>
        </xdr:cNvPicPr>
      </xdr:nvPicPr>
      <xdr:blipFill>
        <a:blip xmlns:r="http://schemas.openxmlformats.org/officeDocument/2006/relationships" r:embed="rId1"/>
        <a:stretch>
          <a:fillRect/>
        </a:stretch>
      </xdr:blipFill>
      <xdr:spPr>
        <a:xfrm>
          <a:off x="7823200" y="2171700"/>
          <a:ext cx="5016500" cy="664939"/>
        </a:xfrm>
        <a:prstGeom prst="rect">
          <a:avLst/>
        </a:prstGeom>
      </xdr:spPr>
    </xdr:pic>
    <xdr:clientData/>
  </xdr:twoCellAnchor>
  <xdr:twoCellAnchor editAs="oneCell">
    <xdr:from>
      <xdr:col>8</xdr:col>
      <xdr:colOff>0</xdr:colOff>
      <xdr:row>16</xdr:row>
      <xdr:rowOff>0</xdr:rowOff>
    </xdr:from>
    <xdr:to>
      <xdr:col>12</xdr:col>
      <xdr:colOff>647700</xdr:colOff>
      <xdr:row>19</xdr:row>
      <xdr:rowOff>52819</xdr:rowOff>
    </xdr:to>
    <xdr:pic>
      <xdr:nvPicPr>
        <xdr:cNvPr id="3" name="Picture 2">
          <a:extLst>
            <a:ext uri="{FF2B5EF4-FFF2-40B4-BE49-F238E27FC236}">
              <a16:creationId xmlns:a16="http://schemas.microsoft.com/office/drawing/2014/main" id="{38462A43-B030-B92D-49FC-21DEF0D8E3C8}"/>
            </a:ext>
          </a:extLst>
        </xdr:cNvPr>
        <xdr:cNvPicPr>
          <a:picLocks noChangeAspect="1"/>
        </xdr:cNvPicPr>
      </xdr:nvPicPr>
      <xdr:blipFill>
        <a:blip xmlns:r="http://schemas.openxmlformats.org/officeDocument/2006/relationships" r:embed="rId2"/>
        <a:stretch>
          <a:fillRect/>
        </a:stretch>
      </xdr:blipFill>
      <xdr:spPr>
        <a:xfrm>
          <a:off x="7823200" y="3860800"/>
          <a:ext cx="3949700" cy="7767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10160</xdr:colOff>
      <xdr:row>9</xdr:row>
      <xdr:rowOff>40640</xdr:rowOff>
    </xdr:from>
    <xdr:to>
      <xdr:col>8</xdr:col>
      <xdr:colOff>50800</xdr:colOff>
      <xdr:row>12</xdr:row>
      <xdr:rowOff>106773</xdr:rowOff>
    </xdr:to>
    <xdr:pic>
      <xdr:nvPicPr>
        <xdr:cNvPr id="2" name="Picture 1">
          <a:extLst>
            <a:ext uri="{FF2B5EF4-FFF2-40B4-BE49-F238E27FC236}">
              <a16:creationId xmlns:a16="http://schemas.microsoft.com/office/drawing/2014/main" id="{C7521F7B-A969-2D5F-B031-AE16068EE97D}"/>
            </a:ext>
          </a:extLst>
        </xdr:cNvPr>
        <xdr:cNvPicPr>
          <a:picLocks noChangeAspect="1"/>
        </xdr:cNvPicPr>
      </xdr:nvPicPr>
      <xdr:blipFill>
        <a:blip xmlns:r="http://schemas.openxmlformats.org/officeDocument/2006/relationships" r:embed="rId1"/>
        <a:stretch>
          <a:fillRect/>
        </a:stretch>
      </xdr:blipFill>
      <xdr:spPr>
        <a:xfrm>
          <a:off x="6461760" y="1869440"/>
          <a:ext cx="2753360" cy="675733"/>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https://www.bing.com/financeapi/forcetrigger?t=a1yjxm&amp;q=XNYS%3aNKE&amp;form=skydnc</v>
    <v>Learn more on Bing</v>
  </rv>
  <rv s="1">
    <v>0</v>
    <v>NIKE, INC. (XNYS:NKE)</v>
    <v>2</v>
    <v>3</v>
    <v>Finance</v>
    <v>4</v>
    <v>en-US</v>
    <v>a1yjxm</v>
    <v>268435456</v>
    <v>1</v>
    <v>Powered by Refinitiv</v>
    <v>123.3916</v>
    <v>70.750200000000007</v>
    <v>1.0162</v>
    <v>0.3</v>
    <v>3.7199999999999998E-3</v>
    <v>0.1</v>
    <v>1.2360000000000001E-3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81.754999999999995</v>
    <v>Textiles &amp; Apparel</v>
    <v>Stock</v>
    <v>45553.904583969532</v>
    <v>0</v>
    <v>80.23</v>
    <v>121358117460</v>
    <v>NIKE, INC.</v>
    <v>NIKE, INC.</v>
    <v>80.66</v>
    <v>21.6387</v>
    <v>80.64</v>
    <v>80.94</v>
    <v>81</v>
    <v>1499359000</v>
    <v>NKE</v>
    <v>NIKE, INC. (XNYS:NKE)</v>
    <v>7627029</v>
    <v>10622827</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443DD-B76B-4943-A288-06FDAE43B7ED}">
  <dimension ref="A1:J16"/>
  <sheetViews>
    <sheetView zoomScale="118" workbookViewId="0">
      <selection activeCell="B3" sqref="B3:J3"/>
    </sheetView>
  </sheetViews>
  <sheetFormatPr baseColWidth="10" defaultRowHeight="16"/>
  <cols>
    <col min="1" max="1" width="24.5" bestFit="1" customWidth="1"/>
    <col min="2" max="5" width="12.6640625" bestFit="1" customWidth="1"/>
  </cols>
  <sheetData>
    <row r="1" spans="1:10">
      <c r="A1" t="s">
        <v>42</v>
      </c>
    </row>
    <row r="3" spans="1:10">
      <c r="A3" s="18" t="s">
        <v>43</v>
      </c>
      <c r="B3" s="18">
        <v>2021</v>
      </c>
      <c r="C3" s="18">
        <v>2022</v>
      </c>
      <c r="D3" s="18">
        <v>2023</v>
      </c>
      <c r="E3" s="18">
        <v>2024</v>
      </c>
      <c r="F3" s="18" t="s">
        <v>44</v>
      </c>
      <c r="G3" s="18" t="s">
        <v>45</v>
      </c>
      <c r="H3" s="18" t="s">
        <v>46</v>
      </c>
      <c r="I3" s="18" t="s">
        <v>47</v>
      </c>
      <c r="J3" s="18" t="s">
        <v>48</v>
      </c>
    </row>
    <row r="4" spans="1:10">
      <c r="A4" t="s">
        <v>49</v>
      </c>
      <c r="B4" s="15">
        <f>'INC ST HIST'!B3</f>
        <v>44538000</v>
      </c>
      <c r="C4" s="15">
        <f>'INC ST HIST'!C3</f>
        <v>46710000</v>
      </c>
      <c r="D4" s="15">
        <f>'INC ST HIST'!D3</f>
        <v>51217000</v>
      </c>
      <c r="E4" s="15">
        <f>'INC ST HIST'!E3</f>
        <v>51362000</v>
      </c>
      <c r="F4" s="6">
        <f>E4*(1+'INC ST HIST'!F15)</f>
        <v>54957340</v>
      </c>
      <c r="G4" s="6">
        <f>F4*(1+'INC ST HIST'!G15)</f>
        <v>57979993.699999996</v>
      </c>
      <c r="H4" s="6">
        <f>G4*(1+'INC ST HIST'!H15)</f>
        <v>60842029.409322619</v>
      </c>
      <c r="I4" s="6">
        <f>H4*(1+'INC ST HIST'!I15)</f>
        <v>63845342.270964734</v>
      </c>
      <c r="J4" s="6">
        <f>I4*(1+'INC ST HIST'!J15)</f>
        <v>66996906.074143045</v>
      </c>
    </row>
    <row r="5" spans="1:10">
      <c r="A5" t="s">
        <v>50</v>
      </c>
      <c r="B5" s="15">
        <f>'INC ST HIST'!B4</f>
        <v>24576000</v>
      </c>
      <c r="C5" s="15">
        <f>'INC ST HIST'!C4</f>
        <v>25231000</v>
      </c>
      <c r="D5" s="15">
        <f>'INC ST HIST'!D4</f>
        <v>28925000</v>
      </c>
      <c r="E5" s="15">
        <f>'INC ST HIST'!E4</f>
        <v>28475000</v>
      </c>
      <c r="F5" s="6">
        <f>F4*'INC ST HIST'!F16</f>
        <v>30379225.717146665</v>
      </c>
      <c r="G5" s="6">
        <f>G4*'INC ST HIST'!G16</f>
        <v>32050083.131589729</v>
      </c>
      <c r="H5" s="6">
        <f>H4*'INC ST HIST'!H16</f>
        <v>33632154.404035702</v>
      </c>
      <c r="I5" s="6">
        <f>I4*'INC ST HIST'!I16</f>
        <v>35292320.622470506</v>
      </c>
      <c r="J5" s="6">
        <f>J4*'INC ST HIST'!J16</f>
        <v>37034436.746335723</v>
      </c>
    </row>
    <row r="6" spans="1:10">
      <c r="A6" t="s">
        <v>51</v>
      </c>
      <c r="B6" s="6">
        <f>B4-B5</f>
        <v>19962000</v>
      </c>
      <c r="C6" s="6">
        <f t="shared" ref="C6:E6" si="0">C4-C5</f>
        <v>21479000</v>
      </c>
      <c r="D6" s="6">
        <f t="shared" si="0"/>
        <v>22292000</v>
      </c>
      <c r="E6" s="6">
        <f t="shared" si="0"/>
        <v>22887000</v>
      </c>
      <c r="F6" s="6">
        <f>F4-F5</f>
        <v>24578114.282853335</v>
      </c>
      <c r="G6" s="6">
        <f t="shared" ref="G6:J6" si="1">G4-G5</f>
        <v>25929910.568410266</v>
      </c>
      <c r="H6" s="6">
        <f t="shared" si="1"/>
        <v>27209875.005286917</v>
      </c>
      <c r="I6" s="6">
        <f t="shared" si="1"/>
        <v>28553021.648494229</v>
      </c>
      <c r="J6" s="6">
        <f t="shared" si="1"/>
        <v>29962469.327807322</v>
      </c>
    </row>
    <row r="7" spans="1:10">
      <c r="A7" t="s">
        <v>52</v>
      </c>
      <c r="B7" s="6">
        <f>'INC ST HIST'!B6</f>
        <v>13025000</v>
      </c>
      <c r="C7" s="6">
        <f>'INC ST HIST'!C6</f>
        <v>14804000</v>
      </c>
      <c r="D7" s="6">
        <f>'INC ST HIST'!D6</f>
        <v>16377000</v>
      </c>
      <c r="E7" s="6">
        <f>'INC ST HIST'!E6</f>
        <v>16576000</v>
      </c>
      <c r="F7" s="6">
        <f>F4*'INC ST HIST'!F17</f>
        <v>17199822.179401655</v>
      </c>
      <c r="G7" s="6">
        <f>G4*'INC ST HIST'!G17</f>
        <v>18145812.399268743</v>
      </c>
      <c r="H7" s="6">
        <f>H4*'INC ST HIST'!H17</f>
        <v>19041534.522490986</v>
      </c>
      <c r="I7" s="6">
        <f>I4*'INC ST HIST'!I17</f>
        <v>19981471.702299077</v>
      </c>
      <c r="J7" s="6">
        <f>J4*'INC ST HIST'!J17</f>
        <v>20967806.503104679</v>
      </c>
    </row>
    <row r="8" spans="1:10">
      <c r="A8" t="s">
        <v>18</v>
      </c>
      <c r="B8" s="6">
        <f>B6-B7</f>
        <v>6937000</v>
      </c>
      <c r="C8" s="6">
        <f t="shared" ref="C8:E8" si="2">C6-C7</f>
        <v>6675000</v>
      </c>
      <c r="D8" s="6">
        <f t="shared" si="2"/>
        <v>5915000</v>
      </c>
      <c r="E8" s="6">
        <f t="shared" si="2"/>
        <v>6311000</v>
      </c>
      <c r="F8" s="6">
        <f>F6-F7</f>
        <v>7378292.1034516804</v>
      </c>
      <c r="G8" s="6">
        <f t="shared" ref="G8:J8" si="3">G6-G7</f>
        <v>7784098.1691415235</v>
      </c>
      <c r="H8" s="6">
        <f t="shared" si="3"/>
        <v>8168340.4827959314</v>
      </c>
      <c r="I8" s="6">
        <f t="shared" si="3"/>
        <v>8571549.9461951517</v>
      </c>
      <c r="J8" s="6">
        <f t="shared" si="3"/>
        <v>8994662.8247026429</v>
      </c>
    </row>
    <row r="9" spans="1:10">
      <c r="A9" t="s">
        <v>53</v>
      </c>
      <c r="B9" s="6">
        <f>B8*(1-'INC ST HIST'!B18)</f>
        <v>6003000</v>
      </c>
      <c r="C9" s="6">
        <f>C8*(1-'INC ST HIST'!C18)</f>
        <v>6070000</v>
      </c>
      <c r="D9" s="6">
        <f>D8*(1-'INC ST HIST'!D18)</f>
        <v>4784000</v>
      </c>
      <c r="E9" s="6">
        <f>E8*(1-'INC ST HIST'!E18)</f>
        <v>5311000</v>
      </c>
      <c r="F9" s="6">
        <f>F8*(1-'INC ST HIST'!F18)</f>
        <v>6317774.5355082145</v>
      </c>
      <c r="G9" s="6">
        <f>G8*(1-'INC ST HIST'!G18)</f>
        <v>6665252.1349611664</v>
      </c>
      <c r="H9" s="6">
        <f>H8*(1-'INC ST HIST'!H18)</f>
        <v>6994265.4446314266</v>
      </c>
      <c r="I9" s="6">
        <f>I8*(1-'INC ST HIST'!I18)</f>
        <v>7339519.6639849562</v>
      </c>
      <c r="J9" s="6">
        <f>J8*(1-'INC ST HIST'!J18)</f>
        <v>7701816.4844415057</v>
      </c>
    </row>
    <row r="10" spans="1:10">
      <c r="A10" t="s">
        <v>118</v>
      </c>
      <c r="B10" s="6"/>
      <c r="C10" s="6">
        <f>-'Fixed Assets'!C4</f>
        <v>840000</v>
      </c>
      <c r="D10" s="6">
        <f>-'Fixed Assets'!D4</f>
        <v>859000</v>
      </c>
      <c r="E10" s="6">
        <f>-'Fixed Assets'!E4</f>
        <v>844000</v>
      </c>
      <c r="F10" s="6">
        <f>-'Fixed Assets'!F4</f>
        <v>854431.81383032829</v>
      </c>
      <c r="G10" s="6">
        <f>-'Fixed Assets'!G4</f>
        <v>854439.78224451933</v>
      </c>
      <c r="H10" s="6">
        <f>-'Fixed Assets'!H4</f>
        <v>854447.75073302351</v>
      </c>
      <c r="I10" s="6">
        <f>-'Fixed Assets'!I4</f>
        <v>854455.71929584164</v>
      </c>
      <c r="J10" s="6">
        <f>-'Fixed Assets'!J4</f>
        <v>854463.68793297443</v>
      </c>
    </row>
    <row r="11" spans="1:10">
      <c r="A11" t="s">
        <v>119</v>
      </c>
      <c r="B11" s="6"/>
      <c r="C11" s="6">
        <f>'Fixed Assets'!C5</f>
        <v>758000</v>
      </c>
      <c r="D11" s="6">
        <f>'Fixed Assets'!D5</f>
        <v>969000</v>
      </c>
      <c r="E11" s="6">
        <f>'Fixed Assets'!E5</f>
        <v>812000</v>
      </c>
      <c r="F11" s="6">
        <f>'Fixed Assets'!F5</f>
        <v>854506.16054460302</v>
      </c>
      <c r="G11" s="6">
        <f>'Fixed Assets'!G5</f>
        <v>854514.12965214986</v>
      </c>
      <c r="H11" s="6">
        <f>'Fixed Assets'!H5</f>
        <v>854522.09883401659</v>
      </c>
      <c r="I11" s="6">
        <f>'Fixed Assets'!I5</f>
        <v>854530.06809020357</v>
      </c>
      <c r="J11" s="6">
        <f>'Fixed Assets'!J5</f>
        <v>854538.03742071171</v>
      </c>
    </row>
    <row r="12" spans="1:10">
      <c r="A12" t="s">
        <v>120</v>
      </c>
      <c r="B12" s="6"/>
      <c r="C12" s="6">
        <f>C13-B13</f>
        <v>1432000</v>
      </c>
      <c r="D12" s="6">
        <f t="shared" ref="D12:J12" si="4">D13-C13</f>
        <v>1347000</v>
      </c>
      <c r="E12" s="6">
        <f t="shared" si="4"/>
        <v>-2758000</v>
      </c>
      <c r="F12" s="6">
        <f t="shared" si="4"/>
        <v>3031912.5500767175</v>
      </c>
      <c r="G12" s="6">
        <f t="shared" si="4"/>
        <v>528655.19025421701</v>
      </c>
      <c r="H12" s="6">
        <f t="shared" si="4"/>
        <v>500563.47256264091</v>
      </c>
      <c r="I12" s="6">
        <f t="shared" si="4"/>
        <v>525272.52204391547</v>
      </c>
      <c r="J12" s="6">
        <f t="shared" si="4"/>
        <v>551201.27124305815</v>
      </c>
    </row>
    <row r="13" spans="1:10">
      <c r="A13" t="s">
        <v>133</v>
      </c>
      <c r="B13" s="6">
        <f>B14-B15</f>
        <v>6559000</v>
      </c>
      <c r="C13" s="6">
        <f t="shared" ref="C13:J13" si="5">C14-C15</f>
        <v>7991000</v>
      </c>
      <c r="D13" s="6">
        <f t="shared" si="5"/>
        <v>9338000</v>
      </c>
      <c r="E13" s="6">
        <f t="shared" si="5"/>
        <v>6580000</v>
      </c>
      <c r="F13" s="6">
        <f t="shared" si="5"/>
        <v>9611912.5500767175</v>
      </c>
      <c r="G13" s="6">
        <f t="shared" si="5"/>
        <v>10140567.740330935</v>
      </c>
      <c r="H13" s="6">
        <f t="shared" si="5"/>
        <v>10641131.212893575</v>
      </c>
      <c r="I13" s="6">
        <f t="shared" si="5"/>
        <v>11166403.734937491</v>
      </c>
      <c r="J13" s="6">
        <f t="shared" si="5"/>
        <v>11717605.006180549</v>
      </c>
    </row>
    <row r="14" spans="1:10">
      <c r="A14" t="s">
        <v>83</v>
      </c>
      <c r="B14" s="6">
        <f>'Net Working Capital '!B6</f>
        <v>13800000</v>
      </c>
      <c r="C14" s="6">
        <f>'Net Working Capital '!C6</f>
        <v>14527000</v>
      </c>
      <c r="D14" s="6">
        <f>'Net Working Capital '!D6</f>
        <v>17345000</v>
      </c>
      <c r="E14" s="6">
        <f>'Net Working Capital '!E6</f>
        <v>14313000</v>
      </c>
      <c r="F14" s="6">
        <f>'Net Working Capital '!F6</f>
        <v>17983576.878385719</v>
      </c>
      <c r="G14" s="6">
        <f>'Net Working Capital '!G6</f>
        <v>18972673.60669693</v>
      </c>
      <c r="H14" s="6">
        <f>'Net Working Capital '!H6</f>
        <v>19909211.641603433</v>
      </c>
      <c r="I14" s="6">
        <f>'Net Working Capital '!I6</f>
        <v>20891979.507318657</v>
      </c>
      <c r="J14" s="6">
        <f>'Net Working Capital '!J6</f>
        <v>21923259.222486723</v>
      </c>
    </row>
    <row r="15" spans="1:10">
      <c r="A15" t="s">
        <v>92</v>
      </c>
      <c r="B15" s="6">
        <f>'Net Working Capital '!B11</f>
        <v>7241000</v>
      </c>
      <c r="C15" s="6">
        <f>'Net Working Capital '!C11</f>
        <v>6536000</v>
      </c>
      <c r="D15" s="6">
        <f>'Net Working Capital '!D11</f>
        <v>8007000</v>
      </c>
      <c r="E15" s="6">
        <f>'Net Working Capital '!E11</f>
        <v>7733000</v>
      </c>
      <c r="F15" s="6">
        <f>'Net Working Capital '!F11</f>
        <v>8371664.3283090014</v>
      </c>
      <c r="G15" s="6">
        <f>'Net Working Capital '!G11</f>
        <v>8832105.8663659953</v>
      </c>
      <c r="H15" s="6">
        <f>'Net Working Capital '!H11</f>
        <v>9268080.4287098572</v>
      </c>
      <c r="I15" s="6">
        <f>'Net Working Capital '!I11</f>
        <v>9725575.772381166</v>
      </c>
      <c r="J15" s="6">
        <f>'Net Working Capital '!J11</f>
        <v>10205654.216306174</v>
      </c>
    </row>
    <row r="16" spans="1:10">
      <c r="A16" s="19" t="s">
        <v>55</v>
      </c>
      <c r="B16" s="19"/>
      <c r="C16" s="35">
        <f>C9+C10-C11-C12</f>
        <v>4720000</v>
      </c>
      <c r="D16" s="35">
        <f t="shared" ref="D16:J16" si="6">D9+D10-D11-D12</f>
        <v>3327000</v>
      </c>
      <c r="E16" s="35">
        <f t="shared" si="6"/>
        <v>8101000</v>
      </c>
      <c r="F16" s="35">
        <f t="shared" si="6"/>
        <v>3285787.638717222</v>
      </c>
      <c r="G16" s="35">
        <f t="shared" si="6"/>
        <v>6136522.5972993188</v>
      </c>
      <c r="H16" s="35">
        <f t="shared" si="6"/>
        <v>6493627.6239677928</v>
      </c>
      <c r="I16" s="35">
        <f t="shared" si="6"/>
        <v>6814172.7931466792</v>
      </c>
      <c r="J16" s="35">
        <f t="shared" si="6"/>
        <v>7150540.8637107098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E5CE7-B372-D84F-BE2F-F70E91B99064}">
  <dimension ref="B2:K20"/>
  <sheetViews>
    <sheetView workbookViewId="0">
      <selection activeCell="B23" sqref="B23"/>
    </sheetView>
  </sheetViews>
  <sheetFormatPr baseColWidth="10" defaultRowHeight="19"/>
  <cols>
    <col min="1" max="1" width="10.83203125" style="37"/>
    <col min="2" max="2" width="23.6640625" style="37" bestFit="1" customWidth="1"/>
    <col min="3" max="3" width="13" style="37" bestFit="1" customWidth="1"/>
    <col min="4" max="16384" width="10.83203125" style="37"/>
  </cols>
  <sheetData>
    <row r="2" spans="2:11">
      <c r="B2" s="37" t="s">
        <v>135</v>
      </c>
      <c r="C2" s="38">
        <v>121280000</v>
      </c>
      <c r="K2" s="37" t="s">
        <v>147</v>
      </c>
    </row>
    <row r="3" spans="2:11">
      <c r="B3" s="37" t="s">
        <v>136</v>
      </c>
      <c r="C3" s="38">
        <f>'Balance Sheet'!E25</f>
        <v>10469000</v>
      </c>
      <c r="E3" s="37" t="s">
        <v>165</v>
      </c>
      <c r="K3" s="37" t="s">
        <v>148</v>
      </c>
    </row>
    <row r="4" spans="2:11">
      <c r="K4" s="37" t="s">
        <v>149</v>
      </c>
    </row>
    <row r="5" spans="2:11">
      <c r="B5" s="37" t="s">
        <v>137</v>
      </c>
      <c r="C5" s="40">
        <f>'INC ST HIST'!E8/WACC!C3</f>
        <v>1.5378737224185691E-2</v>
      </c>
    </row>
    <row r="6" spans="2:11">
      <c r="B6" s="37" t="s">
        <v>40</v>
      </c>
      <c r="C6" s="39">
        <v>0.1439</v>
      </c>
    </row>
    <row r="7" spans="2:11">
      <c r="B7" s="37" t="s">
        <v>138</v>
      </c>
      <c r="C7" s="40">
        <f>C3/SUM(C2:C3)</f>
        <v>7.946170369414568E-2</v>
      </c>
    </row>
    <row r="8" spans="2:11">
      <c r="B8" s="30" t="s">
        <v>144</v>
      </c>
      <c r="C8" s="41">
        <f>C5*(1-C6)</f>
        <v>1.3165736937625369E-2</v>
      </c>
      <c r="D8" s="41"/>
    </row>
    <row r="10" spans="2:11">
      <c r="B10" s="37" t="s">
        <v>139</v>
      </c>
      <c r="C10" s="39">
        <v>3.6499999999999998E-2</v>
      </c>
    </row>
    <row r="11" spans="2:11">
      <c r="B11" s="37" t="s">
        <v>140</v>
      </c>
      <c r="C11" s="39">
        <f>C10+C12</f>
        <v>8.249999999999999E-2</v>
      </c>
    </row>
    <row r="12" spans="2:11">
      <c r="B12" s="37" t="s">
        <v>141</v>
      </c>
      <c r="C12" s="39">
        <v>4.5999999999999999E-2</v>
      </c>
    </row>
    <row r="13" spans="2:11">
      <c r="B13" s="37" t="s">
        <v>142</v>
      </c>
      <c r="C13" s="37">
        <v>1.01</v>
      </c>
    </row>
    <row r="14" spans="2:11">
      <c r="B14" s="37" t="s">
        <v>143</v>
      </c>
      <c r="C14" s="40">
        <f>C2/SUM(C2:C3)</f>
        <v>0.92053829630585426</v>
      </c>
    </row>
    <row r="15" spans="2:11">
      <c r="B15" s="30" t="s">
        <v>145</v>
      </c>
      <c r="C15" s="41">
        <f>C10+(C13*(C12))</f>
        <v>8.2960000000000006E-2</v>
      </c>
    </row>
    <row r="17" spans="2:3">
      <c r="B17" s="49" t="s">
        <v>146</v>
      </c>
      <c r="C17" s="50">
        <f>C14*C15+C8*C7</f>
        <v>7.741402894898633E-2</v>
      </c>
    </row>
    <row r="18" spans="2:3">
      <c r="B18" s="51"/>
      <c r="C18" s="51"/>
    </row>
    <row r="20" spans="2:3">
      <c r="B20" s="5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94A0A-70D5-DF41-8B98-D867A9EB5C88}">
  <dimension ref="A2:O25"/>
  <sheetViews>
    <sheetView zoomScale="125" workbookViewId="0">
      <selection activeCell="E25" sqref="E25"/>
    </sheetView>
  </sheetViews>
  <sheetFormatPr baseColWidth="10" defaultRowHeight="16"/>
  <cols>
    <col min="1" max="1" width="38.6640625" bestFit="1" customWidth="1"/>
    <col min="2" max="2" width="11.6640625" bestFit="1" customWidth="1"/>
    <col min="3" max="3" width="12.6640625" bestFit="1" customWidth="1"/>
    <col min="6" max="9" width="11.83203125" bestFit="1" customWidth="1"/>
  </cols>
  <sheetData>
    <row r="2" spans="1:15">
      <c r="A2" t="s">
        <v>77</v>
      </c>
      <c r="B2" s="18">
        <v>2021</v>
      </c>
      <c r="C2" s="18">
        <v>2022</v>
      </c>
      <c r="D2" s="18">
        <v>2023</v>
      </c>
      <c r="E2" s="18">
        <v>2024</v>
      </c>
      <c r="F2" s="18" t="s">
        <v>44</v>
      </c>
      <c r="G2" s="18" t="s">
        <v>45</v>
      </c>
      <c r="H2" s="18" t="s">
        <v>46</v>
      </c>
      <c r="I2" s="18" t="s">
        <v>47</v>
      </c>
      <c r="J2" s="18" t="s">
        <v>48</v>
      </c>
    </row>
    <row r="3" spans="1:15">
      <c r="A3" t="s">
        <v>55</v>
      </c>
      <c r="C3" s="6">
        <f>FCF!C16</f>
        <v>4720000</v>
      </c>
      <c r="D3" s="6">
        <f>FCF!D16</f>
        <v>3327000</v>
      </c>
      <c r="E3" s="6">
        <f>FCF!E16</f>
        <v>8101000</v>
      </c>
      <c r="F3" s="6">
        <f>FCF!F16</f>
        <v>3285787.638717222</v>
      </c>
      <c r="G3" s="6">
        <f>FCF!G16</f>
        <v>6136522.5972993188</v>
      </c>
      <c r="H3" s="6">
        <f>FCF!H16</f>
        <v>6493627.6239677928</v>
      </c>
      <c r="I3" s="6">
        <f>FCF!I16</f>
        <v>6814172.7931466792</v>
      </c>
      <c r="J3" s="6">
        <f>FCF!J16</f>
        <v>7150540.8637107098</v>
      </c>
    </row>
    <row r="4" spans="1:15">
      <c r="B4" s="20"/>
    </row>
    <row r="5" spans="1:15">
      <c r="A5" t="s">
        <v>134</v>
      </c>
      <c r="F5">
        <v>1</v>
      </c>
      <c r="G5">
        <v>2</v>
      </c>
      <c r="H5">
        <v>3</v>
      </c>
      <c r="I5">
        <v>4</v>
      </c>
      <c r="J5">
        <v>5</v>
      </c>
    </row>
    <row r="6" spans="1:15">
      <c r="A6" s="14" t="s">
        <v>162</v>
      </c>
      <c r="F6" s="6">
        <f>F3/(1+$B$10)^F5</f>
        <v>3049698.2129724971</v>
      </c>
      <c r="G6" s="6">
        <f t="shared" ref="G6:I6" si="0">G3/(1+$B$10)^G5</f>
        <v>5286364.2640395425</v>
      </c>
      <c r="H6" s="6">
        <f t="shared" si="0"/>
        <v>5192057.6014115419</v>
      </c>
      <c r="I6" s="6">
        <f t="shared" si="0"/>
        <v>5056879.8784124115</v>
      </c>
      <c r="J6" s="6">
        <f>J3/(1+$B$10)^J5</f>
        <v>4925221.4478715379</v>
      </c>
    </row>
    <row r="8" spans="1:15">
      <c r="A8" t="s">
        <v>150</v>
      </c>
      <c r="B8" s="6">
        <f>SUM(F6:J6)</f>
        <v>23510221.404707529</v>
      </c>
    </row>
    <row r="9" spans="1:15">
      <c r="A9" t="s">
        <v>151</v>
      </c>
      <c r="B9" s="36">
        <v>2.9899999999999999E-2</v>
      </c>
      <c r="F9" s="17"/>
      <c r="O9" t="s">
        <v>161</v>
      </c>
    </row>
    <row r="10" spans="1:15">
      <c r="A10" t="s">
        <v>146</v>
      </c>
      <c r="B10" s="36">
        <f>WACC!C17</f>
        <v>7.741402894898633E-2</v>
      </c>
      <c r="F10" s="36"/>
    </row>
    <row r="11" spans="1:15">
      <c r="A11" t="s">
        <v>163</v>
      </c>
      <c r="B11" s="43">
        <v>15.97</v>
      </c>
    </row>
    <row r="12" spans="1:15">
      <c r="A12" t="s">
        <v>152</v>
      </c>
      <c r="B12" s="6">
        <f>(J3*(1+B9))/(B10-B9)</f>
        <v>154993003.08636048</v>
      </c>
    </row>
    <row r="13" spans="1:15">
      <c r="A13" t="s">
        <v>153</v>
      </c>
      <c r="B13" s="6">
        <f>B12/(1+B10)^J5</f>
        <v>106757639.40391153</v>
      </c>
    </row>
    <row r="14" spans="1:15">
      <c r="A14" t="s">
        <v>154</v>
      </c>
      <c r="B14" s="6">
        <f>B13+B8</f>
        <v>130267860.80861905</v>
      </c>
      <c r="F14" s="18">
        <v>2024</v>
      </c>
      <c r="G14" s="18">
        <v>2023</v>
      </c>
      <c r="H14" s="18">
        <v>2022</v>
      </c>
      <c r="I14" s="18">
        <v>2021</v>
      </c>
    </row>
    <row r="15" spans="1:15">
      <c r="A15" t="s">
        <v>155</v>
      </c>
      <c r="B15" s="6">
        <f>F15</f>
        <v>9860000</v>
      </c>
      <c r="E15" s="12" t="s">
        <v>164</v>
      </c>
      <c r="F15" s="13">
        <v>9860000</v>
      </c>
      <c r="G15" s="13">
        <v>7441000</v>
      </c>
      <c r="H15" s="13">
        <v>8574000</v>
      </c>
      <c r="I15" s="13">
        <v>9889000</v>
      </c>
    </row>
    <row r="16" spans="1:15" ht="18">
      <c r="A16" t="s">
        <v>156</v>
      </c>
      <c r="B16" s="6">
        <f>WACC!C3</f>
        <v>10469000</v>
      </c>
      <c r="E16" s="27"/>
      <c r="F16" s="27"/>
    </row>
    <row r="17" spans="1:6" ht="18">
      <c r="A17" t="s">
        <v>157</v>
      </c>
      <c r="B17" s="20">
        <v>0</v>
      </c>
      <c r="E17" s="27"/>
      <c r="F17" s="27"/>
    </row>
    <row r="18" spans="1:6" ht="18">
      <c r="A18" s="29" t="s">
        <v>158</v>
      </c>
      <c r="B18" s="6">
        <f>B14+B15-B16</f>
        <v>129658860.80861905</v>
      </c>
      <c r="E18" s="27"/>
      <c r="F18" s="27"/>
    </row>
    <row r="19" spans="1:6" ht="18">
      <c r="A19" s="42" t="s">
        <v>159</v>
      </c>
      <c r="B19" s="6">
        <v>1500000</v>
      </c>
      <c r="E19" s="27"/>
      <c r="F19" s="27"/>
    </row>
    <row r="20" spans="1:6" ht="17" thickBot="1">
      <c r="A20" s="44" t="s">
        <v>160</v>
      </c>
      <c r="B20" s="45">
        <f>B18/B19</f>
        <v>86.439240539079364</v>
      </c>
    </row>
    <row r="21" spans="1:6" ht="17" thickTop="1"/>
    <row r="22" spans="1:6" ht="17" thickBot="1">
      <c r="A22" t="s">
        <v>166</v>
      </c>
      <c r="B22" t="e" vm="1">
        <v>#VALUE!</v>
      </c>
      <c r="C22" s="46" cm="1">
        <f t="array" aca="1" ref="C22" ca="1">_FV(B22,"Price")</f>
        <v>80.94</v>
      </c>
    </row>
    <row r="23" spans="1:6" ht="17" thickBot="1">
      <c r="A23" t="s">
        <v>167</v>
      </c>
      <c r="C23" s="48">
        <f ca="1">B20-C22</f>
        <v>5.4992405390793664</v>
      </c>
    </row>
    <row r="24" spans="1:6">
      <c r="C24" t="s">
        <v>168</v>
      </c>
    </row>
    <row r="25" spans="1:6">
      <c r="A25" t="s">
        <v>169</v>
      </c>
      <c r="C25" s="47" t="s">
        <v>170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9B449-9E3D-4C4B-BECA-4B998A955934}">
  <dimension ref="A1:L58"/>
  <sheetViews>
    <sheetView zoomScale="150" workbookViewId="0">
      <selection activeCell="A28" sqref="A28"/>
    </sheetView>
  </sheetViews>
  <sheetFormatPr baseColWidth="10" defaultRowHeight="16"/>
  <cols>
    <col min="1" max="1" width="80" bestFit="1" customWidth="1"/>
    <col min="6" max="10" width="11.6640625" bestFit="1" customWidth="1"/>
  </cols>
  <sheetData>
    <row r="1" spans="1:10">
      <c r="A1" t="s">
        <v>71</v>
      </c>
    </row>
    <row r="2" spans="1:10">
      <c r="A2" s="1"/>
      <c r="B2" s="3" t="s">
        <v>3</v>
      </c>
      <c r="C2" s="3" t="s">
        <v>2</v>
      </c>
      <c r="D2" s="3" t="s">
        <v>1</v>
      </c>
      <c r="E2" s="3" t="s">
        <v>0</v>
      </c>
      <c r="F2" s="3" t="s">
        <v>11</v>
      </c>
      <c r="G2" s="3" t="s">
        <v>12</v>
      </c>
      <c r="H2" s="3" t="s">
        <v>13</v>
      </c>
      <c r="I2" s="3" t="s">
        <v>14</v>
      </c>
      <c r="J2" s="3" t="s">
        <v>41</v>
      </c>
    </row>
    <row r="3" spans="1:10">
      <c r="A3" s="1" t="s">
        <v>4</v>
      </c>
      <c r="B3" s="2">
        <v>44538000</v>
      </c>
      <c r="C3" s="2">
        <v>46710000</v>
      </c>
      <c r="D3" s="2">
        <v>51217000</v>
      </c>
      <c r="E3" s="2">
        <v>51362000</v>
      </c>
      <c r="F3" s="7">
        <f>E3*(1+F15)</f>
        <v>54957340</v>
      </c>
      <c r="G3" s="7">
        <f t="shared" ref="G3:J3" si="0">F3*(1+G15)</f>
        <v>57979993.699999996</v>
      </c>
      <c r="H3" s="7">
        <f t="shared" si="0"/>
        <v>60842029.409322619</v>
      </c>
      <c r="I3" s="7">
        <f t="shared" si="0"/>
        <v>63845342.270964734</v>
      </c>
      <c r="J3" s="7">
        <f t="shared" si="0"/>
        <v>66996906.074143045</v>
      </c>
    </row>
    <row r="4" spans="1:10">
      <c r="A4" s="1" t="s">
        <v>5</v>
      </c>
      <c r="B4" s="2">
        <v>24576000</v>
      </c>
      <c r="C4" s="2">
        <v>25231000</v>
      </c>
      <c r="D4" s="2">
        <v>28925000</v>
      </c>
      <c r="E4" s="2">
        <v>28475000</v>
      </c>
      <c r="F4" s="7">
        <f>F3*F16</f>
        <v>30379225.717146665</v>
      </c>
      <c r="G4" s="7">
        <f t="shared" ref="G4:J4" si="1">G3*G16</f>
        <v>32050083.131589729</v>
      </c>
      <c r="H4" s="7">
        <f t="shared" si="1"/>
        <v>33632154.404035702</v>
      </c>
      <c r="I4" s="7">
        <f t="shared" si="1"/>
        <v>35292320.622470506</v>
      </c>
      <c r="J4" s="7">
        <f t="shared" si="1"/>
        <v>37034436.746335723</v>
      </c>
    </row>
    <row r="5" spans="1:10">
      <c r="A5" s="4" t="s">
        <v>6</v>
      </c>
      <c r="B5" s="5">
        <v>19962000</v>
      </c>
      <c r="C5" s="5">
        <v>21479000</v>
      </c>
      <c r="D5" s="5">
        <v>22292000</v>
      </c>
      <c r="E5" s="5">
        <v>22887000</v>
      </c>
      <c r="F5" s="25">
        <f>F3-F4</f>
        <v>24578114.282853335</v>
      </c>
      <c r="G5" s="25">
        <f t="shared" ref="G5:J5" si="2">G3-G4</f>
        <v>25929910.568410266</v>
      </c>
      <c r="H5" s="25">
        <f t="shared" si="2"/>
        <v>27209875.005286917</v>
      </c>
      <c r="I5" s="25">
        <f t="shared" si="2"/>
        <v>28553021.648494229</v>
      </c>
      <c r="J5" s="25">
        <f t="shared" si="2"/>
        <v>29962469.327807322</v>
      </c>
    </row>
    <row r="6" spans="1:10">
      <c r="A6" s="1" t="s">
        <v>7</v>
      </c>
      <c r="B6" s="2">
        <v>13025000</v>
      </c>
      <c r="C6" s="2">
        <v>14804000</v>
      </c>
      <c r="D6" s="2">
        <v>16377000</v>
      </c>
      <c r="E6" s="2">
        <v>16576000</v>
      </c>
      <c r="F6" s="7">
        <f>F3*F17</f>
        <v>17199822.179401655</v>
      </c>
      <c r="G6" s="7">
        <f t="shared" ref="G6:J6" si="3">G3*G17</f>
        <v>18145812.399268743</v>
      </c>
      <c r="H6" s="7">
        <f t="shared" si="3"/>
        <v>19041534.522490986</v>
      </c>
      <c r="I6" s="7">
        <f t="shared" si="3"/>
        <v>19981471.702299077</v>
      </c>
      <c r="J6" s="7">
        <f t="shared" si="3"/>
        <v>20967806.503104679</v>
      </c>
    </row>
    <row r="7" spans="1:10">
      <c r="A7" s="3" t="s">
        <v>75</v>
      </c>
      <c r="B7" s="2">
        <v>6937000</v>
      </c>
      <c r="C7" s="2">
        <v>6675000</v>
      </c>
      <c r="D7" s="2">
        <v>5915000</v>
      </c>
      <c r="E7" s="2">
        <v>6311000</v>
      </c>
      <c r="F7" s="7"/>
      <c r="G7" s="7"/>
      <c r="H7" s="7"/>
      <c r="I7" s="7"/>
      <c r="J7" s="7"/>
    </row>
    <row r="8" spans="1:10">
      <c r="A8" s="1" t="s">
        <v>15</v>
      </c>
      <c r="B8" s="2">
        <v>-262000</v>
      </c>
      <c r="C8" s="2">
        <v>-205000</v>
      </c>
      <c r="D8" s="2">
        <v>6000</v>
      </c>
      <c r="E8" s="2">
        <v>161000</v>
      </c>
      <c r="F8" s="7"/>
      <c r="G8" s="7"/>
      <c r="H8" s="7"/>
      <c r="I8" s="7"/>
      <c r="J8" s="7"/>
    </row>
    <row r="9" spans="1:10">
      <c r="A9" s="1" t="s">
        <v>16</v>
      </c>
      <c r="B9" s="2">
        <v>-14000</v>
      </c>
      <c r="C9" s="2">
        <v>181000</v>
      </c>
      <c r="D9" s="2">
        <v>280000</v>
      </c>
      <c r="E9" s="2">
        <v>228000</v>
      </c>
      <c r="F9" s="7"/>
      <c r="G9" s="7"/>
      <c r="H9" s="7"/>
      <c r="I9" s="7"/>
      <c r="J9" s="7"/>
    </row>
    <row r="10" spans="1:10">
      <c r="A10" s="1" t="s">
        <v>8</v>
      </c>
      <c r="B10" s="2">
        <v>6661000</v>
      </c>
      <c r="C10" s="2">
        <v>6651000</v>
      </c>
      <c r="D10" s="2">
        <v>6201000</v>
      </c>
      <c r="E10" s="2">
        <v>6700000</v>
      </c>
      <c r="F10" s="7"/>
      <c r="G10" s="7"/>
      <c r="H10" s="7"/>
      <c r="I10" s="7"/>
      <c r="J10" s="7"/>
    </row>
    <row r="11" spans="1:10">
      <c r="A11" s="1" t="s">
        <v>9</v>
      </c>
      <c r="B11" s="2">
        <v>934000</v>
      </c>
      <c r="C11" s="2">
        <v>605000</v>
      </c>
      <c r="D11" s="2">
        <v>1131000</v>
      </c>
      <c r="E11" s="2">
        <v>1000000</v>
      </c>
      <c r="F11" s="7"/>
      <c r="G11" s="7"/>
      <c r="H11" s="7"/>
      <c r="I11" s="7"/>
      <c r="J11" s="7"/>
    </row>
    <row r="12" spans="1:10">
      <c r="A12" s="4" t="s">
        <v>10</v>
      </c>
      <c r="B12" s="5">
        <v>5727000</v>
      </c>
      <c r="C12" s="5">
        <v>6046000</v>
      </c>
      <c r="D12" s="5">
        <v>5070000</v>
      </c>
      <c r="E12" s="5">
        <v>5700000</v>
      </c>
      <c r="F12" s="7"/>
      <c r="G12" s="7"/>
      <c r="H12" s="7"/>
      <c r="I12" s="7"/>
      <c r="J12" s="7"/>
    </row>
    <row r="15" spans="1:10">
      <c r="A15" t="s">
        <v>72</v>
      </c>
      <c r="C15" s="24">
        <f>C3/B3-1</f>
        <v>4.8767344739323759E-2</v>
      </c>
      <c r="D15" s="24">
        <f t="shared" ref="D15:E15" si="4">D3/C3-1</f>
        <v>9.6488974523656568E-2</v>
      </c>
      <c r="E15" s="24">
        <f t="shared" si="4"/>
        <v>2.8310912392370824E-3</v>
      </c>
      <c r="F15" s="24">
        <v>7.0000000000000007E-2</v>
      </c>
      <c r="G15" s="24">
        <v>5.5E-2</v>
      </c>
      <c r="H15" s="24">
        <f>AVERAGE(C15:E15)</f>
        <v>4.9362470167405803E-2</v>
      </c>
      <c r="I15" s="24">
        <f>$H$15</f>
        <v>4.9362470167405803E-2</v>
      </c>
      <c r="J15" s="24">
        <f>$H$15</f>
        <v>4.9362470167405803E-2</v>
      </c>
    </row>
    <row r="16" spans="1:10">
      <c r="A16" t="s">
        <v>73</v>
      </c>
      <c r="B16" s="24">
        <f>B4/B3</f>
        <v>0.55179846423279</v>
      </c>
      <c r="C16" s="24">
        <f t="shared" ref="C16:E16" si="5">C4/C3</f>
        <v>0.54016270605865979</v>
      </c>
      <c r="D16" s="24">
        <f t="shared" si="5"/>
        <v>0.56475389030985801</v>
      </c>
      <c r="E16" s="24">
        <f t="shared" si="5"/>
        <v>0.55439819321677508</v>
      </c>
      <c r="F16" s="24">
        <f>AVERAGE(B16:E16)</f>
        <v>0.55277831345452066</v>
      </c>
      <c r="G16" s="24">
        <f>$F$16</f>
        <v>0.55277831345452066</v>
      </c>
      <c r="H16" s="24">
        <f t="shared" ref="H16:J16" si="6">$F$16</f>
        <v>0.55277831345452066</v>
      </c>
      <c r="I16" s="24">
        <f t="shared" si="6"/>
        <v>0.55277831345452066</v>
      </c>
      <c r="J16" s="24">
        <f t="shared" si="6"/>
        <v>0.55277831345452066</v>
      </c>
    </row>
    <row r="17" spans="1:10">
      <c r="A17" t="s">
        <v>74</v>
      </c>
      <c r="B17" s="16">
        <f>B6/B3</f>
        <v>0.29244689927702189</v>
      </c>
      <c r="C17" s="16">
        <f t="shared" ref="C17:E17" si="7">C6/C3</f>
        <v>0.31693427531577822</v>
      </c>
      <c r="D17" s="16">
        <f t="shared" si="7"/>
        <v>0.31975711189644063</v>
      </c>
      <c r="E17" s="16">
        <f t="shared" si="7"/>
        <v>0.32272886569837622</v>
      </c>
      <c r="F17" s="16">
        <f>AVERAGE(B17:E17)</f>
        <v>0.31296678804690425</v>
      </c>
      <c r="G17" s="16">
        <f>$F$17</f>
        <v>0.31296678804690425</v>
      </c>
      <c r="H17" s="16">
        <f t="shared" ref="H17:J17" si="8">$F$17</f>
        <v>0.31296678804690425</v>
      </c>
      <c r="I17" s="16">
        <f t="shared" si="8"/>
        <v>0.31296678804690425</v>
      </c>
      <c r="J17" s="16">
        <f t="shared" si="8"/>
        <v>0.31296678804690425</v>
      </c>
    </row>
    <row r="18" spans="1:10">
      <c r="A18" t="s">
        <v>117</v>
      </c>
      <c r="B18" s="24">
        <f>B11/B7</f>
        <v>0.13464033443851808</v>
      </c>
      <c r="C18" s="24">
        <f t="shared" ref="C18:E18" si="9">C11/C7</f>
        <v>9.0636704119850184E-2</v>
      </c>
      <c r="D18" s="24">
        <f t="shared" si="9"/>
        <v>0.1912087912087912</v>
      </c>
      <c r="E18" s="24">
        <f t="shared" si="9"/>
        <v>0.1584534938995405</v>
      </c>
      <c r="F18" s="24">
        <f>AVERAGE(B18:E18)</f>
        <v>0.14373483091667499</v>
      </c>
      <c r="G18" s="24">
        <f>$F$18</f>
        <v>0.14373483091667499</v>
      </c>
      <c r="H18" s="24">
        <f t="shared" ref="H18:J18" si="10">$F$18</f>
        <v>0.14373483091667499</v>
      </c>
      <c r="I18" s="24">
        <f t="shared" si="10"/>
        <v>0.14373483091667499</v>
      </c>
      <c r="J18" s="24">
        <f t="shared" si="10"/>
        <v>0.14373483091667499</v>
      </c>
    </row>
    <row r="38" spans="1:12" ht="28">
      <c r="A38" s="22" t="s">
        <v>67</v>
      </c>
    </row>
    <row r="39" spans="1:12">
      <c r="A39" s="20"/>
      <c r="B39" s="20"/>
      <c r="C39" s="20"/>
      <c r="D39" s="20"/>
      <c r="E39" s="20"/>
      <c r="F39" s="20"/>
      <c r="G39" s="20"/>
      <c r="H39" s="20"/>
      <c r="I39" s="20"/>
      <c r="J39" s="20"/>
      <c r="K39" s="20"/>
      <c r="L39" s="20"/>
    </row>
    <row r="40" spans="1:12">
      <c r="A40" s="20"/>
      <c r="B40" s="9" t="s">
        <v>68</v>
      </c>
    </row>
    <row r="41" spans="1:12">
      <c r="A41" s="23" t="s">
        <v>69</v>
      </c>
      <c r="B41" s="9">
        <v>2021</v>
      </c>
      <c r="C41" s="9">
        <v>2022</v>
      </c>
      <c r="D41" s="9">
        <v>2023</v>
      </c>
    </row>
    <row r="42" spans="1:12">
      <c r="A42" s="10" t="s">
        <v>56</v>
      </c>
      <c r="B42" s="10">
        <v>44538</v>
      </c>
      <c r="C42" s="10">
        <v>46710</v>
      </c>
      <c r="D42" s="10">
        <v>51217</v>
      </c>
      <c r="G42" s="20"/>
      <c r="H42" s="10"/>
      <c r="J42" s="20"/>
    </row>
    <row r="43" spans="1:12">
      <c r="A43" s="10" t="s">
        <v>57</v>
      </c>
      <c r="B43" s="10">
        <v>24576</v>
      </c>
      <c r="C43" s="10">
        <v>25231</v>
      </c>
      <c r="D43" s="10">
        <v>28925</v>
      </c>
      <c r="G43" s="20"/>
    </row>
    <row r="44" spans="1:12">
      <c r="A44" s="10" t="s">
        <v>58</v>
      </c>
      <c r="B44" s="10">
        <v>19962</v>
      </c>
      <c r="C44" s="10">
        <v>21479</v>
      </c>
      <c r="D44" s="10">
        <v>22292</v>
      </c>
      <c r="G44" s="20"/>
    </row>
    <row r="45" spans="1:12">
      <c r="A45" s="10" t="s">
        <v>59</v>
      </c>
      <c r="B45" s="10">
        <v>3114</v>
      </c>
      <c r="C45" s="10">
        <v>3850</v>
      </c>
      <c r="D45" s="10">
        <v>4060</v>
      </c>
      <c r="G45" s="20"/>
    </row>
    <row r="46" spans="1:12">
      <c r="A46" s="10" t="s">
        <v>60</v>
      </c>
      <c r="B46" s="10">
        <v>9911</v>
      </c>
      <c r="C46" s="10">
        <v>10954</v>
      </c>
      <c r="D46" s="10">
        <v>12317</v>
      </c>
      <c r="G46" s="20"/>
    </row>
    <row r="47" spans="1:12">
      <c r="A47" s="10" t="s">
        <v>61</v>
      </c>
      <c r="B47" s="10">
        <v>13025</v>
      </c>
      <c r="C47" s="10">
        <v>14804</v>
      </c>
      <c r="D47" s="10">
        <v>16377</v>
      </c>
      <c r="G47" s="20"/>
    </row>
    <row r="48" spans="1:12">
      <c r="A48" s="10" t="s">
        <v>62</v>
      </c>
      <c r="B48" s="10">
        <v>262</v>
      </c>
      <c r="C48" s="10">
        <v>205</v>
      </c>
      <c r="D48" s="10">
        <v>-6</v>
      </c>
      <c r="G48" s="20"/>
    </row>
    <row r="49" spans="1:10">
      <c r="A49" s="10" t="s">
        <v>63</v>
      </c>
      <c r="B49" s="10">
        <v>14</v>
      </c>
      <c r="C49" s="10">
        <v>-181</v>
      </c>
      <c r="D49" s="10">
        <v>-280</v>
      </c>
      <c r="G49" s="20"/>
    </row>
    <row r="50" spans="1:10">
      <c r="A50" s="10" t="s">
        <v>64</v>
      </c>
      <c r="B50" s="10">
        <v>6661</v>
      </c>
      <c r="C50" s="10">
        <v>6651</v>
      </c>
      <c r="D50" s="10">
        <v>6201</v>
      </c>
      <c r="G50" s="20"/>
    </row>
    <row r="51" spans="1:10">
      <c r="A51" s="10" t="s">
        <v>65</v>
      </c>
      <c r="B51" s="10">
        <v>934</v>
      </c>
      <c r="C51" s="10">
        <v>605</v>
      </c>
      <c r="D51" s="10">
        <v>1131</v>
      </c>
      <c r="G51" s="20"/>
    </row>
    <row r="52" spans="1:10">
      <c r="A52" s="9" t="s">
        <v>66</v>
      </c>
      <c r="B52" s="9">
        <v>5727</v>
      </c>
      <c r="C52" s="9">
        <v>6046</v>
      </c>
      <c r="D52" s="9">
        <v>5070</v>
      </c>
      <c r="G52" s="20"/>
      <c r="H52" s="9"/>
      <c r="J52" s="20"/>
    </row>
    <row r="53" spans="1:10">
      <c r="A53" s="10"/>
      <c r="B53" s="20"/>
      <c r="C53" s="20"/>
    </row>
    <row r="54" spans="1:10">
      <c r="A54" s="10"/>
      <c r="B54" s="10"/>
      <c r="C54" s="10"/>
      <c r="D54" s="20"/>
      <c r="E54" s="10"/>
      <c r="F54" s="10"/>
      <c r="G54" s="20"/>
      <c r="H54" s="10"/>
      <c r="I54" s="10"/>
      <c r="J54" s="20"/>
    </row>
    <row r="55" spans="1:10">
      <c r="A55" s="10"/>
      <c r="B55" s="10"/>
      <c r="C55" s="10"/>
      <c r="D55" s="20"/>
      <c r="E55" s="10"/>
      <c r="F55" s="10"/>
      <c r="G55" s="20"/>
      <c r="H55" s="10"/>
      <c r="I55" s="10"/>
      <c r="J55" s="20"/>
    </row>
    <row r="56" spans="1:10">
      <c r="A56" s="10"/>
      <c r="B56" s="20"/>
      <c r="C56" s="20"/>
      <c r="D56" s="20"/>
    </row>
    <row r="57" spans="1:10">
      <c r="A57" s="10" t="s">
        <v>70</v>
      </c>
      <c r="B57" s="10">
        <f>B51/B50</f>
        <v>0.14021918630836211</v>
      </c>
      <c r="C57" s="10">
        <f t="shared" ref="C57:D57" si="11">C51/C50</f>
        <v>9.0963764847391368E-2</v>
      </c>
      <c r="D57" s="10">
        <f t="shared" si="11"/>
        <v>0.18238993710691823</v>
      </c>
      <c r="E57" s="20"/>
      <c r="F57" s="10"/>
      <c r="G57" s="20"/>
    </row>
    <row r="58" spans="1:10">
      <c r="A58" s="10"/>
      <c r="B58" s="10"/>
      <c r="C58" s="20"/>
      <c r="D58" s="10"/>
      <c r="E58" s="20"/>
      <c r="F58" s="21"/>
    </row>
  </sheetData>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75A0A-A1F6-654C-9CEA-8D928DAA24DB}">
  <dimension ref="A1:I85"/>
  <sheetViews>
    <sheetView topLeftCell="A23" zoomScale="125" workbookViewId="0">
      <selection activeCell="A40" sqref="A40"/>
    </sheetView>
  </sheetViews>
  <sheetFormatPr baseColWidth="10" defaultRowHeight="16"/>
  <cols>
    <col min="1" max="1" width="66.33203125" customWidth="1"/>
    <col min="2" max="5" width="13.1640625" bestFit="1" customWidth="1"/>
  </cols>
  <sheetData>
    <row r="1" spans="1:9">
      <c r="B1" s="8"/>
      <c r="C1" s="8"/>
      <c r="D1" s="8"/>
      <c r="E1" s="8"/>
      <c r="F1" s="8"/>
      <c r="G1" s="8"/>
      <c r="H1" s="8"/>
      <c r="I1" s="8"/>
    </row>
    <row r="2" spans="1:9">
      <c r="E2" s="9"/>
    </row>
    <row r="3" spans="1:9">
      <c r="A3" t="s">
        <v>39</v>
      </c>
      <c r="C3" s="9"/>
      <c r="E3" s="9"/>
      <c r="F3" s="9"/>
    </row>
    <row r="4" spans="1:9">
      <c r="B4" t="s">
        <v>3</v>
      </c>
      <c r="C4" t="s">
        <v>2</v>
      </c>
      <c r="D4" t="s">
        <v>1</v>
      </c>
      <c r="E4" t="s">
        <v>0</v>
      </c>
    </row>
    <row r="5" spans="1:9">
      <c r="B5" s="10"/>
      <c r="C5" s="10"/>
      <c r="D5" s="10"/>
      <c r="E5" s="10"/>
      <c r="G5" s="8"/>
    </row>
    <row r="6" spans="1:9">
      <c r="C6" s="8"/>
      <c r="D6" s="8"/>
      <c r="E6" s="8"/>
    </row>
    <row r="7" spans="1:9">
      <c r="B7" s="8"/>
      <c r="C7" s="10"/>
      <c r="D7" s="8"/>
      <c r="E7" s="10"/>
    </row>
    <row r="8" spans="1:9">
      <c r="B8" s="8"/>
      <c r="C8" s="10"/>
      <c r="D8" s="8"/>
      <c r="E8" s="10"/>
    </row>
    <row r="9" spans="1:9">
      <c r="A9" t="s">
        <v>19</v>
      </c>
      <c r="B9" s="6">
        <v>6657000</v>
      </c>
      <c r="C9" s="6">
        <v>5188000</v>
      </c>
      <c r="D9" s="6">
        <v>5841000</v>
      </c>
      <c r="E9" s="6">
        <v>7429000</v>
      </c>
    </row>
    <row r="10" spans="1:9">
      <c r="A10" t="s">
        <v>20</v>
      </c>
      <c r="B10" s="6">
        <v>6657000</v>
      </c>
      <c r="C10" s="6">
        <v>5188000</v>
      </c>
      <c r="D10" s="6">
        <v>5841000</v>
      </c>
      <c r="E10" s="6">
        <v>7429000</v>
      </c>
    </row>
    <row r="11" spans="1:9">
      <c r="A11" t="s">
        <v>21</v>
      </c>
      <c r="B11" s="6">
        <v>5727000</v>
      </c>
      <c r="C11" s="6">
        <v>6046000</v>
      </c>
      <c r="D11" s="6">
        <v>5070000</v>
      </c>
      <c r="E11" s="6">
        <v>5700000</v>
      </c>
    </row>
    <row r="12" spans="1:9">
      <c r="A12" t="s">
        <v>22</v>
      </c>
      <c r="B12" s="6">
        <v>-138000</v>
      </c>
      <c r="C12" s="6">
        <v>-26000</v>
      </c>
      <c r="D12" s="6">
        <v>-213000</v>
      </c>
      <c r="E12" s="6">
        <v>-138000</v>
      </c>
    </row>
    <row r="13" spans="1:9">
      <c r="A13" t="s">
        <v>23</v>
      </c>
      <c r="B13" s="6">
        <v>797000</v>
      </c>
      <c r="C13" s="6">
        <v>840000</v>
      </c>
      <c r="D13" s="6">
        <v>859000</v>
      </c>
      <c r="E13" s="6">
        <v>844000</v>
      </c>
    </row>
    <row r="14" spans="1:9">
      <c r="A14" t="s">
        <v>24</v>
      </c>
      <c r="B14" s="6">
        <v>-385000</v>
      </c>
      <c r="C14" s="6">
        <v>-650000</v>
      </c>
      <c r="D14" s="6">
        <v>-117000</v>
      </c>
      <c r="E14" s="6">
        <v>-497000</v>
      </c>
    </row>
    <row r="15" spans="1:9">
      <c r="A15" t="s">
        <v>25</v>
      </c>
      <c r="B15" s="6">
        <v>611000</v>
      </c>
      <c r="C15" s="6">
        <v>638000</v>
      </c>
      <c r="D15" s="6">
        <v>755000</v>
      </c>
      <c r="E15" s="6">
        <v>804000</v>
      </c>
      <c r="G15" s="8"/>
    </row>
    <row r="16" spans="1:9">
      <c r="A16" t="s">
        <v>26</v>
      </c>
      <c r="B16" s="6">
        <v>45000</v>
      </c>
      <c r="C16" s="6">
        <v>-1660000</v>
      </c>
      <c r="D16" s="6">
        <v>-513000</v>
      </c>
      <c r="E16" s="6">
        <v>716000</v>
      </c>
    </row>
    <row r="17" spans="1:5">
      <c r="A17" s="6"/>
    </row>
    <row r="18" spans="1:5">
      <c r="A18" t="s">
        <v>27</v>
      </c>
      <c r="B18" s="6">
        <v>-3800000</v>
      </c>
      <c r="C18" s="6">
        <v>-1524000</v>
      </c>
      <c r="D18" s="6">
        <v>564000</v>
      </c>
      <c r="E18" s="6">
        <v>894000</v>
      </c>
    </row>
    <row r="19" spans="1:5">
      <c r="A19" t="s">
        <v>28</v>
      </c>
      <c r="B19" s="6">
        <v>-695000</v>
      </c>
      <c r="C19" s="6">
        <v>-758000</v>
      </c>
      <c r="D19" s="6">
        <v>-969000</v>
      </c>
      <c r="E19" s="6">
        <v>-812000</v>
      </c>
    </row>
    <row r="20" spans="1:5">
      <c r="A20" t="s">
        <v>29</v>
      </c>
      <c r="B20" s="6">
        <v>-3276000</v>
      </c>
      <c r="C20" s="6">
        <v>-747000</v>
      </c>
      <c r="D20" s="6">
        <v>1481000</v>
      </c>
      <c r="E20" s="6">
        <v>1721000</v>
      </c>
    </row>
    <row r="21" spans="1:5">
      <c r="B21" s="6"/>
      <c r="C21" s="6"/>
      <c r="D21" s="6"/>
      <c r="E21" s="6"/>
    </row>
    <row r="22" spans="1:5">
      <c r="A22" t="s">
        <v>30</v>
      </c>
      <c r="B22" s="6">
        <v>-1459000</v>
      </c>
      <c r="C22" s="6">
        <v>-4836000</v>
      </c>
      <c r="D22" s="6">
        <v>-7447000</v>
      </c>
      <c r="E22" s="6">
        <v>-5888000</v>
      </c>
    </row>
    <row r="23" spans="1:5">
      <c r="A23" s="6"/>
    </row>
    <row r="24" spans="1:5">
      <c r="A24" s="6"/>
    </row>
    <row r="25" spans="1:5">
      <c r="A25" s="6"/>
    </row>
    <row r="26" spans="1:5">
      <c r="A26" s="6"/>
    </row>
    <row r="27" spans="1:5">
      <c r="A27" s="6"/>
    </row>
    <row r="29" spans="1:5">
      <c r="A29" t="s">
        <v>31</v>
      </c>
    </row>
    <row r="30" spans="1:5">
      <c r="A30" s="6">
        <v>9860000</v>
      </c>
    </row>
    <row r="31" spans="1:5">
      <c r="A31" s="6">
        <v>9860000</v>
      </c>
    </row>
    <row r="32" spans="1:5">
      <c r="A32" s="6">
        <v>7441000</v>
      </c>
    </row>
    <row r="33" spans="1:1">
      <c r="A33" s="6">
        <v>8574000</v>
      </c>
    </row>
    <row r="34" spans="1:1">
      <c r="A34" s="6">
        <v>9889000</v>
      </c>
    </row>
    <row r="35" spans="1:1">
      <c r="A35" t="s">
        <v>17</v>
      </c>
    </row>
    <row r="36" spans="1:1">
      <c r="A36" t="s">
        <v>32</v>
      </c>
    </row>
    <row r="37" spans="1:1">
      <c r="A37" s="6">
        <v>1299000</v>
      </c>
    </row>
    <row r="38" spans="1:1">
      <c r="A38" s="6">
        <v>1299000</v>
      </c>
    </row>
    <row r="39" spans="1:1">
      <c r="A39" s="6">
        <v>1517000</v>
      </c>
    </row>
    <row r="40" spans="1:1">
      <c r="A40" s="6">
        <v>1231000</v>
      </c>
    </row>
    <row r="41" spans="1:1">
      <c r="A41" s="6">
        <v>1177000</v>
      </c>
    </row>
    <row r="42" spans="1:1">
      <c r="A42" t="s">
        <v>17</v>
      </c>
    </row>
    <row r="43" spans="1:1">
      <c r="A43" t="s">
        <v>33</v>
      </c>
    </row>
    <row r="44" spans="1:1">
      <c r="A44" s="6">
        <v>381000</v>
      </c>
    </row>
    <row r="45" spans="1:1">
      <c r="A45" s="6">
        <v>381000</v>
      </c>
    </row>
    <row r="46" spans="1:1">
      <c r="A46" s="6">
        <v>347000</v>
      </c>
    </row>
    <row r="47" spans="1:1">
      <c r="A47" s="6">
        <v>290000</v>
      </c>
    </row>
    <row r="48" spans="1:1">
      <c r="A48" s="6">
        <v>293000</v>
      </c>
    </row>
    <row r="49" spans="1:1">
      <c r="A49" t="s">
        <v>17</v>
      </c>
    </row>
    <row r="50" spans="1:1">
      <c r="A50" t="s">
        <v>34</v>
      </c>
    </row>
    <row r="51" spans="1:1">
      <c r="A51" s="6">
        <v>-812000</v>
      </c>
    </row>
    <row r="52" spans="1:1">
      <c r="A52" s="6">
        <v>-812000</v>
      </c>
    </row>
    <row r="53" spans="1:1">
      <c r="A53" s="6">
        <v>-969000</v>
      </c>
    </row>
    <row r="54" spans="1:1">
      <c r="A54" s="6">
        <v>-758000</v>
      </c>
    </row>
    <row r="55" spans="1:1">
      <c r="A55" s="6">
        <v>-695000</v>
      </c>
    </row>
    <row r="56" spans="1:1">
      <c r="A56" t="s">
        <v>17</v>
      </c>
    </row>
    <row r="57" spans="1:1">
      <c r="A57" t="s">
        <v>35</v>
      </c>
    </row>
    <row r="58" spans="1:1">
      <c r="A58" t="s">
        <v>17</v>
      </c>
    </row>
    <row r="59" spans="1:1">
      <c r="A59" t="s">
        <v>17</v>
      </c>
    </row>
    <row r="60" spans="1:1">
      <c r="A60" t="s">
        <v>17</v>
      </c>
    </row>
    <row r="61" spans="1:1">
      <c r="A61" t="s">
        <v>17</v>
      </c>
    </row>
    <row r="62" spans="1:1">
      <c r="A62" t="s">
        <v>17</v>
      </c>
    </row>
    <row r="63" spans="1:1">
      <c r="A63" s="6">
        <v>6134000</v>
      </c>
    </row>
    <row r="64" spans="1:1">
      <c r="A64" t="s">
        <v>36</v>
      </c>
    </row>
    <row r="65" spans="1:1">
      <c r="A65" t="s">
        <v>17</v>
      </c>
    </row>
    <row r="66" spans="1:1">
      <c r="A66" t="s">
        <v>17</v>
      </c>
    </row>
    <row r="67" spans="1:1">
      <c r="A67" s="6">
        <v>-500000</v>
      </c>
    </row>
    <row r="68" spans="1:1">
      <c r="A68" t="s">
        <v>17</v>
      </c>
    </row>
    <row r="69" spans="1:1">
      <c r="A69" s="6">
        <v>-197000</v>
      </c>
    </row>
    <row r="70" spans="1:1">
      <c r="A70" t="s">
        <v>17</v>
      </c>
    </row>
    <row r="71" spans="1:1">
      <c r="A71" t="s">
        <v>37</v>
      </c>
    </row>
    <row r="72" spans="1:1">
      <c r="A72" s="6">
        <v>-4250000</v>
      </c>
    </row>
    <row r="73" spans="1:1">
      <c r="A73" s="6">
        <v>-4250000</v>
      </c>
    </row>
    <row r="74" spans="1:1">
      <c r="A74" s="6">
        <v>-5480000</v>
      </c>
    </row>
    <row r="75" spans="1:1">
      <c r="A75" s="6">
        <v>-4014000</v>
      </c>
    </row>
    <row r="76" spans="1:1">
      <c r="A76" s="6">
        <v>-608000</v>
      </c>
    </row>
    <row r="77" spans="1:1">
      <c r="A77" t="s">
        <v>17</v>
      </c>
    </row>
    <row r="78" spans="1:1">
      <c r="A78" t="s">
        <v>38</v>
      </c>
    </row>
    <row r="79" spans="1:1">
      <c r="A79" s="6">
        <v>6617000</v>
      </c>
    </row>
    <row r="80" spans="1:1">
      <c r="A80" s="6">
        <v>6617000</v>
      </c>
    </row>
    <row r="81" spans="1:1">
      <c r="A81" s="6">
        <v>4872000</v>
      </c>
    </row>
    <row r="82" spans="1:1">
      <c r="A82" s="6">
        <v>4430000</v>
      </c>
    </row>
    <row r="83" spans="1:1">
      <c r="A83" s="6">
        <v>5962000</v>
      </c>
    </row>
    <row r="85" spans="1:1" ht="19">
      <c r="A85"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9CBC8-A5C9-3548-AE0A-31CBE2B96A49}">
  <dimension ref="A1:J9"/>
  <sheetViews>
    <sheetView workbookViewId="0">
      <selection activeCell="L16" sqref="L16"/>
    </sheetView>
  </sheetViews>
  <sheetFormatPr baseColWidth="10" defaultRowHeight="16"/>
  <cols>
    <col min="1" max="1" width="19.83203125" bestFit="1" customWidth="1"/>
  </cols>
  <sheetData>
    <row r="1" spans="1:10">
      <c r="A1" t="s">
        <v>76</v>
      </c>
    </row>
    <row r="2" spans="1:10">
      <c r="A2" t="s">
        <v>77</v>
      </c>
      <c r="B2">
        <v>2021</v>
      </c>
      <c r="C2">
        <v>2022</v>
      </c>
      <c r="D2">
        <v>2023</v>
      </c>
      <c r="E2">
        <v>2024</v>
      </c>
      <c r="F2" t="s">
        <v>44</v>
      </c>
      <c r="G2" t="s">
        <v>45</v>
      </c>
      <c r="H2" t="s">
        <v>46</v>
      </c>
      <c r="I2" t="s">
        <v>47</v>
      </c>
      <c r="J2" t="s">
        <v>48</v>
      </c>
    </row>
    <row r="3" spans="1:10">
      <c r="A3" t="s">
        <v>78</v>
      </c>
      <c r="C3" s="6">
        <f>'Balance Sheet'!B10</f>
        <v>8017000</v>
      </c>
      <c r="D3" s="6">
        <f>'Balance Sheet'!C10</f>
        <v>7717000</v>
      </c>
      <c r="E3" s="6">
        <f>'Balance Sheet'!D10</f>
        <v>8004000</v>
      </c>
      <c r="F3" s="6">
        <f>E6</f>
        <v>7972000</v>
      </c>
      <c r="G3" s="6">
        <f t="shared" ref="G3:J3" si="0">F6</f>
        <v>7972074.346714275</v>
      </c>
      <c r="H3" s="6">
        <f t="shared" si="0"/>
        <v>7972148.6941219056</v>
      </c>
      <c r="I3" s="6">
        <f t="shared" si="0"/>
        <v>7972223.0422228985</v>
      </c>
      <c r="J3" s="6">
        <f t="shared" si="0"/>
        <v>7972297.39101726</v>
      </c>
    </row>
    <row r="4" spans="1:10">
      <c r="A4" t="s">
        <v>54</v>
      </c>
      <c r="C4" s="6">
        <f>-Sheet2!C13</f>
        <v>-840000</v>
      </c>
      <c r="D4" s="6">
        <f>-Sheet2!D13</f>
        <v>-859000</v>
      </c>
      <c r="E4" s="6">
        <f>-Sheet2!E13</f>
        <v>-844000</v>
      </c>
      <c r="F4" s="6">
        <f>F3*F8</f>
        <v>-854431.81383032829</v>
      </c>
      <c r="G4" s="6">
        <f t="shared" ref="G4:J4" si="1">G3*G8</f>
        <v>-854439.78224451933</v>
      </c>
      <c r="H4" s="6">
        <f t="shared" si="1"/>
        <v>-854447.75073302351</v>
      </c>
      <c r="I4" s="6">
        <f t="shared" si="1"/>
        <v>-854455.71929584164</v>
      </c>
      <c r="J4" s="6">
        <f t="shared" si="1"/>
        <v>-854463.68793297443</v>
      </c>
    </row>
    <row r="5" spans="1:10">
      <c r="A5" t="s">
        <v>79</v>
      </c>
      <c r="C5" s="6">
        <f>-Sheet2!C19</f>
        <v>758000</v>
      </c>
      <c r="D5" s="6">
        <f>-Sheet2!D19</f>
        <v>969000</v>
      </c>
      <c r="E5" s="6">
        <f>-Sheet2!E19</f>
        <v>812000</v>
      </c>
      <c r="F5" s="6">
        <f>F3*F9</f>
        <v>854506.16054460302</v>
      </c>
      <c r="G5" s="6">
        <f t="shared" ref="G5:J5" si="2">G3*G9</f>
        <v>854514.12965214986</v>
      </c>
      <c r="H5" s="6">
        <f t="shared" si="2"/>
        <v>854522.09883401659</v>
      </c>
      <c r="I5" s="6">
        <f t="shared" si="2"/>
        <v>854530.06809020357</v>
      </c>
      <c r="J5" s="6">
        <f t="shared" si="2"/>
        <v>854538.03742071171</v>
      </c>
    </row>
    <row r="6" spans="1:10">
      <c r="A6" s="14" t="s">
        <v>80</v>
      </c>
      <c r="C6" s="6">
        <f>SUM(C3:C5)</f>
        <v>7935000</v>
      </c>
      <c r="D6" s="6">
        <f t="shared" ref="D6:E6" si="3">SUM(D3:D5)</f>
        <v>7827000</v>
      </c>
      <c r="E6" s="6">
        <f t="shared" si="3"/>
        <v>7972000</v>
      </c>
      <c r="F6" s="6">
        <f>SUM(F3:F5)</f>
        <v>7972074.346714275</v>
      </c>
      <c r="G6" s="6">
        <f>SUM(G3:G5)</f>
        <v>7972148.6941219056</v>
      </c>
      <c r="H6" s="6">
        <f t="shared" ref="H6:J6" si="4">SUM(H3:H5)</f>
        <v>7972223.0422228985</v>
      </c>
      <c r="I6" s="6">
        <f t="shared" si="4"/>
        <v>7972297.39101726</v>
      </c>
      <c r="J6" s="6">
        <f t="shared" si="4"/>
        <v>7972371.7405049969</v>
      </c>
    </row>
    <row r="8" spans="1:10">
      <c r="A8" t="s">
        <v>115</v>
      </c>
      <c r="C8" s="24">
        <f>C4/C3</f>
        <v>-0.10477734813521267</v>
      </c>
      <c r="D8" s="24">
        <f t="shared" ref="D8:E8" si="5">D4/D3</f>
        <v>-0.11131268627705067</v>
      </c>
      <c r="E8" s="24">
        <f t="shared" si="5"/>
        <v>-0.1054472763618191</v>
      </c>
      <c r="F8" s="24">
        <f>AVERAGE(C8:E8)</f>
        <v>-0.10717910359136081</v>
      </c>
      <c r="G8" s="24">
        <f>$F$8</f>
        <v>-0.10717910359136081</v>
      </c>
      <c r="H8" s="24">
        <f t="shared" ref="H8:J8" si="6">$F$8</f>
        <v>-0.10717910359136081</v>
      </c>
      <c r="I8" s="24">
        <f t="shared" si="6"/>
        <v>-0.10717910359136081</v>
      </c>
      <c r="J8" s="24">
        <f t="shared" si="6"/>
        <v>-0.10717910359136081</v>
      </c>
    </row>
    <row r="9" spans="1:10">
      <c r="A9" t="s">
        <v>116</v>
      </c>
      <c r="C9" s="24">
        <f>C5/C3</f>
        <v>9.454908319820382E-2</v>
      </c>
      <c r="D9" s="24">
        <f t="shared" ref="D9:E9" si="7">D5/D3</f>
        <v>0.125566930154205</v>
      </c>
      <c r="E9" s="24">
        <f t="shared" si="7"/>
        <v>0.10144927536231885</v>
      </c>
      <c r="F9" s="24">
        <f>AVERAGE(C9:E9)</f>
        <v>0.10718842957157589</v>
      </c>
      <c r="G9" s="24">
        <f>$F$9</f>
        <v>0.10718842957157589</v>
      </c>
      <c r="H9" s="24">
        <f>$G$9</f>
        <v>0.10718842957157589</v>
      </c>
      <c r="I9" s="24">
        <f t="shared" ref="I9:J9" si="8">$G$9</f>
        <v>0.10718842957157589</v>
      </c>
      <c r="J9" s="24">
        <f t="shared" si="8"/>
        <v>0.10718842957157589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335AB-AEE6-084D-B871-4FE5DCA5AB56}">
  <dimension ref="A1:J41"/>
  <sheetViews>
    <sheetView tabSelected="1" topLeftCell="A6" workbookViewId="0">
      <selection activeCell="A29" sqref="A29"/>
    </sheetView>
  </sheetViews>
  <sheetFormatPr baseColWidth="10" defaultRowHeight="16"/>
  <cols>
    <col min="1" max="1" width="61" bestFit="1" customWidth="1"/>
    <col min="2" max="4" width="13.1640625" bestFit="1" customWidth="1"/>
    <col min="5" max="5" width="15.1640625" bestFit="1" customWidth="1"/>
    <col min="6" max="10" width="12.1640625" bestFit="1" customWidth="1"/>
  </cols>
  <sheetData>
    <row r="1" spans="1:10" ht="18">
      <c r="A1" s="26" t="s">
        <v>81</v>
      </c>
    </row>
    <row r="2" spans="1:10" ht="18">
      <c r="B2" s="26" t="s">
        <v>3</v>
      </c>
      <c r="C2" s="26" t="s">
        <v>2</v>
      </c>
      <c r="D2" s="26" t="s">
        <v>1</v>
      </c>
      <c r="E2" s="26" t="s">
        <v>0</v>
      </c>
      <c r="F2" s="26" t="s">
        <v>11</v>
      </c>
      <c r="G2" s="26" t="s">
        <v>12</v>
      </c>
      <c r="H2" s="26" t="s">
        <v>13</v>
      </c>
      <c r="I2" s="26" t="s">
        <v>14</v>
      </c>
      <c r="J2" s="26" t="s">
        <v>41</v>
      </c>
    </row>
    <row r="6" spans="1:10" ht="18">
      <c r="A6" s="26"/>
    </row>
    <row r="7" spans="1:10" ht="18">
      <c r="A7" s="26" t="s">
        <v>82</v>
      </c>
      <c r="B7" s="27">
        <v>37740000</v>
      </c>
      <c r="C7" s="27">
        <v>40321000</v>
      </c>
      <c r="D7" s="27">
        <v>37531000</v>
      </c>
      <c r="E7" s="27">
        <v>38110000</v>
      </c>
    </row>
    <row r="8" spans="1:10" ht="18">
      <c r="A8" s="26" t="s">
        <v>83</v>
      </c>
      <c r="B8" s="27">
        <v>26291000</v>
      </c>
      <c r="C8" s="27">
        <v>28213000</v>
      </c>
      <c r="D8" s="27">
        <v>25202000</v>
      </c>
      <c r="E8" s="27">
        <v>25382000</v>
      </c>
    </row>
    <row r="9" spans="1:10" ht="18">
      <c r="A9" s="26" t="s">
        <v>84</v>
      </c>
      <c r="B9" s="27">
        <v>11449000</v>
      </c>
      <c r="C9" s="27">
        <v>12108000</v>
      </c>
      <c r="D9" s="27">
        <v>12329000</v>
      </c>
      <c r="E9" s="27">
        <v>12728000</v>
      </c>
    </row>
    <row r="10" spans="1:10" ht="18">
      <c r="A10" s="26" t="s">
        <v>85</v>
      </c>
      <c r="B10" s="27">
        <v>8017000</v>
      </c>
      <c r="C10" s="27">
        <v>7717000</v>
      </c>
      <c r="D10" s="27">
        <v>8004000</v>
      </c>
      <c r="E10" s="27">
        <v>7718000</v>
      </c>
    </row>
    <row r="11" spans="1:10" ht="18">
      <c r="A11" s="26" t="s">
        <v>86</v>
      </c>
      <c r="B11" s="27">
        <v>13174000</v>
      </c>
      <c r="C11" s="27">
        <v>13023000</v>
      </c>
      <c r="D11" s="27">
        <v>13638000</v>
      </c>
      <c r="E11" s="27">
        <v>13632000</v>
      </c>
    </row>
    <row r="12" spans="1:10" ht="18">
      <c r="A12" s="26" t="s">
        <v>87</v>
      </c>
      <c r="B12" s="27">
        <v>-5157000</v>
      </c>
      <c r="C12" s="27">
        <v>-5306000</v>
      </c>
      <c r="D12" s="27">
        <v>-5634000</v>
      </c>
      <c r="E12" s="27">
        <v>-5914000</v>
      </c>
      <c r="G12" s="6">
        <f>D12-C12</f>
        <v>-328000</v>
      </c>
    </row>
    <row r="13" spans="1:10" ht="18">
      <c r="A13" s="26" t="s">
        <v>88</v>
      </c>
      <c r="B13" s="27">
        <v>511000</v>
      </c>
      <c r="C13" s="27">
        <v>570000</v>
      </c>
      <c r="D13" s="27">
        <v>555000</v>
      </c>
      <c r="E13" s="27">
        <v>499000</v>
      </c>
    </row>
    <row r="14" spans="1:10" ht="18">
      <c r="A14" s="26" t="s">
        <v>89</v>
      </c>
      <c r="B14" s="27">
        <v>2921000</v>
      </c>
      <c r="C14" s="27">
        <v>3821000</v>
      </c>
      <c r="D14" s="26" t="s">
        <v>17</v>
      </c>
      <c r="E14" s="26" t="s">
        <v>17</v>
      </c>
    </row>
    <row r="15" spans="1:10" ht="18">
      <c r="A15" s="26" t="s">
        <v>90</v>
      </c>
      <c r="B15" s="27">
        <v>2921000</v>
      </c>
      <c r="C15" s="27">
        <v>3821000</v>
      </c>
      <c r="D15" s="27">
        <v>3770000</v>
      </c>
      <c r="E15" s="27">
        <v>4511000</v>
      </c>
    </row>
    <row r="16" spans="1:10" ht="18">
      <c r="A16" s="26"/>
      <c r="B16" s="27"/>
      <c r="C16" s="27"/>
      <c r="D16" s="27"/>
      <c r="E16" s="27"/>
    </row>
    <row r="17" spans="1:5" ht="18">
      <c r="A17" s="26" t="s">
        <v>91</v>
      </c>
      <c r="B17" s="27">
        <v>24973000</v>
      </c>
      <c r="C17" s="27">
        <v>25040000</v>
      </c>
      <c r="D17" s="27">
        <v>23527000</v>
      </c>
      <c r="E17" s="27">
        <v>23680000</v>
      </c>
    </row>
    <row r="18" spans="1:5" ht="18">
      <c r="A18" s="26" t="s">
        <v>92</v>
      </c>
      <c r="B18" s="27">
        <v>9674000</v>
      </c>
      <c r="C18" s="27">
        <v>10730000</v>
      </c>
      <c r="D18" s="27">
        <v>9256000</v>
      </c>
      <c r="E18" s="27">
        <v>10593000</v>
      </c>
    </row>
    <row r="19" spans="1:5" ht="18">
      <c r="A19" s="26" t="s">
        <v>93</v>
      </c>
      <c r="B19" s="27">
        <v>6298000</v>
      </c>
      <c r="C19" s="27">
        <v>6595000</v>
      </c>
      <c r="D19" s="27">
        <v>5542000</v>
      </c>
      <c r="E19" s="27">
        <v>5959000</v>
      </c>
    </row>
    <row r="20" spans="1:5" ht="18">
      <c r="A20" s="26" t="s">
        <v>94</v>
      </c>
      <c r="B20" s="27">
        <v>1435000</v>
      </c>
      <c r="C20" s="27">
        <v>1412000</v>
      </c>
      <c r="D20" s="27">
        <v>994000</v>
      </c>
      <c r="E20" s="27">
        <v>1282000</v>
      </c>
    </row>
    <row r="21" spans="1:5" ht="18">
      <c r="A21" s="26" t="s">
        <v>95</v>
      </c>
      <c r="B21" s="27">
        <v>1472000</v>
      </c>
      <c r="C21" s="27">
        <v>1793000</v>
      </c>
      <c r="D21" s="27">
        <v>2289000</v>
      </c>
      <c r="E21" s="27">
        <v>1869000</v>
      </c>
    </row>
    <row r="22" spans="1:5" ht="18">
      <c r="A22" s="26" t="s">
        <v>96</v>
      </c>
      <c r="B22" s="27">
        <v>469000</v>
      </c>
      <c r="C22" s="27">
        <v>930000</v>
      </c>
      <c r="D22" s="27">
        <v>431000</v>
      </c>
      <c r="E22" s="27">
        <v>1483000</v>
      </c>
    </row>
    <row r="23" spans="1:5" ht="18">
      <c r="A23" s="26" t="s">
        <v>97</v>
      </c>
      <c r="B23" s="26" t="s">
        <v>17</v>
      </c>
      <c r="C23" s="26" t="s">
        <v>17</v>
      </c>
      <c r="D23" s="26" t="s">
        <v>17</v>
      </c>
      <c r="E23" s="26" t="s">
        <v>17</v>
      </c>
    </row>
    <row r="24" spans="1:5" ht="18">
      <c r="A24" s="26" t="s">
        <v>98</v>
      </c>
      <c r="B24" s="27">
        <v>15299000</v>
      </c>
      <c r="C24" s="27">
        <v>14310000</v>
      </c>
      <c r="D24" s="27">
        <v>14271000</v>
      </c>
      <c r="E24" s="27">
        <v>13087000</v>
      </c>
    </row>
    <row r="25" spans="1:5" ht="18">
      <c r="A25" s="26" t="s">
        <v>99</v>
      </c>
      <c r="B25" s="27">
        <v>12344000</v>
      </c>
      <c r="C25" s="27">
        <v>11697000</v>
      </c>
      <c r="D25" s="27">
        <v>11713000</v>
      </c>
      <c r="E25" s="27">
        <v>10469000</v>
      </c>
    </row>
    <row r="26" spans="1:5" ht="18">
      <c r="A26" s="26" t="s">
        <v>100</v>
      </c>
      <c r="B26" s="27">
        <v>2955000</v>
      </c>
      <c r="C26" s="27">
        <v>2613000</v>
      </c>
      <c r="D26" s="26" t="s">
        <v>17</v>
      </c>
      <c r="E26" s="26" t="s">
        <v>17</v>
      </c>
    </row>
    <row r="27" spans="1:5" ht="18">
      <c r="A27" s="26" t="s">
        <v>101</v>
      </c>
      <c r="B27" s="27">
        <v>9413000</v>
      </c>
      <c r="C27" s="26" t="s">
        <v>17</v>
      </c>
      <c r="D27" s="26" t="s">
        <v>17</v>
      </c>
      <c r="E27" s="26" t="s">
        <v>17</v>
      </c>
    </row>
    <row r="28" spans="1:5" ht="18">
      <c r="A28" s="26" t="s">
        <v>102</v>
      </c>
      <c r="B28" s="27">
        <v>2955000</v>
      </c>
      <c r="C28" s="27">
        <v>2613000</v>
      </c>
      <c r="D28" s="27">
        <v>2558000</v>
      </c>
      <c r="E28" s="27">
        <v>2618000</v>
      </c>
    </row>
    <row r="29" spans="1:5" ht="18">
      <c r="A29" s="26" t="s">
        <v>103</v>
      </c>
      <c r="B29" s="27">
        <v>12767000</v>
      </c>
      <c r="C29" s="27">
        <v>15281000</v>
      </c>
      <c r="D29" s="27">
        <v>14004000</v>
      </c>
      <c r="E29" s="27">
        <v>14430000</v>
      </c>
    </row>
    <row r="30" spans="1:5" ht="18">
      <c r="A30" s="26" t="s">
        <v>104</v>
      </c>
      <c r="B30" s="27">
        <v>22180000</v>
      </c>
      <c r="C30" s="27">
        <v>24201000</v>
      </c>
      <c r="D30" s="27">
        <v>22931000</v>
      </c>
      <c r="E30" s="27">
        <v>22333000</v>
      </c>
    </row>
    <row r="31" spans="1:5" ht="20" customHeight="1">
      <c r="A31" s="26" t="s">
        <v>105</v>
      </c>
      <c r="B31" s="27">
        <v>12767000</v>
      </c>
      <c r="C31" s="27">
        <v>15281000</v>
      </c>
      <c r="D31" s="27">
        <v>14004000</v>
      </c>
      <c r="E31" s="27">
        <v>14430000</v>
      </c>
    </row>
    <row r="32" spans="1:5" ht="20" customHeight="1">
      <c r="A32" s="26"/>
      <c r="B32" s="27"/>
      <c r="C32" s="27"/>
      <c r="D32" s="27"/>
      <c r="E32" s="27"/>
    </row>
    <row r="33" spans="1:5" ht="18">
      <c r="A33" s="26" t="s">
        <v>106</v>
      </c>
      <c r="B33" s="27">
        <v>3398000</v>
      </c>
      <c r="C33" s="27">
        <v>3197000</v>
      </c>
      <c r="D33" s="27">
        <v>3211000</v>
      </c>
      <c r="E33" s="27">
        <v>3043000</v>
      </c>
    </row>
    <row r="34" spans="1:5" ht="18">
      <c r="A34" s="26" t="s">
        <v>107</v>
      </c>
      <c r="B34" s="27">
        <v>12256000</v>
      </c>
      <c r="C34" s="27">
        <v>14711000</v>
      </c>
      <c r="D34" s="27">
        <v>13449000</v>
      </c>
      <c r="E34" s="27">
        <v>13931000</v>
      </c>
    </row>
    <row r="35" spans="1:5" ht="18">
      <c r="A35" s="26" t="s">
        <v>108</v>
      </c>
      <c r="B35" s="27">
        <v>16617000</v>
      </c>
      <c r="C35" s="27">
        <v>17483000</v>
      </c>
      <c r="D35" s="27">
        <v>15946000</v>
      </c>
      <c r="E35" s="27">
        <v>14789000</v>
      </c>
    </row>
    <row r="36" spans="1:5" ht="18">
      <c r="A36" s="26" t="s">
        <v>109</v>
      </c>
      <c r="B36" s="27">
        <v>22182000</v>
      </c>
      <c r="C36" s="27">
        <v>24711000</v>
      </c>
      <c r="D36" s="27">
        <v>22937000</v>
      </c>
      <c r="E36" s="27">
        <v>23339000</v>
      </c>
    </row>
    <row r="37" spans="1:5" ht="18">
      <c r="A37" s="26" t="s">
        <v>110</v>
      </c>
      <c r="B37" s="27">
        <v>12256000</v>
      </c>
      <c r="C37" s="27">
        <v>14711000</v>
      </c>
      <c r="D37" s="27">
        <v>13449000</v>
      </c>
      <c r="E37" s="27">
        <v>13931000</v>
      </c>
    </row>
    <row r="38" spans="1:5" ht="18">
      <c r="A38" s="26" t="s">
        <v>111</v>
      </c>
      <c r="B38" s="27">
        <v>12813000</v>
      </c>
      <c r="C38" s="27">
        <v>12627000</v>
      </c>
      <c r="D38" s="27">
        <v>12144000</v>
      </c>
      <c r="E38" s="27">
        <v>11952000</v>
      </c>
    </row>
    <row r="39" spans="1:5" ht="18">
      <c r="A39" s="26" t="s">
        <v>112</v>
      </c>
      <c r="B39" s="26" t="s">
        <v>17</v>
      </c>
      <c r="C39" s="27">
        <v>856000</v>
      </c>
      <c r="D39" s="27">
        <v>1492000</v>
      </c>
      <c r="E39" s="26" t="s">
        <v>17</v>
      </c>
    </row>
    <row r="40" spans="1:5" ht="18">
      <c r="A40" s="26" t="s">
        <v>113</v>
      </c>
      <c r="B40" s="27">
        <v>1578000</v>
      </c>
      <c r="C40" s="27">
        <v>1571000</v>
      </c>
      <c r="D40" s="27">
        <v>1532000</v>
      </c>
      <c r="E40" s="28">
        <v>1510897.25</v>
      </c>
    </row>
    <row r="41" spans="1:5" ht="18">
      <c r="A41" s="26" t="s">
        <v>114</v>
      </c>
      <c r="B41" s="27">
        <v>1578000</v>
      </c>
      <c r="C41" s="27">
        <v>1571000</v>
      </c>
      <c r="D41" s="27">
        <v>1532000</v>
      </c>
      <c r="E41" s="28">
        <v>1510897.25</v>
      </c>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7F204-331F-8C40-AFDC-A0229B883D23}">
  <dimension ref="A1:J23"/>
  <sheetViews>
    <sheetView workbookViewId="0">
      <selection activeCell="E13" sqref="E13"/>
    </sheetView>
  </sheetViews>
  <sheetFormatPr baseColWidth="10" defaultRowHeight="16"/>
  <cols>
    <col min="1" max="1" width="61" bestFit="1" customWidth="1"/>
    <col min="2" max="10" width="14.83203125" bestFit="1" customWidth="1"/>
  </cols>
  <sheetData>
    <row r="1" spans="1:10" ht="18">
      <c r="B1" s="26" t="s">
        <v>3</v>
      </c>
      <c r="C1" s="26" t="s">
        <v>2</v>
      </c>
      <c r="D1" s="26" t="s">
        <v>1</v>
      </c>
      <c r="E1" s="26" t="s">
        <v>0</v>
      </c>
      <c r="F1" s="26" t="s">
        <v>11</v>
      </c>
      <c r="G1" s="26" t="s">
        <v>12</v>
      </c>
      <c r="H1" s="26" t="s">
        <v>13</v>
      </c>
      <c r="I1" s="26" t="s">
        <v>14</v>
      </c>
      <c r="J1" s="26" t="s">
        <v>41</v>
      </c>
    </row>
    <row r="2" spans="1:10" ht="19">
      <c r="A2" s="26" t="s">
        <v>121</v>
      </c>
      <c r="B2" s="27">
        <v>4427000</v>
      </c>
      <c r="C2" s="27">
        <v>4131000</v>
      </c>
      <c r="D2" s="27">
        <v>4667000</v>
      </c>
      <c r="E2" s="27">
        <v>4463000</v>
      </c>
      <c r="F2" s="33">
        <f>F17*F14/365</f>
        <v>5026572.739133928</v>
      </c>
      <c r="G2" s="33">
        <f t="shared" ref="G2:J2" si="0">G17*G14/365</f>
        <v>5303034.2397862934</v>
      </c>
      <c r="H2" s="33">
        <f t="shared" si="0"/>
        <v>5564805.1092444751</v>
      </c>
      <c r="I2" s="33">
        <f t="shared" si="0"/>
        <v>5839497.6354369838</v>
      </c>
      <c r="J2" s="33">
        <f t="shared" si="0"/>
        <v>6127749.6632588776</v>
      </c>
    </row>
    <row r="3" spans="1:10" ht="19">
      <c r="A3" s="26" t="s">
        <v>122</v>
      </c>
      <c r="B3" s="27">
        <v>7519000</v>
      </c>
      <c r="C3" s="27">
        <v>8454000</v>
      </c>
      <c r="D3" s="27">
        <v>8420000</v>
      </c>
      <c r="E3" s="27">
        <v>6854000</v>
      </c>
      <c r="F3" s="33">
        <f>F18*F14/365</f>
        <v>8898345.0228270609</v>
      </c>
      <c r="G3" s="33">
        <f t="shared" ref="G3:J3" si="1">G18*G14/365</f>
        <v>9387753.9990825485</v>
      </c>
      <c r="H3" s="33">
        <f t="shared" si="1"/>
        <v>9851156.7258012053</v>
      </c>
      <c r="I3" s="33">
        <f t="shared" si="1"/>
        <v>10337434.155793006</v>
      </c>
      <c r="J3" s="33">
        <f t="shared" si="1"/>
        <v>10847715.44091586</v>
      </c>
    </row>
    <row r="4" spans="1:10" ht="19">
      <c r="A4" s="26" t="s">
        <v>123</v>
      </c>
      <c r="B4" s="26">
        <v>0</v>
      </c>
      <c r="C4" s="26">
        <v>0</v>
      </c>
      <c r="D4" s="27">
        <v>2129000</v>
      </c>
      <c r="E4" s="27">
        <v>1498000</v>
      </c>
      <c r="F4" s="33">
        <f>F21*F14</f>
        <v>1943669.6553878596</v>
      </c>
      <c r="G4" s="33">
        <f t="shared" ref="G4:J4" si="2">G21*G14</f>
        <v>2050571.4864341917</v>
      </c>
      <c r="H4" s="33">
        <f t="shared" si="2"/>
        <v>2151792.7602594323</v>
      </c>
      <c r="I4" s="33">
        <f t="shared" si="2"/>
        <v>2258010.5661941785</v>
      </c>
      <c r="J4" s="33">
        <f t="shared" si="2"/>
        <v>2369471.5454056258</v>
      </c>
    </row>
    <row r="5" spans="1:10" ht="19">
      <c r="A5" s="26" t="s">
        <v>124</v>
      </c>
      <c r="B5" s="27">
        <v>1854000</v>
      </c>
      <c r="C5" s="27">
        <v>1942000</v>
      </c>
      <c r="D5" s="27">
        <v>2129000</v>
      </c>
      <c r="E5" s="27">
        <v>1498000</v>
      </c>
      <c r="F5" s="33">
        <f>F22*F14</f>
        <v>2114989.4610368703</v>
      </c>
      <c r="G5" s="33">
        <f t="shared" ref="G5:J5" si="3">G22*G14</f>
        <v>2231313.8813938978</v>
      </c>
      <c r="H5" s="33">
        <f t="shared" si="3"/>
        <v>2341457.0462983227</v>
      </c>
      <c r="I5" s="33">
        <f t="shared" si="3"/>
        <v>2457037.1498944857</v>
      </c>
      <c r="J5" s="33">
        <f t="shared" si="3"/>
        <v>2578322.57290636</v>
      </c>
    </row>
    <row r="6" spans="1:10" ht="19">
      <c r="A6" s="30" t="s">
        <v>83</v>
      </c>
      <c r="B6" s="31">
        <f>SUM(B2:B5)</f>
        <v>13800000</v>
      </c>
      <c r="C6" s="31">
        <f t="shared" ref="C6:E6" si="4">SUM(C2:C5)</f>
        <v>14527000</v>
      </c>
      <c r="D6" s="31">
        <f t="shared" si="4"/>
        <v>17345000</v>
      </c>
      <c r="E6" s="31">
        <f t="shared" si="4"/>
        <v>14313000</v>
      </c>
      <c r="F6" s="31">
        <f>SUM(F2:F5)</f>
        <v>17983576.878385719</v>
      </c>
      <c r="G6" s="31">
        <f t="shared" ref="G6:J6" si="5">SUM(G2:G5)</f>
        <v>18972673.60669693</v>
      </c>
      <c r="H6" s="31">
        <f t="shared" si="5"/>
        <v>19909211.641603433</v>
      </c>
      <c r="I6" s="31">
        <f t="shared" si="5"/>
        <v>20891979.507318657</v>
      </c>
      <c r="J6" s="31">
        <f t="shared" si="5"/>
        <v>21923259.222486723</v>
      </c>
    </row>
    <row r="9" spans="1:10" ht="18">
      <c r="A9" s="26" t="s">
        <v>93</v>
      </c>
      <c r="B9" s="27">
        <v>5959000</v>
      </c>
      <c r="C9" s="27">
        <v>5542000</v>
      </c>
      <c r="D9" s="27">
        <v>6595000</v>
      </c>
      <c r="E9" s="27">
        <v>6298000</v>
      </c>
      <c r="F9" s="27">
        <f>F19*F15/365</f>
        <v>6921167.5181085244</v>
      </c>
      <c r="G9" s="27">
        <f t="shared" ref="G9:J9" si="6">G19*G15/365</f>
        <v>7301831.7316044923</v>
      </c>
      <c r="H9" s="27">
        <f t="shared" si="6"/>
        <v>7662268.1826232364</v>
      </c>
      <c r="I9" s="27">
        <f t="shared" si="6"/>
        <v>8040496.6672026403</v>
      </c>
      <c r="J9" s="27">
        <f t="shared" si="6"/>
        <v>8437395.4440685548</v>
      </c>
    </row>
    <row r="10" spans="1:10" ht="18">
      <c r="A10" s="26" t="s">
        <v>94</v>
      </c>
      <c r="B10" s="27">
        <v>1282000</v>
      </c>
      <c r="C10" s="27">
        <v>994000</v>
      </c>
      <c r="D10" s="27">
        <v>1412000</v>
      </c>
      <c r="E10" s="27">
        <v>1435000</v>
      </c>
      <c r="F10" s="27">
        <f>F23*F14</f>
        <v>1450496.810200477</v>
      </c>
      <c r="G10" s="27">
        <f t="shared" ref="G10:J10" si="7">G23*G14</f>
        <v>1530274.1347615032</v>
      </c>
      <c r="H10" s="27">
        <f t="shared" si="7"/>
        <v>1605812.2460866205</v>
      </c>
      <c r="I10" s="27">
        <f t="shared" si="7"/>
        <v>1685079.1051785261</v>
      </c>
      <c r="J10" s="27">
        <f t="shared" si="7"/>
        <v>1768258.7722376201</v>
      </c>
    </row>
    <row r="11" spans="1:10" ht="19">
      <c r="A11" s="30" t="s">
        <v>125</v>
      </c>
      <c r="B11" s="31">
        <f>SUM(B9:B10)</f>
        <v>7241000</v>
      </c>
      <c r="C11" s="31">
        <f t="shared" ref="C11:E11" si="8">SUM(C9:C10)</f>
        <v>6536000</v>
      </c>
      <c r="D11" s="31">
        <f t="shared" si="8"/>
        <v>8007000</v>
      </c>
      <c r="E11" s="31">
        <f t="shared" si="8"/>
        <v>7733000</v>
      </c>
      <c r="F11" s="31">
        <f>SUM(F9:F10)</f>
        <v>8371664.3283090014</v>
      </c>
      <c r="G11" s="31">
        <f t="shared" ref="G11:J11" si="9">SUM(G9:G10)</f>
        <v>8832105.8663659953</v>
      </c>
      <c r="H11" s="31">
        <f t="shared" si="9"/>
        <v>9268080.4287098572</v>
      </c>
      <c r="I11" s="31">
        <f t="shared" si="9"/>
        <v>9725575.772381166</v>
      </c>
      <c r="J11" s="31">
        <f t="shared" si="9"/>
        <v>10205654.216306174</v>
      </c>
    </row>
    <row r="14" spans="1:10" ht="19">
      <c r="A14" s="32" t="s">
        <v>126</v>
      </c>
      <c r="B14" s="34">
        <f>FCF!B4</f>
        <v>44538000</v>
      </c>
      <c r="C14" s="34">
        <f>FCF!C4</f>
        <v>46710000</v>
      </c>
      <c r="D14" s="34">
        <f>FCF!D4</f>
        <v>51217000</v>
      </c>
      <c r="E14" s="34">
        <f>FCF!E4</f>
        <v>51362000</v>
      </c>
      <c r="F14" s="34">
        <f>FCF!F4</f>
        <v>54957340</v>
      </c>
      <c r="G14" s="34">
        <f>FCF!G4</f>
        <v>57979993.699999996</v>
      </c>
      <c r="H14" s="34">
        <f>FCF!H4</f>
        <v>60842029.409322619</v>
      </c>
      <c r="I14" s="34">
        <f>FCF!I4</f>
        <v>63845342.270964734</v>
      </c>
      <c r="J14" s="34">
        <f>FCF!J4</f>
        <v>66996906.074143045</v>
      </c>
    </row>
    <row r="15" spans="1:10" ht="19">
      <c r="A15" s="32" t="s">
        <v>50</v>
      </c>
      <c r="B15" s="34">
        <f>FCF!B5</f>
        <v>24576000</v>
      </c>
      <c r="C15" s="34">
        <f>FCF!C5</f>
        <v>25231000</v>
      </c>
      <c r="D15" s="34">
        <f>FCF!D5</f>
        <v>28925000</v>
      </c>
      <c r="E15" s="34">
        <f>FCF!E5</f>
        <v>28475000</v>
      </c>
      <c r="F15" s="34">
        <f>FCF!F5</f>
        <v>30379225.717146665</v>
      </c>
      <c r="G15" s="34">
        <f>FCF!G5</f>
        <v>32050083.131589729</v>
      </c>
      <c r="H15" s="34">
        <f>FCF!H5</f>
        <v>33632154.404035702</v>
      </c>
      <c r="I15" s="34">
        <f>FCF!I5</f>
        <v>35292320.622470506</v>
      </c>
      <c r="J15" s="34">
        <f>FCF!J5</f>
        <v>37034436.746335723</v>
      </c>
    </row>
    <row r="16" spans="1:10" ht="19">
      <c r="A16" s="32"/>
      <c r="B16" s="32"/>
      <c r="C16" s="32"/>
      <c r="D16" s="32"/>
      <c r="E16" s="32"/>
      <c r="F16" s="32"/>
      <c r="G16" s="32"/>
      <c r="H16" s="32"/>
      <c r="I16" s="32"/>
      <c r="J16" s="32"/>
    </row>
    <row r="17" spans="1:10" ht="19">
      <c r="A17" s="32" t="s">
        <v>128</v>
      </c>
      <c r="B17" s="32">
        <f>B2/B14*365</f>
        <v>36.280367326777132</v>
      </c>
      <c r="C17" s="32">
        <f t="shared" ref="C17:E17" si="10">C2/C14*365</f>
        <v>32.28034682080925</v>
      </c>
      <c r="D17" s="32">
        <f t="shared" si="10"/>
        <v>33.259562254720116</v>
      </c>
      <c r="E17" s="32">
        <f t="shared" si="10"/>
        <v>31.715957322534166</v>
      </c>
      <c r="F17" s="32">
        <f>AVERAGE(B17:E17)</f>
        <v>33.384058431210164</v>
      </c>
      <c r="G17" s="32">
        <f>$F$17</f>
        <v>33.384058431210164</v>
      </c>
      <c r="H17" s="32">
        <f t="shared" ref="H17:J17" si="11">$F$17</f>
        <v>33.384058431210164</v>
      </c>
      <c r="I17" s="32">
        <f t="shared" si="11"/>
        <v>33.384058431210164</v>
      </c>
      <c r="J17" s="32">
        <f t="shared" si="11"/>
        <v>33.384058431210164</v>
      </c>
    </row>
    <row r="18" spans="1:10" ht="19">
      <c r="A18" s="32" t="s">
        <v>127</v>
      </c>
      <c r="B18" s="32">
        <f>B3/B14*365</f>
        <v>61.620077237415238</v>
      </c>
      <c r="C18" s="32">
        <f t="shared" ref="C18:E18" si="12">C3/C14*365</f>
        <v>66.061014771997421</v>
      </c>
      <c r="D18" s="32">
        <f t="shared" si="12"/>
        <v>60.005466934806805</v>
      </c>
      <c r="E18" s="32">
        <f t="shared" si="12"/>
        <v>48.707410147579921</v>
      </c>
      <c r="F18" s="32">
        <f t="shared" ref="F18:F19" si="13">AVERAGE(B18:E18)</f>
        <v>59.098492272949841</v>
      </c>
      <c r="G18" s="32">
        <f>$F$18</f>
        <v>59.098492272949841</v>
      </c>
      <c r="H18" s="32">
        <f t="shared" ref="H18:J18" si="14">$F$18</f>
        <v>59.098492272949841</v>
      </c>
      <c r="I18" s="32">
        <f t="shared" si="14"/>
        <v>59.098492272949841</v>
      </c>
      <c r="J18" s="32">
        <f t="shared" si="14"/>
        <v>59.098492272949841</v>
      </c>
    </row>
    <row r="19" spans="1:10" ht="19">
      <c r="A19" s="32" t="s">
        <v>129</v>
      </c>
      <c r="B19" s="32">
        <f>B9/B15*365</f>
        <v>88.502400716145829</v>
      </c>
      <c r="C19" s="32">
        <f t="shared" ref="C19:E19" si="15">C9/C15*365</f>
        <v>80.172406959692438</v>
      </c>
      <c r="D19" s="32">
        <f t="shared" si="15"/>
        <v>83.221261884183235</v>
      </c>
      <c r="E19" s="32">
        <f t="shared" si="15"/>
        <v>80.729411764705887</v>
      </c>
      <c r="F19" s="32">
        <f t="shared" si="13"/>
        <v>83.156370331181847</v>
      </c>
      <c r="G19" s="32">
        <f>$F$19</f>
        <v>83.156370331181847</v>
      </c>
      <c r="H19" s="32">
        <f t="shared" ref="H19:J19" si="16">$F$19</f>
        <v>83.156370331181847</v>
      </c>
      <c r="I19" s="32">
        <f t="shared" si="16"/>
        <v>83.156370331181847</v>
      </c>
      <c r="J19" s="32">
        <f t="shared" si="16"/>
        <v>83.156370331181847</v>
      </c>
    </row>
    <row r="21" spans="1:10" ht="19">
      <c r="A21" s="32" t="s">
        <v>130</v>
      </c>
      <c r="B21" s="24">
        <f>B4/B14</f>
        <v>0</v>
      </c>
      <c r="C21" s="24">
        <f t="shared" ref="C21:E21" si="17">C4/C14</f>
        <v>0</v>
      </c>
      <c r="D21" s="24">
        <f t="shared" si="17"/>
        <v>4.1568229298865611E-2</v>
      </c>
      <c r="E21" s="24">
        <f t="shared" si="17"/>
        <v>2.9165530937268799E-2</v>
      </c>
      <c r="F21" s="24">
        <f>AVERAGE(D21:E21)</f>
        <v>3.5366880118067205E-2</v>
      </c>
      <c r="G21" s="24">
        <f>$F$21</f>
        <v>3.5366880118067205E-2</v>
      </c>
      <c r="H21" s="24">
        <f t="shared" ref="H21:J21" si="18">$F$21</f>
        <v>3.5366880118067205E-2</v>
      </c>
      <c r="I21" s="24">
        <f t="shared" si="18"/>
        <v>3.5366880118067205E-2</v>
      </c>
      <c r="J21" s="24">
        <f t="shared" si="18"/>
        <v>3.5366880118067205E-2</v>
      </c>
    </row>
    <row r="22" spans="1:10" ht="19">
      <c r="A22" s="32" t="s">
        <v>131</v>
      </c>
      <c r="B22" s="24">
        <f>B5/B14</f>
        <v>4.1627374376936546E-2</v>
      </c>
      <c r="C22" s="24">
        <f t="shared" ref="C22:E22" si="19">C5/C14</f>
        <v>4.1575679725968741E-2</v>
      </c>
      <c r="D22" s="24">
        <f t="shared" si="19"/>
        <v>4.1568229298865611E-2</v>
      </c>
      <c r="E22" s="24">
        <f t="shared" si="19"/>
        <v>2.9165530937268799E-2</v>
      </c>
      <c r="F22" s="24">
        <f>AVERAGE(B22:E22)</f>
        <v>3.848420358475993E-2</v>
      </c>
      <c r="G22" s="24">
        <f>$F$22</f>
        <v>3.848420358475993E-2</v>
      </c>
      <c r="H22" s="24">
        <f t="shared" ref="H22:J22" si="20">$F$22</f>
        <v>3.848420358475993E-2</v>
      </c>
      <c r="I22" s="24">
        <f t="shared" si="20"/>
        <v>3.848420358475993E-2</v>
      </c>
      <c r="J22" s="24">
        <f t="shared" si="20"/>
        <v>3.848420358475993E-2</v>
      </c>
    </row>
    <row r="23" spans="1:10" ht="19">
      <c r="A23" s="32" t="s">
        <v>132</v>
      </c>
      <c r="B23" s="24">
        <f>B10/B14</f>
        <v>2.878440881943509E-2</v>
      </c>
      <c r="C23" s="24">
        <f t="shared" ref="C23:E23" si="21">C10/C14</f>
        <v>2.1280239777349604E-2</v>
      </c>
      <c r="D23" s="24">
        <f t="shared" si="21"/>
        <v>2.7568971240017962E-2</v>
      </c>
      <c r="E23" s="24">
        <f t="shared" si="21"/>
        <v>2.7938943187570578E-2</v>
      </c>
      <c r="F23" s="24">
        <f>AVERAGE(B23:E23)</f>
        <v>2.6393140756093308E-2</v>
      </c>
      <c r="G23" s="24">
        <f>$F$23</f>
        <v>2.6393140756093308E-2</v>
      </c>
      <c r="H23" s="24">
        <f t="shared" ref="H23:J23" si="22">$F$23</f>
        <v>2.6393140756093308E-2</v>
      </c>
      <c r="I23" s="24">
        <f t="shared" si="22"/>
        <v>2.6393140756093308E-2</v>
      </c>
      <c r="J23" s="24">
        <f t="shared" si="22"/>
        <v>2.6393140756093308E-2</v>
      </c>
    </row>
  </sheetData>
  <phoneticPr fontId="14" type="noConversion"/>
  <pageMargins left="0.7" right="0.7" top="0.75" bottom="0.75" header="0.3" footer="0.3"/>
</worksheet>
</file>

<file path=docMetadata/LabelInfo.xml><?xml version="1.0" encoding="utf-8"?>
<clbl:labelList xmlns:clbl="http://schemas.microsoft.com/office/2020/mipLabelMetadata">
  <clbl:label id="{78aac226-2f03-4b4d-9037-b46d56c55210}" enabled="0" method="" siteId="{78aac226-2f03-4b4d-9037-b46d56c55210}"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FCF</vt:lpstr>
      <vt:lpstr>WACC</vt:lpstr>
      <vt:lpstr>DCF</vt:lpstr>
      <vt:lpstr>INC ST HIST</vt:lpstr>
      <vt:lpstr>Sheet2</vt:lpstr>
      <vt:lpstr>Fixed Assets</vt:lpstr>
      <vt:lpstr>Balance Sheet</vt:lpstr>
      <vt:lpstr>Net Working Capital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Shriyans Ganpate</dc:creator>
  <cp:lastModifiedBy>Shriyans Ganpate</cp:lastModifiedBy>
  <dcterms:created xsi:type="dcterms:W3CDTF">2024-08-23T07:16:55Z</dcterms:created>
  <dcterms:modified xsi:type="dcterms:W3CDTF">2024-09-18T21:48:57Z</dcterms:modified>
</cp:coreProperties>
</file>