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shriyans_ganpate_mail_utoronto_ca/Documents/"/>
    </mc:Choice>
  </mc:AlternateContent>
  <xr:revisionPtr revIDLastSave="0" documentId="8_{E077523C-FBF2-3C46-8469-9C3234CAA847}" xr6:coauthVersionLast="47" xr6:coauthVersionMax="47" xr10:uidLastSave="{00000000-0000-0000-0000-000000000000}"/>
  <bookViews>
    <workbookView xWindow="740" yWindow="500" windowWidth="27780" windowHeight="16000" activeTab="4" xr2:uid="{F792E383-E6BD-E445-990F-56B40C2C7A5B}"/>
  </bookViews>
  <sheets>
    <sheet name="IS" sheetId="1" r:id="rId1"/>
    <sheet name="BS" sheetId="2" r:id="rId2"/>
    <sheet name="CF" sheetId="3" r:id="rId3"/>
    <sheet name="DCF" sheetId="4" r:id="rId4"/>
    <sheet name="WAC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4" l="1"/>
  <c r="B24" i="4"/>
  <c r="F29" i="1"/>
  <c r="F28" i="1"/>
  <c r="B18" i="4" l="1"/>
  <c r="B17" i="4"/>
  <c r="B13" i="5"/>
  <c r="B15" i="4" s="1"/>
  <c r="B11" i="5"/>
  <c r="B10" i="5"/>
  <c r="B9" i="5"/>
  <c r="B4" i="5"/>
  <c r="B5" i="5" s="1"/>
  <c r="B3" i="5"/>
  <c r="H11" i="4" l="1"/>
  <c r="I11" i="4"/>
  <c r="J11" i="4"/>
  <c r="G11" i="4"/>
  <c r="F11" i="4"/>
  <c r="C11" i="4"/>
  <c r="D11" i="4"/>
  <c r="E11" i="4"/>
  <c r="B11" i="4"/>
  <c r="G10" i="4"/>
  <c r="H10" i="4"/>
  <c r="I10" i="4"/>
  <c r="J10" i="4"/>
  <c r="F10" i="4"/>
  <c r="F41" i="3"/>
  <c r="C41" i="3"/>
  <c r="D41" i="3"/>
  <c r="E41" i="3"/>
  <c r="B41" i="3"/>
  <c r="C10" i="4"/>
  <c r="D10" i="4"/>
  <c r="E10" i="4"/>
  <c r="B10" i="4"/>
  <c r="G9" i="4"/>
  <c r="H9" i="4"/>
  <c r="I9" i="4"/>
  <c r="J9" i="4"/>
  <c r="F9" i="4"/>
  <c r="H46" i="2"/>
  <c r="I46" i="2"/>
  <c r="J46" i="2"/>
  <c r="G46" i="2"/>
  <c r="G8" i="2"/>
  <c r="H8" i="2"/>
  <c r="I8" i="2"/>
  <c r="J8" i="2"/>
  <c r="F8" i="2"/>
  <c r="G45" i="2"/>
  <c r="D45" i="2"/>
  <c r="E45" i="2"/>
  <c r="C45" i="2"/>
  <c r="C46" i="2"/>
  <c r="D46" i="2"/>
  <c r="E46" i="2"/>
  <c r="B46" i="2"/>
  <c r="C9" i="4"/>
  <c r="D9" i="4"/>
  <c r="E9" i="4"/>
  <c r="B9" i="4"/>
  <c r="C7" i="4"/>
  <c r="D7" i="4"/>
  <c r="E7" i="4"/>
  <c r="F7" i="4"/>
  <c r="G7" i="4"/>
  <c r="H7" i="4"/>
  <c r="I7" i="4"/>
  <c r="J7" i="4"/>
  <c r="B7" i="4"/>
  <c r="H31" i="1"/>
  <c r="I31" i="1"/>
  <c r="J31" i="1"/>
  <c r="G31" i="1"/>
  <c r="F31" i="1"/>
  <c r="C31" i="1"/>
  <c r="D31" i="1"/>
  <c r="E31" i="1"/>
  <c r="B31" i="1"/>
  <c r="C2" i="4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B6" i="4"/>
  <c r="B4" i="4"/>
  <c r="B5" i="4"/>
  <c r="B3" i="4"/>
  <c r="B2" i="4"/>
  <c r="I28" i="1"/>
  <c r="H28" i="1"/>
  <c r="G28" i="1"/>
  <c r="J28" i="1" s="1"/>
  <c r="H29" i="1"/>
  <c r="I29" i="1"/>
  <c r="J29" i="1"/>
  <c r="G29" i="1"/>
  <c r="F3" i="2"/>
  <c r="C43" i="2"/>
  <c r="D43" i="2"/>
  <c r="E43" i="2"/>
  <c r="B43" i="2"/>
  <c r="H41" i="3" l="1"/>
  <c r="G41" i="3"/>
  <c r="I41" i="3"/>
  <c r="J41" i="3"/>
  <c r="F43" i="2"/>
  <c r="G43" i="2" s="1"/>
  <c r="F46" i="2"/>
  <c r="J43" i="2"/>
  <c r="I43" i="2"/>
  <c r="H43" i="2"/>
  <c r="C29" i="1" l="1"/>
  <c r="D29" i="1"/>
  <c r="E29" i="1"/>
  <c r="B29" i="1"/>
  <c r="C28" i="1"/>
  <c r="D28" i="1"/>
  <c r="E28" i="1"/>
  <c r="B28" i="1"/>
  <c r="F3" i="1"/>
  <c r="H27" i="1"/>
  <c r="I27" i="1"/>
  <c r="J27" i="1"/>
  <c r="G27" i="1"/>
  <c r="D27" i="1"/>
  <c r="E27" i="1"/>
  <c r="C27" i="1"/>
  <c r="F6" i="1" l="1"/>
  <c r="F5" i="4" s="1"/>
  <c r="G3" i="1"/>
  <c r="G4" i="1" s="1"/>
  <c r="F4" i="1"/>
  <c r="F3" i="4" s="1"/>
  <c r="F12" i="3"/>
  <c r="F2" i="4"/>
  <c r="G5" i="1" l="1"/>
  <c r="G3" i="4"/>
  <c r="G6" i="1"/>
  <c r="G5" i="4" s="1"/>
  <c r="H3" i="1"/>
  <c r="G12" i="3"/>
  <c r="G2" i="4"/>
  <c r="F5" i="1"/>
  <c r="F4" i="4" l="1"/>
  <c r="F7" i="1"/>
  <c r="F6" i="4" s="1"/>
  <c r="F13" i="4" s="1"/>
  <c r="H12" i="3"/>
  <c r="H2" i="4"/>
  <c r="H6" i="1"/>
  <c r="H5" i="4" s="1"/>
  <c r="H4" i="1"/>
  <c r="I3" i="1"/>
  <c r="G7" i="1"/>
  <c r="G6" i="4" s="1"/>
  <c r="G13" i="4" s="1"/>
  <c r="G4" i="4"/>
  <c r="H5" i="1" l="1"/>
  <c r="H3" i="4"/>
  <c r="I2" i="4"/>
  <c r="I12" i="3"/>
  <c r="I6" i="1"/>
  <c r="I5" i="4" s="1"/>
  <c r="I4" i="1"/>
  <c r="J3" i="1"/>
  <c r="I5" i="1" l="1"/>
  <c r="I3" i="4"/>
  <c r="J2" i="4"/>
  <c r="J12" i="3"/>
  <c r="J6" i="1"/>
  <c r="J5" i="4" s="1"/>
  <c r="J4" i="1"/>
  <c r="J3" i="4" s="1"/>
  <c r="H4" i="4"/>
  <c r="H7" i="1"/>
  <c r="H6" i="4" s="1"/>
  <c r="H13" i="4" s="1"/>
  <c r="J5" i="1" l="1"/>
  <c r="I7" i="1"/>
  <c r="I6" i="4" s="1"/>
  <c r="I13" i="4" s="1"/>
  <c r="I4" i="4"/>
  <c r="J4" i="4" l="1"/>
  <c r="J7" i="1"/>
  <c r="J6" i="4" s="1"/>
  <c r="L17" i="4" l="1"/>
  <c r="L18" i="4" s="1"/>
  <c r="K13" i="4" s="1"/>
  <c r="J13" i="4"/>
  <c r="B16" i="4" l="1"/>
  <c r="B19" i="4" s="1"/>
  <c r="B21" i="4" s="1"/>
</calcChain>
</file>

<file path=xl/sharedStrings.xml><?xml version="1.0" encoding="utf-8"?>
<sst xmlns="http://schemas.openxmlformats.org/spreadsheetml/2006/main" count="196" uniqueCount="150">
  <si>
    <t>Total Revenue</t>
  </si>
  <si>
    <t>Gross Profit</t>
  </si>
  <si>
    <t>Operating Expense</t>
  </si>
  <si>
    <t>Net Non Operating Interest Income Expense</t>
  </si>
  <si>
    <t>Other Income Expense</t>
  </si>
  <si>
    <t>Pretax Income</t>
  </si>
  <si>
    <t>Tax Provision</t>
  </si>
  <si>
    <t>Net Income Common Stockholders</t>
  </si>
  <si>
    <t>Diluted NI Available to Com Stockholders</t>
  </si>
  <si>
    <t>Basic Average Shares</t>
  </si>
  <si>
    <t>Diluted Average Shares</t>
  </si>
  <si>
    <t>--</t>
  </si>
  <si>
    <t>Total Expenses</t>
  </si>
  <si>
    <t>Interest Income</t>
  </si>
  <si>
    <t>Interest Expense</t>
  </si>
  <si>
    <t>Net Interest Income</t>
  </si>
  <si>
    <t>EBIT</t>
  </si>
  <si>
    <t>EBITDA</t>
  </si>
  <si>
    <t>Total Assets</t>
  </si>
  <si>
    <t>Current Assets</t>
  </si>
  <si>
    <t>Cash, Cash Equivalents &amp; Short Term Investments</t>
  </si>
  <si>
    <t>Receivables</t>
  </si>
  <si>
    <t>Inventory</t>
  </si>
  <si>
    <t>Total non-current assets</t>
  </si>
  <si>
    <t>Net PPE</t>
  </si>
  <si>
    <t>Goodwill And Other Intangible Assets</t>
  </si>
  <si>
    <t>Investments And Advances</t>
  </si>
  <si>
    <t>Non Current Deferred Assets</t>
  </si>
  <si>
    <t>Non Current Prepaid Assets</t>
  </si>
  <si>
    <t>Other Non Current Assets</t>
  </si>
  <si>
    <t>Current Liabilities</t>
  </si>
  <si>
    <t>Payables And Accrued Expenses</t>
  </si>
  <si>
    <t>Current Provisions</t>
  </si>
  <si>
    <t>Current Debt And Capital Lease Obligation</t>
  </si>
  <si>
    <t>Stockholders' Equity</t>
  </si>
  <si>
    <t>Capital Stock</t>
  </si>
  <si>
    <t>Retained Earnings</t>
  </si>
  <si>
    <t>Additional Paid in Capital</t>
  </si>
  <si>
    <t>Gains Losses Not Affecting Retained Earnings</t>
  </si>
  <si>
    <t>Total Capitalization</t>
  </si>
  <si>
    <t>Common Stock Equity</t>
  </si>
  <si>
    <t>Capital Lease Obligations</t>
  </si>
  <si>
    <t>Net Tangible Assets</t>
  </si>
  <si>
    <t>Working Capital</t>
  </si>
  <si>
    <t>Invested Capital</t>
  </si>
  <si>
    <t>Tangible Book Value</t>
  </si>
  <si>
    <t>Total Debt</t>
  </si>
  <si>
    <t>Net Debt</t>
  </si>
  <si>
    <t>Share Issued</t>
  </si>
  <si>
    <t>Ordinary Shares Number</t>
  </si>
  <si>
    <t>Cash Flow from Continuing Operating Activities</t>
  </si>
  <si>
    <t>Net Income from Continuing Operations</t>
  </si>
  <si>
    <t>Operating Gains Losses</t>
  </si>
  <si>
    <t>Depreciation Amortization Depletion</t>
  </si>
  <si>
    <t>Deferred Tax</t>
  </si>
  <si>
    <t>Unrealized Gain Loss On Investment Securities</t>
  </si>
  <si>
    <t>Stock based compensation</t>
  </si>
  <si>
    <t>Other non-cash items</t>
  </si>
  <si>
    <t>Change in working capital</t>
  </si>
  <si>
    <t>Cash Flow from Continuing Investing Activities</t>
  </si>
  <si>
    <t>Capital Expenditure Reported</t>
  </si>
  <si>
    <t>Net Investment Purchase And Sale</t>
  </si>
  <si>
    <t>Purchase of Investment</t>
  </si>
  <si>
    <t>Net Other Investing Changes</t>
  </si>
  <si>
    <t>Cash Flow from Continuing Financing Activities</t>
  </si>
  <si>
    <t>Net Issuance Payments of Debt</t>
  </si>
  <si>
    <t>Net Long Term Debt Issuance</t>
  </si>
  <si>
    <t>Net Short Term Debt Issuance</t>
  </si>
  <si>
    <t>Net Common Stock Issuance</t>
  </si>
  <si>
    <t>Common Stock Payments</t>
  </si>
  <si>
    <t>Cash Dividends Paid</t>
  </si>
  <si>
    <t>Proceeds from Stock Option Exercised</t>
  </si>
  <si>
    <t>Net Other Financing Charges</t>
  </si>
  <si>
    <t>End Cash Position</t>
  </si>
  <si>
    <t>Changes in Cash</t>
  </si>
  <si>
    <t>Effect of Exchange Rate Changes</t>
  </si>
  <si>
    <t>Beginning Cash Position</t>
  </si>
  <si>
    <t>Income Tax Paid Supplemental Data</t>
  </si>
  <si>
    <t>Interest Paid Supplemental Data</t>
  </si>
  <si>
    <t>Capital Expenditure</t>
  </si>
  <si>
    <t>Issuance of Debt</t>
  </si>
  <si>
    <t>Repayment of Debt</t>
  </si>
  <si>
    <t>Repurchase of Capital Stock</t>
  </si>
  <si>
    <t>Free Cash Flow</t>
  </si>
  <si>
    <t xml:space="preserve">Forecasts: </t>
  </si>
  <si>
    <t xml:space="preserve">Total Non Current Liabilities </t>
  </si>
  <si>
    <t>Total Liabilities</t>
  </si>
  <si>
    <t xml:space="preserve">Forecast </t>
  </si>
  <si>
    <t>E2024</t>
  </si>
  <si>
    <t>E2025</t>
  </si>
  <si>
    <t>E2026</t>
  </si>
  <si>
    <t>E2027</t>
  </si>
  <si>
    <t>E2028</t>
  </si>
  <si>
    <t xml:space="preserve">Revenue Growth </t>
  </si>
  <si>
    <t>COGS</t>
  </si>
  <si>
    <t xml:space="preserve">COGS as a % of Revenue </t>
  </si>
  <si>
    <t>2020</t>
  </si>
  <si>
    <t>2021</t>
  </si>
  <si>
    <t>2022</t>
  </si>
  <si>
    <t>2023</t>
  </si>
  <si>
    <t>OpEx as a % of Revenue</t>
  </si>
  <si>
    <t xml:space="preserve">Operating Income (EBIT) </t>
  </si>
  <si>
    <t xml:space="preserve">Cash and Cash Equivalents as a % of Total Revenue  </t>
  </si>
  <si>
    <t xml:space="preserve">Revenue </t>
  </si>
  <si>
    <t xml:space="preserve">COGS </t>
  </si>
  <si>
    <t xml:space="preserve">Gross Profit </t>
  </si>
  <si>
    <t xml:space="preserve">Operating Expenses </t>
  </si>
  <si>
    <t xml:space="preserve">EBIT </t>
  </si>
  <si>
    <t xml:space="preserve">Tax Rate </t>
  </si>
  <si>
    <t>D&amp;A</t>
  </si>
  <si>
    <t>Net Increases in WC</t>
  </si>
  <si>
    <t xml:space="preserve">Net CapEx </t>
  </si>
  <si>
    <t xml:space="preserve">Tax as a % of Pretax income </t>
  </si>
  <si>
    <t>D&amp;A as a % of Total Long Term Assets</t>
  </si>
  <si>
    <t xml:space="preserve">Total Non Current Assets Growth </t>
  </si>
  <si>
    <t>Revenue Est: https://seekingalpha.com/symbol/SU/growth</t>
  </si>
  <si>
    <t>CapX as a % of Revenue</t>
  </si>
  <si>
    <t>FCF</t>
  </si>
  <si>
    <t xml:space="preserve">EV/EBITDA Multiple </t>
  </si>
  <si>
    <t xml:space="preserve">EBITDA  (2028) </t>
  </si>
  <si>
    <t xml:space="preserve">EV </t>
  </si>
  <si>
    <t>Source: https://ca.finance.yahoo.com/quote/SU/key-statistics/</t>
  </si>
  <si>
    <t xml:space="preserve">WACC </t>
  </si>
  <si>
    <t>Cost of Equity</t>
  </si>
  <si>
    <t>Market Value of firm equity</t>
  </si>
  <si>
    <t xml:space="preserve">Cost of Debt </t>
  </si>
  <si>
    <t xml:space="preserve">Market value of firm debt </t>
  </si>
  <si>
    <t>Tax rate</t>
  </si>
  <si>
    <t xml:space="preserve">Calculations: </t>
  </si>
  <si>
    <t xml:space="preserve">CAPM </t>
  </si>
  <si>
    <t>Risk Free Rate</t>
  </si>
  <si>
    <t>Beta</t>
  </si>
  <si>
    <t xml:space="preserve">Equity Risk Premium </t>
  </si>
  <si>
    <t>Soruce: https://ca.finance.yahoo.com/quote/SU/key-statistics/</t>
  </si>
  <si>
    <t>Source: https://www.marketwatch.com/investing/bond/tmbmkca-10y?countrycode=bx</t>
  </si>
  <si>
    <t xml:space="preserve">Source: Damodaran </t>
  </si>
  <si>
    <t>% of Equity</t>
  </si>
  <si>
    <t>Source: https://valueinvesting.io/SU.TO/valuation/wacc</t>
  </si>
  <si>
    <t xml:space="preserve">WACC: </t>
  </si>
  <si>
    <t xml:space="preserve">% of Debt </t>
  </si>
  <si>
    <t>WACC:</t>
  </si>
  <si>
    <t>NPV of Enterprise Value</t>
  </si>
  <si>
    <t xml:space="preserve">Cash and Cash Equivalents </t>
  </si>
  <si>
    <t xml:space="preserve">Debt </t>
  </si>
  <si>
    <t xml:space="preserve">Equity </t>
  </si>
  <si>
    <t xml:space="preserve">Shares Outstanding </t>
  </si>
  <si>
    <t>Share Price Fair</t>
  </si>
  <si>
    <t xml:space="preserve">Current Share Price </t>
  </si>
  <si>
    <t>Price Difference</t>
  </si>
  <si>
    <t xml:space="preserve">Investment decision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</si>
</sst>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232A31"/>
      <name val="Aptos Narrow"/>
      <scheme val="minor"/>
    </font>
    <font>
      <b/>
      <sz val="12"/>
      <color rgb="FF232A31"/>
      <name val="Aptos Narrow"/>
      <scheme val="minor"/>
    </font>
    <font>
      <b/>
      <sz val="12"/>
      <color theme="1"/>
      <name val="Aptos Narrow"/>
      <scheme val="minor"/>
    </font>
    <font>
      <sz val="12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2" xfId="0" applyFont="1" applyBorder="1"/>
    <xf numFmtId="0" fontId="5" fillId="0" borderId="1" xfId="0" applyFont="1" applyBorder="1"/>
    <xf numFmtId="3" fontId="5" fillId="0" borderId="1" xfId="0" applyNumberFormat="1" applyFont="1" applyBorder="1"/>
    <xf numFmtId="0" fontId="6" fillId="0" borderId="0" xfId="0" applyFont="1"/>
    <xf numFmtId="0" fontId="5" fillId="0" borderId="0" xfId="0" applyFont="1"/>
    <xf numFmtId="3" fontId="5" fillId="0" borderId="0" xfId="0" applyNumberFormat="1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0" fontId="6" fillId="2" borderId="2" xfId="0" applyFont="1" applyFill="1" applyBorder="1"/>
    <xf numFmtId="3" fontId="6" fillId="0" borderId="0" xfId="0" applyNumberFormat="1" applyFont="1"/>
    <xf numFmtId="3" fontId="3" fillId="0" borderId="0" xfId="0" applyNumberFormat="1" applyFont="1"/>
    <xf numFmtId="0" fontId="4" fillId="0" borderId="0" xfId="0" applyFont="1" applyFill="1" applyBorder="1"/>
    <xf numFmtId="10" fontId="3" fillId="0" borderId="0" xfId="1" applyNumberFormat="1" applyFont="1"/>
    <xf numFmtId="10" fontId="3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3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0" fontId="6" fillId="0" borderId="0" xfId="1" applyNumberFormat="1" applyFont="1"/>
    <xf numFmtId="2" fontId="0" fillId="0" borderId="0" xfId="0" applyNumberFormat="1"/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7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32A31"/>
        <name val="Aptos Narrow"/>
        <scheme val="minor"/>
      </font>
      <numFmt numFmtId="3" formatCode="#,##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10C2C9-A8E5-F24F-B93D-CDA18551829F}" name="Table1" displayName="Table1" ref="B2:J23" totalsRowShown="0" headerRowDxfId="24" dataDxfId="25" headerRowBorderDxfId="35">
  <autoFilter ref="B2:J23" xr:uid="{E810C2C9-A8E5-F24F-B93D-CDA18551829F}"/>
  <tableColumns count="9">
    <tableColumn id="1" xr3:uid="{93EF8D59-B124-3949-B6FB-8C2BA2E9E880}" name="2020" dataDxfId="34"/>
    <tableColumn id="2" xr3:uid="{0E25B3C7-5089-C84A-9CF5-E75A266DCBB3}" name="2021" dataDxfId="33"/>
    <tableColumn id="3" xr3:uid="{A81B210F-1AAC-4447-BB82-ECF025021873}" name="2022" dataDxfId="32"/>
    <tableColumn id="4" xr3:uid="{EA016F67-2A34-6148-88A4-4472ADC0F02A}" name="2023" dataDxfId="31"/>
    <tableColumn id="5" xr3:uid="{C5649B92-839C-154A-A852-FB5D9E3CB458}" name="E2024" dataDxfId="30"/>
    <tableColumn id="6" xr3:uid="{4FA946E0-0C8F-9D43-81AC-C3846CE83EBE}" name="E2025" dataDxfId="29"/>
    <tableColumn id="7" xr3:uid="{6AEE4557-DCED-CA41-B107-47DC2C5A0106}" name="E2026" dataDxfId="28"/>
    <tableColumn id="8" xr3:uid="{D98A5CA0-98F8-234B-B422-B4B0132B465E}" name="E2027" dataDxfId="27"/>
    <tableColumn id="9" xr3:uid="{C195D2EB-7200-6E41-AC77-8F1CB24F62A3}" name="E2028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DE4A6E-2607-2348-85AA-D8B97D2D29D1}" name="Table2" displayName="Table2" ref="B2:J39" totalsRowShown="0" headerRowDxfId="1" dataDxfId="14" headerRowBorderDxfId="23">
  <autoFilter ref="B2:J39" xr:uid="{64DE4A6E-2607-2348-85AA-D8B97D2D29D1}"/>
  <tableColumns count="9">
    <tableColumn id="1" xr3:uid="{E740F884-1CBF-034C-8DD8-C33F6CDA4707}" name="2020" dataDxfId="22"/>
    <tableColumn id="2" xr3:uid="{1823BEB5-2E29-7F4F-AC0F-F5B871C7BA46}" name="2021" dataDxfId="21"/>
    <tableColumn id="3" xr3:uid="{AA5FB4D6-0171-7643-ACE3-43DBD172B5E2}" name="2022" dataDxfId="20"/>
    <tableColumn id="4" xr3:uid="{79AD1F5F-AA5A-5D40-87DF-2BB7859ED429}" name="2023" dataDxfId="19"/>
    <tableColumn id="5" xr3:uid="{A879063C-0A0A-6F43-87AB-8E76B573477D}" name="E2024" dataDxfId="0">
      <calculatedColumnFormula>F41*IS!F1</calculatedColumnFormula>
    </tableColumn>
    <tableColumn id="6" xr3:uid="{236807EA-94A1-5B41-A798-C1C43D912D12}" name="E2025" dataDxfId="18"/>
    <tableColumn id="7" xr3:uid="{4B7F8CB5-1B2C-7A49-8A40-260C48C2B414}" name="E2026" dataDxfId="17"/>
    <tableColumn id="8" xr3:uid="{888F570B-8081-3649-8C95-3DEFC9811F46}" name="E2027" dataDxfId="16"/>
    <tableColumn id="9" xr3:uid="{6814E7A2-B0A9-6C4F-94BF-FDFD9FFE1D0E}" name="E2028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AA832-4D31-8D42-BD27-71BEB1E68F77}" name="Table3" displayName="Table3" ref="B1:J36" totalsRowShown="0" headerRowDxfId="2" dataDxfId="3" headerRowBorderDxfId="13">
  <autoFilter ref="B1:J36" xr:uid="{E35AA832-4D31-8D42-BD27-71BEB1E68F77}"/>
  <tableColumns count="9">
    <tableColumn id="1" xr3:uid="{BB82F4C7-B62A-7742-8063-439425647613}" name="2020" dataDxfId="12"/>
    <tableColumn id="2" xr3:uid="{66795474-CE3C-554F-A3AA-3CF96A98C61B}" name="2021" dataDxfId="11"/>
    <tableColumn id="3" xr3:uid="{FE4B1A23-0C9C-AB4A-A437-886BE7692DBE}" name="2022" dataDxfId="10"/>
    <tableColumn id="4" xr3:uid="{7E5F27B2-00EC-C542-94B9-F6C25B63788D}" name="2023" dataDxfId="9"/>
    <tableColumn id="5" xr3:uid="{FE6EEAD1-068D-614E-8A39-DBAAE69E6A62}" name="E2024" dataDxfId="8"/>
    <tableColumn id="6" xr3:uid="{C48A9934-6158-1A45-8510-2EC3ED9C21A6}" name="E2025" dataDxfId="7"/>
    <tableColumn id="7" xr3:uid="{764793CF-7DBA-4847-8D4A-5E867E40B5D5}" name="E2026" dataDxfId="6"/>
    <tableColumn id="8" xr3:uid="{1155C653-4DC6-4F4D-B2B3-29D8F8A19240}" name="E2027" dataDxfId="5"/>
    <tableColumn id="9" xr3:uid="{C8806ED5-F66D-9D42-BDC7-52B390CC1F92}" name="E2028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7F3-7E48-4D42-86FA-672359B288A6}">
  <dimension ref="A1:L31"/>
  <sheetViews>
    <sheetView workbookViewId="0">
      <selection activeCell="F30" sqref="F30"/>
    </sheetView>
  </sheetViews>
  <sheetFormatPr baseColWidth="10" defaultRowHeight="16" x14ac:dyDescent="0.2"/>
  <cols>
    <col min="1" max="1" width="47.83203125" style="1" customWidth="1"/>
    <col min="2" max="2" width="13.5" style="1" bestFit="1" customWidth="1"/>
    <col min="3" max="4" width="13.1640625" style="1" bestFit="1" customWidth="1"/>
    <col min="5" max="5" width="13.5" style="1" bestFit="1" customWidth="1"/>
    <col min="6" max="6" width="11.6640625" style="1" customWidth="1"/>
    <col min="7" max="7" width="12" style="1" customWidth="1"/>
    <col min="8" max="8" width="11.83203125" style="1" customWidth="1"/>
    <col min="9" max="9" width="13.33203125" style="1" customWidth="1"/>
    <col min="10" max="10" width="13" style="1" customWidth="1"/>
    <col min="11" max="16384" width="10.83203125" style="1"/>
  </cols>
  <sheetData>
    <row r="1" spans="1:10" x14ac:dyDescent="0.2">
      <c r="A1" s="2"/>
    </row>
    <row r="2" spans="1:10" x14ac:dyDescent="0.2">
      <c r="A2" s="2"/>
      <c r="B2" s="12" t="s">
        <v>96</v>
      </c>
      <c r="C2" s="12" t="s">
        <v>97</v>
      </c>
      <c r="D2" s="12" t="s">
        <v>98</v>
      </c>
      <c r="E2" s="12" t="s">
        <v>99</v>
      </c>
      <c r="F2" s="12" t="s">
        <v>88</v>
      </c>
      <c r="G2" s="12" t="s">
        <v>89</v>
      </c>
      <c r="H2" s="12" t="s">
        <v>90</v>
      </c>
      <c r="I2" s="12" t="s">
        <v>91</v>
      </c>
      <c r="J2" s="12" t="s">
        <v>92</v>
      </c>
    </row>
    <row r="3" spans="1:10" x14ac:dyDescent="0.2">
      <c r="A3" s="2" t="s">
        <v>0</v>
      </c>
      <c r="B3" s="3">
        <v>24662000</v>
      </c>
      <c r="C3" s="3">
        <v>39132000</v>
      </c>
      <c r="D3" s="3">
        <v>62907000</v>
      </c>
      <c r="E3" s="3">
        <v>52206000</v>
      </c>
      <c r="F3" s="14">
        <f>E3*(1+F27)</f>
        <v>57457923.600000001</v>
      </c>
      <c r="G3" s="14">
        <f t="shared" ref="G3:J3" si="0">F3*(1+G27)</f>
        <v>63238190.714160003</v>
      </c>
      <c r="H3" s="14">
        <f t="shared" si="0"/>
        <v>69599952.700004503</v>
      </c>
      <c r="I3" s="14">
        <f t="shared" si="0"/>
        <v>76601707.941624954</v>
      </c>
      <c r="J3" s="14">
        <f t="shared" si="0"/>
        <v>84307839.760552421</v>
      </c>
    </row>
    <row r="4" spans="1:10" x14ac:dyDescent="0.2">
      <c r="A4" s="2" t="s">
        <v>94</v>
      </c>
      <c r="B4" s="3">
        <v>19589000</v>
      </c>
      <c r="C4" s="3">
        <v>21572000</v>
      </c>
      <c r="D4" s="3">
        <v>36033000</v>
      </c>
      <c r="E4" s="3">
        <v>30282000</v>
      </c>
      <c r="F4" s="14">
        <f>F3*F28</f>
        <v>32638180.65974573</v>
      </c>
      <c r="G4" s="14">
        <f t="shared" ref="G4:J4" si="1">G3*G28</f>
        <v>35921581.63411615</v>
      </c>
      <c r="H4" s="14">
        <f t="shared" si="1"/>
        <v>39535292.746508241</v>
      </c>
      <c r="I4" s="14">
        <f t="shared" si="1"/>
        <v>43512543.196806967</v>
      </c>
      <c r="J4" s="14">
        <f t="shared" si="1"/>
        <v>47889905.042405747</v>
      </c>
    </row>
    <row r="5" spans="1:10" x14ac:dyDescent="0.2">
      <c r="A5" s="2" t="s">
        <v>1</v>
      </c>
      <c r="B5" s="3">
        <v>5073000</v>
      </c>
      <c r="C5" s="3">
        <v>17560000</v>
      </c>
      <c r="D5" s="3">
        <v>26874000</v>
      </c>
      <c r="E5" s="3">
        <v>21924000</v>
      </c>
      <c r="F5" s="14">
        <f>F3-F4</f>
        <v>24819742.940254271</v>
      </c>
      <c r="G5" s="14">
        <f t="shared" ref="G5:J5" si="2">G3-G4</f>
        <v>27316609.080043852</v>
      </c>
      <c r="H5" s="14">
        <f t="shared" si="2"/>
        <v>30064659.953496262</v>
      </c>
      <c r="I5" s="14">
        <f t="shared" si="2"/>
        <v>33089164.744817987</v>
      </c>
      <c r="J5" s="14">
        <f t="shared" si="2"/>
        <v>36417934.718146674</v>
      </c>
    </row>
    <row r="6" spans="1:10" x14ac:dyDescent="0.2">
      <c r="A6" s="2" t="s">
        <v>2</v>
      </c>
      <c r="B6" s="3">
        <v>10858000</v>
      </c>
      <c r="C6" s="3">
        <v>11265000</v>
      </c>
      <c r="D6" s="3">
        <v>12949000</v>
      </c>
      <c r="E6" s="3">
        <v>12971000</v>
      </c>
      <c r="F6" s="14">
        <f>F3*F29</f>
        <v>14214580.77953865</v>
      </c>
      <c r="G6" s="14">
        <f t="shared" ref="G6:J6" si="3">G3*G29</f>
        <v>15644567.605960239</v>
      </c>
      <c r="H6" s="14">
        <f t="shared" si="3"/>
        <v>17218411.10711984</v>
      </c>
      <c r="I6" s="14">
        <f t="shared" si="3"/>
        <v>18950583.264496095</v>
      </c>
      <c r="J6" s="14">
        <f t="shared" si="3"/>
        <v>20857011.940904401</v>
      </c>
    </row>
    <row r="7" spans="1:10" s="7" customFormat="1" x14ac:dyDescent="0.2">
      <c r="A7" s="8" t="s">
        <v>101</v>
      </c>
      <c r="B7" s="9">
        <v>-5785000</v>
      </c>
      <c r="C7" s="9">
        <v>6295000</v>
      </c>
      <c r="D7" s="9">
        <v>13925000</v>
      </c>
      <c r="E7" s="9">
        <v>8953000</v>
      </c>
      <c r="F7" s="13">
        <f>F5-F6</f>
        <v>10605162.160715621</v>
      </c>
      <c r="G7" s="13">
        <f t="shared" ref="G7:J7" si="4">G5-G6</f>
        <v>11672041.474083614</v>
      </c>
      <c r="H7" s="13">
        <f t="shared" si="4"/>
        <v>12846248.846376423</v>
      </c>
      <c r="I7" s="13">
        <f t="shared" si="4"/>
        <v>14138581.480321892</v>
      </c>
      <c r="J7" s="13">
        <f t="shared" si="4"/>
        <v>15560922.777242273</v>
      </c>
    </row>
    <row r="8" spans="1:10" x14ac:dyDescent="0.2">
      <c r="A8" s="2" t="s">
        <v>3</v>
      </c>
      <c r="B8" s="3">
        <v>-942000</v>
      </c>
      <c r="C8" s="3">
        <v>-897000</v>
      </c>
      <c r="D8" s="3">
        <v>-757000</v>
      </c>
      <c r="E8" s="3">
        <v>-692000</v>
      </c>
      <c r="F8" s="14"/>
      <c r="G8" s="14"/>
      <c r="H8" s="14"/>
      <c r="I8" s="14"/>
      <c r="J8" s="14"/>
    </row>
    <row r="9" spans="1:10" x14ac:dyDescent="0.2">
      <c r="A9" s="2" t="s">
        <v>4</v>
      </c>
      <c r="B9" s="3">
        <v>630000</v>
      </c>
      <c r="C9" s="3">
        <v>172000</v>
      </c>
      <c r="D9" s="3">
        <v>-852000</v>
      </c>
      <c r="E9" s="3">
        <v>2328000</v>
      </c>
      <c r="F9" s="14"/>
      <c r="G9" s="14"/>
      <c r="H9" s="14"/>
      <c r="I9" s="14"/>
      <c r="J9" s="14"/>
    </row>
    <row r="10" spans="1:10" x14ac:dyDescent="0.2">
      <c r="A10" s="2" t="s">
        <v>5</v>
      </c>
      <c r="B10" s="3">
        <v>-6097000</v>
      </c>
      <c r="C10" s="3">
        <v>5570000</v>
      </c>
      <c r="D10" s="3">
        <v>12316000</v>
      </c>
      <c r="E10" s="3">
        <v>10589000</v>
      </c>
      <c r="F10" s="14"/>
      <c r="G10" s="14"/>
      <c r="H10" s="14"/>
      <c r="I10" s="14"/>
      <c r="J10" s="14"/>
    </row>
    <row r="11" spans="1:10" x14ac:dyDescent="0.2">
      <c r="A11" s="2" t="s">
        <v>6</v>
      </c>
      <c r="B11" s="3">
        <v>-1778000</v>
      </c>
      <c r="C11" s="3">
        <v>1451000</v>
      </c>
      <c r="D11" s="3">
        <v>3239000</v>
      </c>
      <c r="E11" s="3">
        <v>2294000</v>
      </c>
      <c r="F11" s="14"/>
      <c r="G11" s="14"/>
      <c r="H11" s="14"/>
      <c r="I11" s="14"/>
      <c r="J11" s="14"/>
    </row>
    <row r="12" spans="1:10" s="7" customFormat="1" x14ac:dyDescent="0.2">
      <c r="A12" s="5" t="s">
        <v>7</v>
      </c>
      <c r="B12" s="6">
        <v>-4319000</v>
      </c>
      <c r="C12" s="6">
        <v>4119000</v>
      </c>
      <c r="D12" s="6">
        <v>9077000</v>
      </c>
      <c r="E12" s="6">
        <v>8295000</v>
      </c>
      <c r="F12" s="13"/>
      <c r="G12" s="13"/>
      <c r="H12" s="13"/>
      <c r="I12" s="13"/>
      <c r="J12" s="13"/>
    </row>
    <row r="13" spans="1:10" x14ac:dyDescent="0.2">
      <c r="A13" s="2"/>
      <c r="B13" s="3"/>
      <c r="C13" s="3"/>
      <c r="D13" s="3"/>
      <c r="E13" s="3"/>
      <c r="F13" s="14"/>
      <c r="G13" s="14"/>
      <c r="H13" s="14"/>
      <c r="I13" s="14"/>
      <c r="J13" s="14"/>
    </row>
    <row r="14" spans="1:10" x14ac:dyDescent="0.2">
      <c r="A14" s="2"/>
      <c r="B14" s="3"/>
      <c r="C14" s="3"/>
      <c r="D14" s="3"/>
      <c r="E14" s="3"/>
      <c r="F14" s="14"/>
      <c r="G14" s="14"/>
      <c r="H14" s="14"/>
      <c r="I14" s="14"/>
      <c r="J14" s="14"/>
    </row>
    <row r="15" spans="1:10" x14ac:dyDescent="0.2">
      <c r="A15" s="2" t="s">
        <v>8</v>
      </c>
      <c r="B15" s="3">
        <v>-4319000</v>
      </c>
      <c r="C15" s="3">
        <v>4119000</v>
      </c>
      <c r="D15" s="3">
        <v>9077000</v>
      </c>
      <c r="E15" s="3">
        <v>8295000</v>
      </c>
      <c r="F15" s="14"/>
      <c r="G15" s="14"/>
      <c r="H15" s="14"/>
      <c r="I15" s="14"/>
      <c r="J15" s="14"/>
    </row>
    <row r="16" spans="1:10" x14ac:dyDescent="0.2">
      <c r="A16" s="2" t="s">
        <v>9</v>
      </c>
      <c r="B16" s="3">
        <v>1526000</v>
      </c>
      <c r="C16" s="3">
        <v>1488000</v>
      </c>
      <c r="D16" s="3">
        <v>1387000</v>
      </c>
      <c r="E16" s="3">
        <v>1308000</v>
      </c>
      <c r="F16" s="14"/>
      <c r="G16" s="14"/>
      <c r="H16" s="14"/>
      <c r="I16" s="14"/>
      <c r="J16" s="14"/>
    </row>
    <row r="17" spans="1:12" x14ac:dyDescent="0.2">
      <c r="A17" s="2" t="s">
        <v>10</v>
      </c>
      <c r="B17" s="3">
        <v>1526000</v>
      </c>
      <c r="C17" s="3">
        <v>1489000</v>
      </c>
      <c r="D17" s="3">
        <v>1390000</v>
      </c>
      <c r="E17" s="3">
        <v>1310000</v>
      </c>
      <c r="F17" s="14"/>
      <c r="G17" s="14"/>
      <c r="H17" s="14"/>
      <c r="I17" s="14"/>
      <c r="J17" s="14"/>
    </row>
    <row r="18" spans="1:12" x14ac:dyDescent="0.2">
      <c r="A18" s="2" t="s">
        <v>12</v>
      </c>
      <c r="B18" s="3">
        <v>30447000</v>
      </c>
      <c r="C18" s="3">
        <v>32837000</v>
      </c>
      <c r="D18" s="3">
        <v>48982000</v>
      </c>
      <c r="E18" s="3">
        <v>43253000</v>
      </c>
      <c r="F18" s="14"/>
      <c r="G18" s="14"/>
      <c r="H18" s="14"/>
      <c r="I18" s="14"/>
      <c r="J18" s="14"/>
    </row>
    <row r="19" spans="1:12" x14ac:dyDescent="0.2">
      <c r="A19" s="2" t="s">
        <v>13</v>
      </c>
      <c r="B19" s="3">
        <v>94000</v>
      </c>
      <c r="C19" s="3">
        <v>64000</v>
      </c>
      <c r="D19" s="3">
        <v>149000</v>
      </c>
      <c r="E19" s="3">
        <v>94000</v>
      </c>
      <c r="F19" s="14"/>
      <c r="G19" s="14"/>
      <c r="H19" s="14"/>
      <c r="I19" s="14"/>
      <c r="J19" s="14"/>
    </row>
    <row r="20" spans="1:12" x14ac:dyDescent="0.2">
      <c r="A20" s="2" t="s">
        <v>14</v>
      </c>
      <c r="B20" s="3">
        <v>1036000</v>
      </c>
      <c r="C20" s="3">
        <v>961000</v>
      </c>
      <c r="D20" s="3">
        <v>906000</v>
      </c>
      <c r="E20" s="3">
        <v>786000</v>
      </c>
      <c r="F20" s="14"/>
      <c r="G20" s="14"/>
      <c r="H20" s="14"/>
      <c r="I20" s="14"/>
      <c r="J20" s="14"/>
    </row>
    <row r="21" spans="1:12" x14ac:dyDescent="0.2">
      <c r="A21" s="2" t="s">
        <v>15</v>
      </c>
      <c r="B21" s="3">
        <v>-942000</v>
      </c>
      <c r="C21" s="3">
        <v>-897000</v>
      </c>
      <c r="D21" s="3">
        <v>-757000</v>
      </c>
      <c r="E21" s="3">
        <v>-692000</v>
      </c>
      <c r="F21" s="14"/>
      <c r="G21" s="14"/>
      <c r="H21" s="14"/>
      <c r="I21" s="14"/>
      <c r="J21" s="14"/>
    </row>
    <row r="22" spans="1:12" x14ac:dyDescent="0.2">
      <c r="A22" s="2" t="s">
        <v>16</v>
      </c>
      <c r="B22" s="3">
        <v>-5061000</v>
      </c>
      <c r="C22" s="3">
        <v>6531000</v>
      </c>
      <c r="D22" s="3">
        <v>13222000</v>
      </c>
      <c r="E22" s="3">
        <v>11375000</v>
      </c>
      <c r="F22" s="14"/>
      <c r="G22" s="14"/>
      <c r="H22" s="14"/>
      <c r="I22" s="14"/>
      <c r="J22" s="14"/>
    </row>
    <row r="23" spans="1:12" x14ac:dyDescent="0.2">
      <c r="A23" s="2" t="s">
        <v>17</v>
      </c>
      <c r="B23" s="3">
        <v>4465000</v>
      </c>
      <c r="C23" s="3">
        <v>12381000</v>
      </c>
      <c r="D23" s="3">
        <v>22008000</v>
      </c>
      <c r="E23" s="3">
        <v>17810000</v>
      </c>
      <c r="F23" s="14"/>
      <c r="G23" s="14"/>
      <c r="H23" s="14"/>
      <c r="I23" s="14"/>
      <c r="J23" s="14"/>
    </row>
    <row r="25" spans="1:12" x14ac:dyDescent="0.2">
      <c r="A25" s="4" t="s">
        <v>84</v>
      </c>
      <c r="B25" s="12">
        <v>2020</v>
      </c>
      <c r="C25" s="12">
        <v>2021</v>
      </c>
      <c r="D25" s="12">
        <v>2022</v>
      </c>
      <c r="E25" s="12">
        <v>2023</v>
      </c>
      <c r="F25" s="12" t="s">
        <v>88</v>
      </c>
      <c r="G25" s="12" t="s">
        <v>89</v>
      </c>
      <c r="H25" s="12" t="s">
        <v>90</v>
      </c>
      <c r="I25" s="12" t="s">
        <v>91</v>
      </c>
      <c r="J25" s="12" t="s">
        <v>92</v>
      </c>
    </row>
    <row r="27" spans="1:12" x14ac:dyDescent="0.2">
      <c r="A27" s="15" t="s">
        <v>93</v>
      </c>
      <c r="C27" s="16">
        <f>C3/B4-1</f>
        <v>0.99765174332533557</v>
      </c>
      <c r="D27" s="16">
        <f t="shared" ref="D27:E27" si="5">D3/C4-1</f>
        <v>1.9161412942703504</v>
      </c>
      <c r="E27" s="16">
        <f t="shared" si="5"/>
        <v>0.44883856464907179</v>
      </c>
      <c r="F27" s="17">
        <v>0.10059999999999999</v>
      </c>
      <c r="G27" s="17">
        <f>$F$27</f>
        <v>0.10059999999999999</v>
      </c>
      <c r="H27" s="17">
        <f t="shared" ref="H27:J27" si="6">$F$27</f>
        <v>0.10059999999999999</v>
      </c>
      <c r="I27" s="17">
        <f t="shared" si="6"/>
        <v>0.10059999999999999</v>
      </c>
      <c r="J27" s="17">
        <f t="shared" si="6"/>
        <v>0.10059999999999999</v>
      </c>
      <c r="L27" s="1" t="s">
        <v>115</v>
      </c>
    </row>
    <row r="28" spans="1:12" x14ac:dyDescent="0.2">
      <c r="A28" s="1" t="s">
        <v>95</v>
      </c>
      <c r="B28" s="16">
        <f>B4/B3</f>
        <v>0.79429892141756553</v>
      </c>
      <c r="C28" s="16">
        <f t="shared" ref="C28:E28" si="7">C4/C3</f>
        <v>0.55126239394868648</v>
      </c>
      <c r="D28" s="16">
        <f t="shared" si="7"/>
        <v>0.57279793981591876</v>
      </c>
      <c r="E28" s="16">
        <f t="shared" si="7"/>
        <v>0.58004827031375705</v>
      </c>
      <c r="F28" s="17">
        <f>AVERAGE(C28:E28)</f>
        <v>0.5680362013594541</v>
      </c>
      <c r="G28" s="17">
        <f>F28</f>
        <v>0.5680362013594541</v>
      </c>
      <c r="H28" s="17">
        <f>$G$28</f>
        <v>0.5680362013594541</v>
      </c>
      <c r="I28" s="17">
        <f t="shared" ref="I28:J28" si="8">$G$28</f>
        <v>0.5680362013594541</v>
      </c>
      <c r="J28" s="17">
        <f t="shared" si="8"/>
        <v>0.5680362013594541</v>
      </c>
    </row>
    <row r="29" spans="1:12" x14ac:dyDescent="0.2">
      <c r="A29" s="15" t="s">
        <v>100</v>
      </c>
      <c r="B29" s="16">
        <f>B6/B3</f>
        <v>0.44027248398345631</v>
      </c>
      <c r="C29" s="16">
        <f t="shared" ref="C29:E29" si="9">C6/C3</f>
        <v>0.2878718184605949</v>
      </c>
      <c r="D29" s="16">
        <f t="shared" si="9"/>
        <v>0.20584354682308806</v>
      </c>
      <c r="E29" s="16">
        <f t="shared" si="9"/>
        <v>0.24845803164387234</v>
      </c>
      <c r="F29" s="16">
        <f>AVERAGE(C29:E29)</f>
        <v>0.24739113230918511</v>
      </c>
      <c r="G29" s="16">
        <f>$F$29</f>
        <v>0.24739113230918511</v>
      </c>
      <c r="H29" s="16">
        <f t="shared" ref="H29:J29" si="10">$F$29</f>
        <v>0.24739113230918511</v>
      </c>
      <c r="I29" s="16">
        <f t="shared" si="10"/>
        <v>0.24739113230918511</v>
      </c>
      <c r="J29" s="16">
        <f t="shared" si="10"/>
        <v>0.24739113230918511</v>
      </c>
    </row>
    <row r="31" spans="1:12" x14ac:dyDescent="0.2">
      <c r="A31" s="15" t="s">
        <v>112</v>
      </c>
      <c r="B31" s="16">
        <f>B11/B10</f>
        <v>0.29161882893226176</v>
      </c>
      <c r="C31" s="16">
        <f t="shared" ref="C31:E31" si="11">C11/C10</f>
        <v>0.26050269299820467</v>
      </c>
      <c r="D31" s="16">
        <f t="shared" si="11"/>
        <v>0.26299123091912957</v>
      </c>
      <c r="E31" s="16">
        <f t="shared" si="11"/>
        <v>0.216639909339881</v>
      </c>
      <c r="F31" s="17">
        <f>AVERAGE(B31:E31)</f>
        <v>0.25793816554736926</v>
      </c>
      <c r="G31" s="17">
        <f>$F$31</f>
        <v>0.25793816554736926</v>
      </c>
      <c r="H31" s="17">
        <f t="shared" ref="H31:J31" si="12">$F$31</f>
        <v>0.25793816554736926</v>
      </c>
      <c r="I31" s="17">
        <f t="shared" si="12"/>
        <v>0.25793816554736926</v>
      </c>
      <c r="J31" s="17">
        <f t="shared" si="12"/>
        <v>0.25793816554736926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8CCA-A416-7143-B27C-AD39B58B87FF}">
  <dimension ref="A2:J46"/>
  <sheetViews>
    <sheetView topLeftCell="A25" zoomScale="125" workbookViewId="0">
      <selection activeCell="F46" sqref="F46"/>
    </sheetView>
  </sheetViews>
  <sheetFormatPr baseColWidth="10" defaultRowHeight="16" x14ac:dyDescent="0.2"/>
  <cols>
    <col min="1" max="1" width="55.83203125" style="1" bestFit="1" customWidth="1"/>
    <col min="2" max="3" width="15.33203125" style="1" bestFit="1" customWidth="1"/>
    <col min="4" max="4" width="11.83203125" style="1" bestFit="1" customWidth="1"/>
    <col min="5" max="5" width="15.33203125" style="1" bestFit="1" customWidth="1"/>
    <col min="6" max="6" width="11.33203125" style="1" bestFit="1" customWidth="1"/>
    <col min="7" max="8" width="11.1640625" style="1" bestFit="1" customWidth="1"/>
    <col min="9" max="10" width="12.83203125" style="1" bestFit="1" customWidth="1"/>
    <col min="11" max="16384" width="10.83203125" style="1"/>
  </cols>
  <sheetData>
    <row r="2" spans="1:10" x14ac:dyDescent="0.2">
      <c r="B2" s="12" t="s">
        <v>96</v>
      </c>
      <c r="C2" s="12" t="s">
        <v>97</v>
      </c>
      <c r="D2" s="12" t="s">
        <v>98</v>
      </c>
      <c r="E2" s="12" t="s">
        <v>99</v>
      </c>
      <c r="F2" s="12" t="s">
        <v>88</v>
      </c>
      <c r="G2" s="12" t="s">
        <v>89</v>
      </c>
      <c r="H2" s="12" t="s">
        <v>90</v>
      </c>
      <c r="I2" s="12" t="s">
        <v>91</v>
      </c>
      <c r="J2" s="12" t="s">
        <v>92</v>
      </c>
    </row>
    <row r="3" spans="1:10" x14ac:dyDescent="0.2">
      <c r="A3" s="8" t="s">
        <v>18</v>
      </c>
      <c r="B3" s="3">
        <v>84616000</v>
      </c>
      <c r="C3" s="3">
        <v>83739000</v>
      </c>
      <c r="D3" s="3">
        <v>84618000</v>
      </c>
      <c r="E3" s="3">
        <v>88539000</v>
      </c>
      <c r="F3" s="14">
        <f>F41*IS!F1</f>
        <v>0</v>
      </c>
      <c r="G3" s="14"/>
      <c r="H3" s="14"/>
      <c r="I3" s="14"/>
      <c r="J3" s="14"/>
    </row>
    <row r="4" spans="1:10" x14ac:dyDescent="0.2">
      <c r="A4" s="11" t="s">
        <v>19</v>
      </c>
      <c r="B4" s="3">
        <v>9386000</v>
      </c>
      <c r="C4" s="3">
        <v>10977000</v>
      </c>
      <c r="D4" s="3">
        <v>14536000</v>
      </c>
      <c r="E4" s="3">
        <v>13809000</v>
      </c>
      <c r="F4" s="14"/>
      <c r="G4" s="14"/>
      <c r="H4" s="14"/>
      <c r="I4" s="14"/>
      <c r="J4" s="14"/>
    </row>
    <row r="5" spans="1:10" x14ac:dyDescent="0.2">
      <c r="A5" s="10" t="s">
        <v>20</v>
      </c>
      <c r="B5" s="3">
        <v>1885000</v>
      </c>
      <c r="C5" s="3">
        <v>2205000</v>
      </c>
      <c r="D5" s="3">
        <v>1980000</v>
      </c>
      <c r="E5" s="3">
        <v>1729000</v>
      </c>
      <c r="F5" s="14"/>
      <c r="G5" s="14"/>
      <c r="H5" s="14"/>
      <c r="I5" s="14"/>
      <c r="J5" s="14"/>
    </row>
    <row r="6" spans="1:10" x14ac:dyDescent="0.2">
      <c r="A6" s="10" t="s">
        <v>21</v>
      </c>
      <c r="B6" s="3">
        <v>3884000</v>
      </c>
      <c r="C6" s="3">
        <v>4662000</v>
      </c>
      <c r="D6" s="3">
        <v>6312000</v>
      </c>
      <c r="E6" s="3">
        <v>6715000</v>
      </c>
      <c r="F6" s="14"/>
      <c r="G6" s="14"/>
      <c r="H6" s="14"/>
      <c r="I6" s="14"/>
      <c r="J6" s="14"/>
    </row>
    <row r="7" spans="1:10" x14ac:dyDescent="0.2">
      <c r="A7" s="10" t="s">
        <v>22</v>
      </c>
      <c r="B7" s="3">
        <v>3617000</v>
      </c>
      <c r="C7" s="3">
        <v>4110000</v>
      </c>
      <c r="D7" s="3">
        <v>5072000</v>
      </c>
      <c r="E7" s="3">
        <v>5365000</v>
      </c>
      <c r="F7" s="14"/>
      <c r="G7" s="14"/>
      <c r="H7" s="14"/>
      <c r="I7" s="14"/>
      <c r="J7" s="14"/>
    </row>
    <row r="8" spans="1:10" x14ac:dyDescent="0.2">
      <c r="A8" s="8" t="s">
        <v>23</v>
      </c>
      <c r="B8" s="3">
        <v>75230000</v>
      </c>
      <c r="C8" s="3">
        <v>72762000</v>
      </c>
      <c r="D8" s="3">
        <v>70082000</v>
      </c>
      <c r="E8" s="3">
        <v>74730000</v>
      </c>
      <c r="F8" s="14">
        <f>Table2[[#This Row],[2023]]*(1+F45)</f>
        <v>78466500</v>
      </c>
      <c r="G8" s="14">
        <f>Table2[[#This Row],[2023]]*(1+G45)</f>
        <v>78466500</v>
      </c>
      <c r="H8" s="14">
        <f>Table2[[#This Row],[2023]]*(1+H45)</f>
        <v>76971900</v>
      </c>
      <c r="I8" s="14">
        <f>Table2[[#This Row],[2023]]*(1+I45)</f>
        <v>76971900</v>
      </c>
      <c r="J8" s="14">
        <f>Table2[[#This Row],[2023]]*(1+J45)</f>
        <v>76224600</v>
      </c>
    </row>
    <row r="9" spans="1:10" x14ac:dyDescent="0.2">
      <c r="A9" s="10" t="s">
        <v>24</v>
      </c>
      <c r="B9" s="3">
        <v>70416000</v>
      </c>
      <c r="C9" s="3">
        <v>67772000</v>
      </c>
      <c r="D9" s="3">
        <v>64649000</v>
      </c>
      <c r="E9" s="3">
        <v>69408000</v>
      </c>
      <c r="F9" s="14"/>
      <c r="G9" s="14"/>
      <c r="H9" s="14"/>
      <c r="I9" s="14"/>
      <c r="J9" s="14"/>
    </row>
    <row r="10" spans="1:10" x14ac:dyDescent="0.2">
      <c r="A10" s="10" t="s">
        <v>25</v>
      </c>
      <c r="B10" s="3">
        <v>3328000</v>
      </c>
      <c r="C10" s="3">
        <v>3523000</v>
      </c>
      <c r="D10" s="3">
        <v>3586000</v>
      </c>
      <c r="E10" s="3">
        <v>3528000</v>
      </c>
      <c r="F10" s="14"/>
      <c r="G10" s="14"/>
      <c r="H10" s="14"/>
      <c r="I10" s="14"/>
      <c r="J10" s="14"/>
    </row>
    <row r="11" spans="1:10" x14ac:dyDescent="0.2">
      <c r="A11" s="10" t="s">
        <v>26</v>
      </c>
      <c r="B11" s="3">
        <v>323000</v>
      </c>
      <c r="C11" s="3">
        <v>391000</v>
      </c>
      <c r="D11" s="3">
        <v>306000</v>
      </c>
      <c r="E11" s="3">
        <v>490000</v>
      </c>
      <c r="F11" s="14"/>
      <c r="G11" s="14"/>
      <c r="H11" s="14"/>
      <c r="I11" s="14"/>
      <c r="J11" s="14"/>
    </row>
    <row r="12" spans="1:10" x14ac:dyDescent="0.2">
      <c r="A12" s="10" t="s">
        <v>27</v>
      </c>
      <c r="B12" s="3">
        <v>209000</v>
      </c>
      <c r="C12" s="3">
        <v>160000</v>
      </c>
      <c r="D12" s="3">
        <v>81000</v>
      </c>
      <c r="E12" s="3">
        <v>84000</v>
      </c>
      <c r="F12" s="14"/>
      <c r="G12" s="14"/>
      <c r="H12" s="14"/>
      <c r="I12" s="14"/>
      <c r="J12" s="14"/>
    </row>
    <row r="13" spans="1:10" x14ac:dyDescent="0.2">
      <c r="A13" s="10" t="s">
        <v>28</v>
      </c>
      <c r="B13" s="3">
        <v>954000</v>
      </c>
      <c r="C13" s="3">
        <v>916000</v>
      </c>
      <c r="D13" s="3">
        <v>481000</v>
      </c>
      <c r="E13" s="3">
        <v>661000</v>
      </c>
      <c r="F13" s="14"/>
      <c r="G13" s="14"/>
      <c r="H13" s="14"/>
      <c r="I13" s="14"/>
      <c r="J13" s="14"/>
    </row>
    <row r="14" spans="1:10" x14ac:dyDescent="0.2">
      <c r="A14" s="10" t="s">
        <v>29</v>
      </c>
      <c r="B14" s="3">
        <v>954000</v>
      </c>
      <c r="C14" s="3">
        <v>916000</v>
      </c>
      <c r="D14" s="3">
        <v>767000</v>
      </c>
      <c r="E14" s="3">
        <v>352000</v>
      </c>
      <c r="F14" s="14"/>
      <c r="G14" s="14"/>
      <c r="H14" s="14"/>
      <c r="I14" s="14"/>
      <c r="J14" s="14"/>
    </row>
    <row r="15" spans="1:10" x14ac:dyDescent="0.2">
      <c r="A15" s="10"/>
      <c r="B15" s="3"/>
      <c r="C15" s="3"/>
      <c r="D15" s="3"/>
      <c r="E15" s="3"/>
      <c r="F15" s="14"/>
      <c r="G15" s="14"/>
      <c r="H15" s="14"/>
      <c r="I15" s="14"/>
      <c r="J15" s="14"/>
    </row>
    <row r="16" spans="1:10" x14ac:dyDescent="0.2">
      <c r="A16" s="8" t="s">
        <v>86</v>
      </c>
      <c r="B16" s="3">
        <v>48859000</v>
      </c>
      <c r="C16" s="3">
        <v>47125000</v>
      </c>
      <c r="D16" s="3">
        <v>45251000</v>
      </c>
      <c r="E16" s="3">
        <v>45260000</v>
      </c>
      <c r="F16" s="14"/>
      <c r="G16" s="14"/>
      <c r="H16" s="14"/>
      <c r="I16" s="14"/>
      <c r="J16" s="14"/>
    </row>
    <row r="17" spans="1:10" x14ac:dyDescent="0.2">
      <c r="A17" s="11" t="s">
        <v>30</v>
      </c>
      <c r="B17" s="3">
        <v>10549000</v>
      </c>
      <c r="C17" s="3">
        <v>10399000</v>
      </c>
      <c r="D17" s="3">
        <v>12869000</v>
      </c>
      <c r="E17" s="3">
        <v>9597000</v>
      </c>
      <c r="F17" s="14"/>
      <c r="G17" s="14"/>
      <c r="H17" s="14"/>
      <c r="I17" s="14"/>
      <c r="J17" s="14"/>
    </row>
    <row r="18" spans="1:10" x14ac:dyDescent="0.2">
      <c r="A18" s="10" t="s">
        <v>31</v>
      </c>
      <c r="B18" s="3">
        <v>4771000</v>
      </c>
      <c r="C18" s="3">
        <v>7795000</v>
      </c>
      <c r="D18" s="3">
        <v>8651000</v>
      </c>
      <c r="E18" s="3">
        <v>7772000</v>
      </c>
      <c r="F18" s="14"/>
      <c r="G18" s="14"/>
      <c r="H18" s="14"/>
      <c r="I18" s="14"/>
      <c r="J18" s="14"/>
    </row>
    <row r="19" spans="1:10" x14ac:dyDescent="0.2">
      <c r="A19" s="10" t="s">
        <v>32</v>
      </c>
      <c r="B19" s="3">
        <v>527000</v>
      </c>
      <c r="C19" s="3">
        <v>779000</v>
      </c>
      <c r="D19" s="3">
        <v>564000</v>
      </c>
      <c r="E19" s="3">
        <v>983000</v>
      </c>
      <c r="F19" s="14"/>
      <c r="G19" s="14"/>
      <c r="H19" s="14"/>
      <c r="I19" s="14"/>
      <c r="J19" s="14"/>
    </row>
    <row r="20" spans="1:10" x14ac:dyDescent="0.2">
      <c r="A20" s="10" t="s">
        <v>33</v>
      </c>
      <c r="B20" s="3">
        <v>5251000</v>
      </c>
      <c r="C20" s="3">
        <v>1825000</v>
      </c>
      <c r="D20" s="3">
        <v>3124000</v>
      </c>
      <c r="E20" s="3">
        <v>842000</v>
      </c>
      <c r="F20" s="14"/>
      <c r="G20" s="14"/>
      <c r="H20" s="14"/>
      <c r="I20" s="14"/>
      <c r="J20" s="14"/>
    </row>
    <row r="21" spans="1:10" x14ac:dyDescent="0.2">
      <c r="A21" s="8" t="s">
        <v>85</v>
      </c>
      <c r="B21" s="3">
        <v>38310000</v>
      </c>
      <c r="C21" s="3">
        <v>36726000</v>
      </c>
      <c r="D21" s="3">
        <v>32382000</v>
      </c>
      <c r="E21" s="3">
        <v>35663000</v>
      </c>
      <c r="F21" s="14"/>
      <c r="G21" s="14"/>
      <c r="H21" s="14"/>
      <c r="I21" s="14"/>
      <c r="J21" s="14"/>
    </row>
    <row r="22" spans="1:10" x14ac:dyDescent="0.2">
      <c r="A22" s="8" t="s">
        <v>34</v>
      </c>
      <c r="B22" s="3">
        <v>35757000</v>
      </c>
      <c r="C22" s="3">
        <v>36614000</v>
      </c>
      <c r="D22" s="3">
        <v>39367000</v>
      </c>
      <c r="E22" s="3">
        <v>43279000</v>
      </c>
      <c r="F22" s="14"/>
      <c r="G22" s="14"/>
      <c r="H22" s="14"/>
      <c r="I22" s="14"/>
      <c r="J22" s="14"/>
    </row>
    <row r="23" spans="1:10" x14ac:dyDescent="0.2">
      <c r="A23" s="10" t="s">
        <v>35</v>
      </c>
      <c r="B23" s="3">
        <v>25144000</v>
      </c>
      <c r="C23" s="3">
        <v>23650000</v>
      </c>
      <c r="D23" s="3">
        <v>22257000</v>
      </c>
      <c r="E23" s="3">
        <v>21661000</v>
      </c>
      <c r="F23" s="14"/>
      <c r="G23" s="14"/>
      <c r="H23" s="14"/>
      <c r="I23" s="14"/>
      <c r="J23" s="14"/>
    </row>
    <row r="24" spans="1:10" x14ac:dyDescent="0.2">
      <c r="A24" s="10" t="s">
        <v>36</v>
      </c>
      <c r="B24" s="3">
        <v>9145000</v>
      </c>
      <c r="C24" s="3">
        <v>11538000</v>
      </c>
      <c r="D24" s="3">
        <v>15565000</v>
      </c>
      <c r="E24" s="3">
        <v>20001000</v>
      </c>
      <c r="F24" s="14"/>
      <c r="G24" s="14"/>
      <c r="H24" s="14"/>
      <c r="I24" s="14"/>
      <c r="J24" s="14"/>
    </row>
    <row r="25" spans="1:10" x14ac:dyDescent="0.2">
      <c r="A25" s="10" t="s">
        <v>37</v>
      </c>
      <c r="B25" s="3">
        <v>591000</v>
      </c>
      <c r="C25" s="3">
        <v>612000</v>
      </c>
      <c r="D25" s="3">
        <v>571000</v>
      </c>
      <c r="E25" s="3">
        <v>569000</v>
      </c>
      <c r="F25" s="14"/>
      <c r="G25" s="14"/>
      <c r="H25" s="14"/>
      <c r="I25" s="14"/>
      <c r="J25" s="14"/>
    </row>
    <row r="26" spans="1:10" x14ac:dyDescent="0.2">
      <c r="A26" s="10" t="s">
        <v>38</v>
      </c>
      <c r="B26" s="3">
        <v>877000</v>
      </c>
      <c r="C26" s="3">
        <v>814000</v>
      </c>
      <c r="D26" s="3">
        <v>974000</v>
      </c>
      <c r="E26" s="3">
        <v>1048000</v>
      </c>
      <c r="F26" s="14"/>
      <c r="G26" s="14"/>
      <c r="H26" s="14"/>
      <c r="I26" s="14"/>
      <c r="J26" s="14"/>
    </row>
    <row r="27" spans="1:10" x14ac:dyDescent="0.2">
      <c r="A27" s="10" t="s">
        <v>39</v>
      </c>
      <c r="B27" s="3">
        <v>49569000</v>
      </c>
      <c r="C27" s="3">
        <v>50603000</v>
      </c>
      <c r="D27" s="3">
        <v>49167000</v>
      </c>
      <c r="E27" s="3">
        <v>54366000</v>
      </c>
      <c r="F27" s="14"/>
      <c r="G27" s="14"/>
      <c r="H27" s="14"/>
      <c r="I27" s="14"/>
      <c r="J27" s="14"/>
    </row>
    <row r="28" spans="1:10" x14ac:dyDescent="0.2">
      <c r="A28" s="10" t="s">
        <v>40</v>
      </c>
      <c r="B28" s="3">
        <v>35757000</v>
      </c>
      <c r="C28" s="3">
        <v>36614000</v>
      </c>
      <c r="D28" s="3">
        <v>39367000</v>
      </c>
      <c r="E28" s="3">
        <v>43279000</v>
      </c>
      <c r="F28" s="14"/>
      <c r="G28" s="14"/>
      <c r="H28" s="14"/>
      <c r="I28" s="14"/>
      <c r="J28" s="14"/>
    </row>
    <row r="29" spans="1:10" x14ac:dyDescent="0.2">
      <c r="A29" s="10" t="s">
        <v>41</v>
      </c>
      <c r="B29" s="3">
        <v>2908000</v>
      </c>
      <c r="C29" s="3">
        <v>2850000</v>
      </c>
      <c r="D29" s="3">
        <v>3012000</v>
      </c>
      <c r="E29" s="3">
        <v>3826000</v>
      </c>
      <c r="F29" s="14"/>
      <c r="G29" s="14"/>
      <c r="H29" s="14"/>
      <c r="I29" s="14"/>
      <c r="J29" s="14"/>
    </row>
    <row r="30" spans="1:10" x14ac:dyDescent="0.2">
      <c r="A30" s="10"/>
      <c r="B30" s="3"/>
      <c r="C30" s="3"/>
      <c r="D30" s="3"/>
      <c r="E30" s="3"/>
      <c r="F30" s="14"/>
      <c r="G30" s="14"/>
      <c r="H30" s="14"/>
      <c r="I30" s="14"/>
      <c r="J30" s="14"/>
    </row>
    <row r="31" spans="1:10" x14ac:dyDescent="0.2">
      <c r="A31" s="10"/>
      <c r="B31" s="3"/>
      <c r="C31" s="3"/>
      <c r="D31" s="3"/>
      <c r="E31" s="3"/>
      <c r="F31" s="14"/>
      <c r="G31" s="14"/>
      <c r="H31" s="14"/>
      <c r="I31" s="14"/>
      <c r="J31" s="14"/>
    </row>
    <row r="32" spans="1:10" x14ac:dyDescent="0.2">
      <c r="A32" s="2" t="s">
        <v>42</v>
      </c>
      <c r="B32" s="3">
        <v>32429000</v>
      </c>
      <c r="C32" s="3">
        <v>33091000</v>
      </c>
      <c r="D32" s="3">
        <v>35781000</v>
      </c>
      <c r="E32" s="3">
        <v>39751000</v>
      </c>
      <c r="F32" s="14"/>
      <c r="G32" s="14"/>
      <c r="H32" s="14"/>
      <c r="I32" s="14"/>
      <c r="J32" s="14"/>
    </row>
    <row r="33" spans="1:10" x14ac:dyDescent="0.2">
      <c r="A33" s="2" t="s">
        <v>43</v>
      </c>
      <c r="B33" s="3">
        <v>-1163000</v>
      </c>
      <c r="C33" s="3">
        <v>578000</v>
      </c>
      <c r="D33" s="3">
        <v>1667000</v>
      </c>
      <c r="E33" s="3">
        <v>4212000</v>
      </c>
      <c r="F33" s="14"/>
      <c r="G33" s="14"/>
      <c r="H33" s="14"/>
      <c r="I33" s="14"/>
      <c r="J33" s="14"/>
    </row>
    <row r="34" spans="1:10" x14ac:dyDescent="0.2">
      <c r="A34" s="2" t="s">
        <v>44</v>
      </c>
      <c r="B34" s="3">
        <v>54548000</v>
      </c>
      <c r="C34" s="3">
        <v>52118000</v>
      </c>
      <c r="D34" s="3">
        <v>51974000</v>
      </c>
      <c r="E34" s="3">
        <v>54860000</v>
      </c>
      <c r="F34" s="14"/>
      <c r="G34" s="14"/>
      <c r="H34" s="14"/>
      <c r="I34" s="14"/>
      <c r="J34" s="14"/>
    </row>
    <row r="35" spans="1:10" x14ac:dyDescent="0.2">
      <c r="A35" s="2" t="s">
        <v>45</v>
      </c>
      <c r="B35" s="3">
        <v>32429000</v>
      </c>
      <c r="C35" s="3">
        <v>33091000</v>
      </c>
      <c r="D35" s="3">
        <v>35781000</v>
      </c>
      <c r="E35" s="3">
        <v>39751000</v>
      </c>
      <c r="F35" s="14"/>
      <c r="G35" s="14"/>
      <c r="H35" s="14"/>
      <c r="I35" s="14"/>
      <c r="J35" s="14"/>
    </row>
    <row r="36" spans="1:10" x14ac:dyDescent="0.2">
      <c r="A36" s="2" t="s">
        <v>46</v>
      </c>
      <c r="B36" s="3">
        <v>21699000</v>
      </c>
      <c r="C36" s="3">
        <v>18354000</v>
      </c>
      <c r="D36" s="3">
        <v>15619000</v>
      </c>
      <c r="E36" s="3">
        <v>15407000</v>
      </c>
      <c r="F36" s="14"/>
      <c r="G36" s="14"/>
      <c r="H36" s="14"/>
      <c r="I36" s="14"/>
      <c r="J36" s="14"/>
    </row>
    <row r="37" spans="1:10" x14ac:dyDescent="0.2">
      <c r="A37" s="2" t="s">
        <v>47</v>
      </c>
      <c r="B37" s="3">
        <v>16906000</v>
      </c>
      <c r="C37" s="3">
        <v>13299000</v>
      </c>
      <c r="D37" s="3">
        <v>10627000</v>
      </c>
      <c r="E37" s="3">
        <v>9852000</v>
      </c>
      <c r="F37" s="14"/>
      <c r="G37" s="14"/>
      <c r="H37" s="14"/>
      <c r="I37" s="14"/>
      <c r="J37" s="14"/>
    </row>
    <row r="38" spans="1:10" x14ac:dyDescent="0.2">
      <c r="A38" s="2" t="s">
        <v>48</v>
      </c>
      <c r="B38" s="3">
        <v>1525150.79</v>
      </c>
      <c r="C38" s="3">
        <v>1441250.8</v>
      </c>
      <c r="D38" s="3">
        <v>1337470.74</v>
      </c>
      <c r="E38" s="3">
        <v>1290099.79</v>
      </c>
      <c r="F38" s="14"/>
      <c r="G38" s="14"/>
      <c r="H38" s="14"/>
      <c r="I38" s="14"/>
      <c r="J38" s="14"/>
    </row>
    <row r="39" spans="1:10" x14ac:dyDescent="0.2">
      <c r="A39" s="2" t="s">
        <v>49</v>
      </c>
      <c r="B39" s="3">
        <v>1525150.79</v>
      </c>
      <c r="C39" s="3">
        <v>1441250.8</v>
      </c>
      <c r="D39" s="3">
        <v>1337470.74</v>
      </c>
      <c r="E39" s="3">
        <v>1290099.79</v>
      </c>
      <c r="F39" s="14"/>
      <c r="G39" s="14"/>
      <c r="H39" s="14"/>
      <c r="I39" s="14"/>
      <c r="J39" s="14"/>
    </row>
    <row r="42" spans="1:10" x14ac:dyDescent="0.2">
      <c r="A42" s="2" t="s">
        <v>84</v>
      </c>
      <c r="B42" s="12">
        <v>2020</v>
      </c>
      <c r="C42" s="12">
        <v>2021</v>
      </c>
      <c r="D42" s="12">
        <v>2022</v>
      </c>
      <c r="E42" s="12">
        <v>2023</v>
      </c>
      <c r="F42" s="12" t="s">
        <v>88</v>
      </c>
      <c r="G42" s="12" t="s">
        <v>89</v>
      </c>
      <c r="H42" s="12" t="s">
        <v>90</v>
      </c>
      <c r="I42" s="12" t="s">
        <v>91</v>
      </c>
      <c r="J42" s="12" t="s">
        <v>92</v>
      </c>
    </row>
    <row r="43" spans="1:10" x14ac:dyDescent="0.2">
      <c r="A43" s="2" t="s">
        <v>102</v>
      </c>
      <c r="B43" s="16">
        <f>B5/IS!B3</f>
        <v>7.6433379287973405E-2</v>
      </c>
      <c r="C43" s="16">
        <f>C5/IS!C3</f>
        <v>5.6347746090156393E-2</v>
      </c>
      <c r="D43" s="16">
        <f>D5/IS!D3</f>
        <v>3.1475034574848584E-2</v>
      </c>
      <c r="E43" s="16">
        <f>E5/IS!E3</f>
        <v>3.3118798605524268E-2</v>
      </c>
      <c r="F43" s="16">
        <f>AVERAGE(B43:E43)</f>
        <v>4.9343739639625663E-2</v>
      </c>
      <c r="G43" s="16">
        <f>$F$43</f>
        <v>4.9343739639625663E-2</v>
      </c>
      <c r="H43" s="16">
        <f t="shared" ref="H43:J43" si="0">$F$43</f>
        <v>4.9343739639625663E-2</v>
      </c>
      <c r="I43" s="16">
        <f t="shared" si="0"/>
        <v>4.9343739639625663E-2</v>
      </c>
      <c r="J43" s="16">
        <f t="shared" si="0"/>
        <v>4.9343739639625663E-2</v>
      </c>
    </row>
    <row r="44" spans="1:10" x14ac:dyDescent="0.2">
      <c r="A44" s="2"/>
      <c r="B44" s="16"/>
      <c r="C44" s="16"/>
      <c r="D44" s="16"/>
      <c r="E44" s="16"/>
      <c r="F44" s="16"/>
      <c r="G44" s="16"/>
      <c r="H44" s="16"/>
      <c r="I44" s="16"/>
      <c r="J44" s="16"/>
    </row>
    <row r="45" spans="1:10" x14ac:dyDescent="0.2">
      <c r="A45" s="2" t="s">
        <v>114</v>
      </c>
      <c r="B45" s="16"/>
      <c r="C45" s="16">
        <f>C8/B8-1</f>
        <v>-3.2806061411670862E-2</v>
      </c>
      <c r="D45" s="16">
        <f t="shared" ref="D45:E45" si="1">D8/C8-1</f>
        <v>-3.6832412523020275E-2</v>
      </c>
      <c r="E45" s="16">
        <f t="shared" si="1"/>
        <v>6.6322308153306198E-2</v>
      </c>
      <c r="F45" s="16">
        <v>0.05</v>
      </c>
      <c r="G45" s="16">
        <f>$F$45</f>
        <v>0.05</v>
      </c>
      <c r="H45" s="16">
        <v>0.03</v>
      </c>
      <c r="I45" s="16">
        <v>0.03</v>
      </c>
      <c r="J45" s="16">
        <v>0.02</v>
      </c>
    </row>
    <row r="46" spans="1:10" x14ac:dyDescent="0.2">
      <c r="A46" s="2" t="s">
        <v>113</v>
      </c>
      <c r="B46" s="16">
        <f>CF!B5/BS!B8</f>
        <v>0.12662501661571182</v>
      </c>
      <c r="C46" s="16">
        <f>CF!C5/BS!C8</f>
        <v>8.0399109425249443E-2</v>
      </c>
      <c r="D46" s="16">
        <f>CF!D5/BS!D8</f>
        <v>0.12536742672868925</v>
      </c>
      <c r="E46" s="16">
        <f>CF!E5/BS!E8</f>
        <v>8.6109995985547971E-2</v>
      </c>
      <c r="F46" s="16">
        <f>AVERAGE(B46:E46)</f>
        <v>0.10462538718879962</v>
      </c>
      <c r="G46" s="16">
        <f>$F$46</f>
        <v>0.10462538718879962</v>
      </c>
      <c r="H46" s="16">
        <f t="shared" ref="H46:J46" si="2">$F$46</f>
        <v>0.10462538718879962</v>
      </c>
      <c r="I46" s="16">
        <f t="shared" si="2"/>
        <v>0.10462538718879962</v>
      </c>
      <c r="J46" s="16">
        <f t="shared" si="2"/>
        <v>0.10462538718879962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64BF-A318-D54D-BA9D-1E3DA587AC44}">
  <dimension ref="A1:J41"/>
  <sheetViews>
    <sheetView topLeftCell="A33" zoomScale="88" workbookViewId="0">
      <selection activeCell="A42" sqref="A42"/>
    </sheetView>
  </sheetViews>
  <sheetFormatPr baseColWidth="10" defaultRowHeight="16" x14ac:dyDescent="0.2"/>
  <cols>
    <col min="1" max="1" width="52.5" style="1" bestFit="1" customWidth="1"/>
    <col min="2" max="2" width="12.6640625" style="1" bestFit="1" customWidth="1"/>
    <col min="3" max="3" width="13.1640625" style="1" bestFit="1" customWidth="1"/>
    <col min="4" max="4" width="14" style="1" bestFit="1" customWidth="1"/>
    <col min="5" max="5" width="13.1640625" style="1" bestFit="1" customWidth="1"/>
    <col min="6" max="8" width="10.83203125" style="1"/>
    <col min="9" max="10" width="11.83203125" style="1" bestFit="1" customWidth="1"/>
    <col min="11" max="16384" width="10.83203125" style="1"/>
  </cols>
  <sheetData>
    <row r="1" spans="1:10" x14ac:dyDescent="0.2">
      <c r="B1" s="12" t="s">
        <v>96</v>
      </c>
      <c r="C1" s="12" t="s">
        <v>97</v>
      </c>
      <c r="D1" s="12" t="s">
        <v>98</v>
      </c>
      <c r="E1" s="12" t="s">
        <v>99</v>
      </c>
      <c r="F1" s="12" t="s">
        <v>88</v>
      </c>
      <c r="G1" s="12" t="s">
        <v>89</v>
      </c>
      <c r="H1" s="12" t="s">
        <v>90</v>
      </c>
      <c r="I1" s="12" t="s">
        <v>91</v>
      </c>
      <c r="J1" s="12" t="s">
        <v>92</v>
      </c>
    </row>
    <row r="2" spans="1:10" s="7" customFormat="1" x14ac:dyDescent="0.2">
      <c r="A2" s="8" t="s">
        <v>50</v>
      </c>
      <c r="B2" s="9">
        <v>2675000</v>
      </c>
      <c r="C2" s="9">
        <v>11764000</v>
      </c>
      <c r="D2" s="9">
        <v>15680000</v>
      </c>
      <c r="E2" s="9">
        <v>12344000</v>
      </c>
      <c r="F2" s="13"/>
      <c r="G2" s="13"/>
      <c r="H2" s="13"/>
      <c r="I2" s="13"/>
      <c r="J2" s="13"/>
    </row>
    <row r="3" spans="1:10" x14ac:dyDescent="0.2">
      <c r="A3" s="10" t="s">
        <v>51</v>
      </c>
      <c r="B3" s="3">
        <v>-4319000</v>
      </c>
      <c r="C3" s="3">
        <v>4119000</v>
      </c>
      <c r="D3" s="3">
        <v>9077000</v>
      </c>
      <c r="E3" s="3">
        <v>8295000</v>
      </c>
      <c r="F3" s="14"/>
      <c r="G3" s="14"/>
      <c r="H3" s="14"/>
      <c r="I3" s="14"/>
      <c r="J3" s="14"/>
    </row>
    <row r="4" spans="1:10" x14ac:dyDescent="0.2">
      <c r="A4" s="10" t="s">
        <v>52</v>
      </c>
      <c r="B4" s="3">
        <v>-328000</v>
      </c>
      <c r="C4" s="3">
        <v>-290000</v>
      </c>
      <c r="D4" s="3">
        <v>806000</v>
      </c>
      <c r="E4" s="3">
        <v>-1176000</v>
      </c>
      <c r="F4" s="14"/>
      <c r="G4" s="14"/>
      <c r="H4" s="14"/>
      <c r="I4" s="14"/>
      <c r="J4" s="14"/>
    </row>
    <row r="5" spans="1:10" x14ac:dyDescent="0.2">
      <c r="A5" s="10" t="s">
        <v>53</v>
      </c>
      <c r="B5" s="3">
        <v>9526000</v>
      </c>
      <c r="C5" s="3">
        <v>5850000</v>
      </c>
      <c r="D5" s="3">
        <v>8786000</v>
      </c>
      <c r="E5" s="3">
        <v>6435000</v>
      </c>
      <c r="F5" s="14"/>
      <c r="G5" s="14"/>
      <c r="H5" s="14"/>
      <c r="I5" s="14"/>
      <c r="J5" s="14"/>
    </row>
    <row r="6" spans="1:10" x14ac:dyDescent="0.2">
      <c r="A6" s="10" t="s">
        <v>54</v>
      </c>
      <c r="B6" s="3">
        <v>-1119000</v>
      </c>
      <c r="C6" s="3">
        <v>56000</v>
      </c>
      <c r="D6" s="3">
        <v>-990000</v>
      </c>
      <c r="E6" s="3">
        <v>560000</v>
      </c>
      <c r="F6" s="14"/>
      <c r="G6" s="14"/>
      <c r="H6" s="14"/>
      <c r="I6" s="14"/>
      <c r="J6" s="14"/>
    </row>
    <row r="7" spans="1:10" x14ac:dyDescent="0.2">
      <c r="A7" s="10" t="s">
        <v>55</v>
      </c>
      <c r="B7" s="3">
        <v>108000</v>
      </c>
      <c r="C7" s="3">
        <v>-13000</v>
      </c>
      <c r="D7" s="3">
        <v>-38000</v>
      </c>
      <c r="E7" s="3">
        <v>-5000</v>
      </c>
      <c r="F7" s="14"/>
      <c r="G7" s="14"/>
      <c r="H7" s="14"/>
      <c r="I7" s="14"/>
      <c r="J7" s="14"/>
    </row>
    <row r="8" spans="1:10" x14ac:dyDescent="0.2">
      <c r="A8" s="10" t="s">
        <v>56</v>
      </c>
      <c r="B8" s="3">
        <v>-238000</v>
      </c>
      <c r="C8" s="3">
        <v>205000</v>
      </c>
      <c r="D8" s="3">
        <v>328000</v>
      </c>
      <c r="E8" s="3">
        <v>108000</v>
      </c>
      <c r="F8" s="14"/>
      <c r="G8" s="14"/>
      <c r="H8" s="14"/>
      <c r="I8" s="14"/>
      <c r="J8" s="14"/>
    </row>
    <row r="9" spans="1:10" x14ac:dyDescent="0.2">
      <c r="A9" s="10" t="s">
        <v>57</v>
      </c>
      <c r="B9" s="3">
        <v>246000</v>
      </c>
      <c r="C9" s="3">
        <v>330000</v>
      </c>
      <c r="D9" s="3">
        <v>132000</v>
      </c>
      <c r="E9" s="3">
        <v>-892000</v>
      </c>
      <c r="F9" s="14"/>
      <c r="G9" s="14"/>
      <c r="H9" s="14"/>
      <c r="I9" s="14"/>
      <c r="J9" s="14"/>
    </row>
    <row r="10" spans="1:10" x14ac:dyDescent="0.2">
      <c r="A10" s="10" t="s">
        <v>58</v>
      </c>
      <c r="B10" s="3">
        <v>-1201000</v>
      </c>
      <c r="C10" s="3">
        <v>1507000</v>
      </c>
      <c r="D10" s="3">
        <v>-2421000</v>
      </c>
      <c r="E10" s="3">
        <v>-981000</v>
      </c>
      <c r="F10" s="14"/>
      <c r="G10" s="14"/>
      <c r="H10" s="14"/>
      <c r="I10" s="14"/>
      <c r="J10" s="14"/>
    </row>
    <row r="11" spans="1:10" s="7" customFormat="1" x14ac:dyDescent="0.2">
      <c r="A11" s="8" t="s">
        <v>59</v>
      </c>
      <c r="B11" s="9">
        <v>-4524000</v>
      </c>
      <c r="C11" s="9">
        <v>-3977000</v>
      </c>
      <c r="D11" s="9">
        <v>-4789000</v>
      </c>
      <c r="E11" s="9">
        <v>-6511000</v>
      </c>
      <c r="F11" s="13"/>
      <c r="G11" s="13"/>
      <c r="H11" s="13"/>
      <c r="I11" s="13"/>
      <c r="J11" s="13"/>
    </row>
    <row r="12" spans="1:10" x14ac:dyDescent="0.2">
      <c r="A12" s="10" t="s">
        <v>60</v>
      </c>
      <c r="B12" s="3">
        <v>-3926000</v>
      </c>
      <c r="C12" s="3">
        <v>-4555000</v>
      </c>
      <c r="D12" s="3">
        <v>-5120000</v>
      </c>
      <c r="E12" s="3">
        <v>-5936000</v>
      </c>
      <c r="F12" s="14">
        <f>F41*IS!F3</f>
        <v>-6761168.2916867929</v>
      </c>
      <c r="G12" s="14">
        <f>G41*IS!G3</f>
        <v>-7441341.8218304841</v>
      </c>
      <c r="H12" s="14">
        <f>H41*IS!H3</f>
        <v>-8189940.8091066312</v>
      </c>
      <c r="I12" s="14">
        <f>I41*IS!I3</f>
        <v>-9013848.854502758</v>
      </c>
      <c r="J12" s="14">
        <f>J41*IS!J3</f>
        <v>-9920642.0492657349</v>
      </c>
    </row>
    <row r="13" spans="1:10" x14ac:dyDescent="0.2">
      <c r="A13" s="10" t="s">
        <v>61</v>
      </c>
      <c r="B13" s="3">
        <v>-113000</v>
      </c>
      <c r="C13" s="3">
        <v>-28000</v>
      </c>
      <c r="D13" s="3">
        <v>-36000</v>
      </c>
      <c r="E13" s="3">
        <v>-83000</v>
      </c>
      <c r="F13" s="14"/>
      <c r="G13" s="14"/>
      <c r="H13" s="14"/>
      <c r="I13" s="14"/>
      <c r="J13" s="14"/>
    </row>
    <row r="14" spans="1:10" x14ac:dyDescent="0.2">
      <c r="A14" s="10" t="s">
        <v>62</v>
      </c>
      <c r="B14" s="3">
        <v>-113000</v>
      </c>
      <c r="C14" s="3">
        <v>-28000</v>
      </c>
      <c r="D14" s="3" t="s">
        <v>11</v>
      </c>
      <c r="E14" s="3" t="s">
        <v>11</v>
      </c>
      <c r="F14" s="14"/>
      <c r="G14" s="14"/>
      <c r="H14" s="14"/>
      <c r="I14" s="14"/>
      <c r="J14" s="14"/>
    </row>
    <row r="15" spans="1:10" x14ac:dyDescent="0.2">
      <c r="A15" s="10" t="s">
        <v>63</v>
      </c>
      <c r="B15" s="3">
        <v>-485000</v>
      </c>
      <c r="C15" s="3">
        <v>606000</v>
      </c>
      <c r="D15" s="3">
        <v>367000</v>
      </c>
      <c r="E15" s="3">
        <v>1902000</v>
      </c>
      <c r="F15" s="14"/>
      <c r="G15" s="14"/>
      <c r="H15" s="14"/>
      <c r="I15" s="14"/>
      <c r="J15" s="14"/>
    </row>
    <row r="16" spans="1:10" s="7" customFormat="1" x14ac:dyDescent="0.2">
      <c r="A16" s="8" t="s">
        <v>64</v>
      </c>
      <c r="B16" s="9">
        <v>1786000</v>
      </c>
      <c r="C16" s="9">
        <v>-7464000</v>
      </c>
      <c r="D16" s="9">
        <v>-11228000</v>
      </c>
      <c r="E16" s="9">
        <v>-5990000</v>
      </c>
      <c r="F16" s="13"/>
      <c r="G16" s="13"/>
      <c r="H16" s="13"/>
      <c r="I16" s="13"/>
      <c r="J16" s="13"/>
    </row>
    <row r="17" spans="1:10" x14ac:dyDescent="0.2">
      <c r="A17" s="10" t="s">
        <v>65</v>
      </c>
      <c r="B17" s="3">
        <v>3744000</v>
      </c>
      <c r="C17" s="3">
        <v>-3609000</v>
      </c>
      <c r="D17" s="3">
        <v>-3984000</v>
      </c>
      <c r="E17" s="3">
        <v>-1179000</v>
      </c>
      <c r="F17" s="14"/>
      <c r="G17" s="14"/>
      <c r="H17" s="14"/>
      <c r="I17" s="14"/>
      <c r="J17" s="14"/>
    </row>
    <row r="18" spans="1:10" x14ac:dyDescent="0.2">
      <c r="A18" s="10" t="s">
        <v>66</v>
      </c>
      <c r="B18" s="3">
        <v>2299000</v>
      </c>
      <c r="C18" s="3">
        <v>-1353000</v>
      </c>
      <c r="D18" s="3">
        <v>-5457000</v>
      </c>
      <c r="E18" s="3">
        <v>1164000</v>
      </c>
      <c r="F18" s="14"/>
      <c r="G18" s="14"/>
      <c r="H18" s="14"/>
      <c r="I18" s="14"/>
      <c r="J18" s="14"/>
    </row>
    <row r="19" spans="1:10" x14ac:dyDescent="0.2">
      <c r="A19" s="10" t="s">
        <v>67</v>
      </c>
      <c r="B19" s="3">
        <v>1445000</v>
      </c>
      <c r="C19" s="3">
        <v>-2256000</v>
      </c>
      <c r="D19" s="3">
        <v>1473000</v>
      </c>
      <c r="E19" s="3">
        <v>-2343000</v>
      </c>
      <c r="F19" s="14"/>
      <c r="G19" s="14"/>
      <c r="H19" s="14"/>
      <c r="I19" s="14"/>
      <c r="J19" s="14"/>
    </row>
    <row r="20" spans="1:10" x14ac:dyDescent="0.2">
      <c r="A20" s="10" t="s">
        <v>68</v>
      </c>
      <c r="B20" s="3">
        <v>-307000</v>
      </c>
      <c r="C20" s="3">
        <v>-2304000</v>
      </c>
      <c r="D20" s="3">
        <v>-5135000</v>
      </c>
      <c r="E20" s="3">
        <v>-2233000</v>
      </c>
      <c r="F20" s="14"/>
      <c r="G20" s="14"/>
      <c r="H20" s="14"/>
      <c r="I20" s="14"/>
      <c r="J20" s="14"/>
    </row>
    <row r="21" spans="1:10" x14ac:dyDescent="0.2">
      <c r="A21" s="10" t="s">
        <v>69</v>
      </c>
      <c r="B21" s="3">
        <v>-307000</v>
      </c>
      <c r="C21" s="3">
        <v>-2304000</v>
      </c>
      <c r="D21" s="3">
        <v>-5135000</v>
      </c>
      <c r="E21" s="3">
        <v>-2233000</v>
      </c>
      <c r="F21" s="14"/>
      <c r="G21" s="14"/>
      <c r="H21" s="14"/>
      <c r="I21" s="14"/>
      <c r="J21" s="14"/>
    </row>
    <row r="22" spans="1:10" x14ac:dyDescent="0.2">
      <c r="A22" s="10" t="s">
        <v>70</v>
      </c>
      <c r="B22" s="3">
        <v>-1670000</v>
      </c>
      <c r="C22" s="3">
        <v>-1550000</v>
      </c>
      <c r="D22" s="3">
        <v>-2596000</v>
      </c>
      <c r="E22" s="3">
        <v>-2749000</v>
      </c>
      <c r="F22" s="14"/>
      <c r="G22" s="14"/>
      <c r="H22" s="14"/>
      <c r="I22" s="14"/>
      <c r="J22" s="14"/>
    </row>
    <row r="23" spans="1:10" x14ac:dyDescent="0.2">
      <c r="A23" s="10" t="s">
        <v>71</v>
      </c>
      <c r="B23" s="3">
        <v>29000</v>
      </c>
      <c r="C23" s="3">
        <v>8000</v>
      </c>
      <c r="D23" s="3">
        <v>496000</v>
      </c>
      <c r="E23" s="3">
        <v>187000</v>
      </c>
      <c r="F23" s="14"/>
      <c r="G23" s="14"/>
      <c r="H23" s="14"/>
      <c r="I23" s="14"/>
      <c r="J23" s="14"/>
    </row>
    <row r="24" spans="1:10" x14ac:dyDescent="0.2">
      <c r="A24" s="10" t="s">
        <v>72</v>
      </c>
      <c r="B24" s="3">
        <v>-10000</v>
      </c>
      <c r="C24" s="3">
        <v>-9000</v>
      </c>
      <c r="D24" s="3">
        <v>-9000</v>
      </c>
      <c r="E24" s="3">
        <v>-16000</v>
      </c>
      <c r="F24" s="14"/>
      <c r="G24" s="14"/>
      <c r="H24" s="14"/>
      <c r="I24" s="14"/>
      <c r="J24" s="14"/>
    </row>
    <row r="25" spans="1:10" x14ac:dyDescent="0.2">
      <c r="A25" s="3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2">
      <c r="A26" s="8" t="s">
        <v>73</v>
      </c>
      <c r="B26" s="9">
        <v>1885000</v>
      </c>
      <c r="C26" s="9">
        <v>2205000</v>
      </c>
      <c r="D26" s="9">
        <v>1980000</v>
      </c>
      <c r="E26" s="9">
        <v>1729000</v>
      </c>
      <c r="F26" s="13"/>
      <c r="G26" s="13"/>
      <c r="H26" s="13"/>
      <c r="I26" s="13"/>
      <c r="J26" s="13"/>
    </row>
    <row r="27" spans="1:10" x14ac:dyDescent="0.2">
      <c r="A27" s="2" t="s">
        <v>74</v>
      </c>
      <c r="B27" s="3">
        <v>-63000</v>
      </c>
      <c r="C27" s="3">
        <v>323000</v>
      </c>
      <c r="D27" s="3">
        <v>-337000</v>
      </c>
      <c r="E27" s="3">
        <v>-157000</v>
      </c>
      <c r="F27" s="14"/>
      <c r="G27" s="14"/>
      <c r="H27" s="14"/>
      <c r="I27" s="14"/>
      <c r="J27" s="14"/>
    </row>
    <row r="28" spans="1:10" x14ac:dyDescent="0.2">
      <c r="A28" s="2" t="s">
        <v>75</v>
      </c>
      <c r="B28" s="3">
        <v>-12000</v>
      </c>
      <c r="C28" s="3">
        <v>-3000</v>
      </c>
      <c r="D28" s="3">
        <v>112000</v>
      </c>
      <c r="E28" s="3">
        <v>-94000</v>
      </c>
      <c r="F28" s="14"/>
      <c r="G28" s="14"/>
      <c r="H28" s="14"/>
      <c r="I28" s="14"/>
      <c r="J28" s="14"/>
    </row>
    <row r="29" spans="1:10" x14ac:dyDescent="0.2">
      <c r="A29" s="2" t="s">
        <v>76</v>
      </c>
      <c r="B29" s="3">
        <v>1960000</v>
      </c>
      <c r="C29" s="3">
        <v>1885000</v>
      </c>
      <c r="D29" s="3">
        <v>2205000</v>
      </c>
      <c r="E29" s="3">
        <v>1980000</v>
      </c>
      <c r="F29" s="14"/>
      <c r="G29" s="14"/>
      <c r="H29" s="14"/>
      <c r="I29" s="14"/>
      <c r="J29" s="14"/>
    </row>
    <row r="30" spans="1:10" x14ac:dyDescent="0.2">
      <c r="A30" s="2" t="s">
        <v>77</v>
      </c>
      <c r="B30" s="3">
        <v>695000</v>
      </c>
      <c r="C30" s="3" t="s">
        <v>11</v>
      </c>
      <c r="D30" s="3">
        <v>4737000</v>
      </c>
      <c r="E30" s="3">
        <v>2604000</v>
      </c>
      <c r="F30" s="14"/>
      <c r="G30" s="14"/>
      <c r="H30" s="14"/>
      <c r="I30" s="14"/>
      <c r="J30" s="14"/>
    </row>
    <row r="31" spans="1:10" x14ac:dyDescent="0.2">
      <c r="A31" s="2" t="s">
        <v>78</v>
      </c>
      <c r="B31" s="3">
        <v>1028000</v>
      </c>
      <c r="C31" s="3">
        <v>980000</v>
      </c>
      <c r="D31" s="3">
        <v>973000</v>
      </c>
      <c r="E31" s="3">
        <v>887000</v>
      </c>
      <c r="F31" s="14"/>
      <c r="G31" s="14"/>
      <c r="H31" s="14"/>
      <c r="I31" s="14"/>
      <c r="J31" s="14"/>
    </row>
    <row r="32" spans="1:10" x14ac:dyDescent="0.2">
      <c r="A32" s="2" t="s">
        <v>79</v>
      </c>
      <c r="B32" s="3">
        <v>-3926000</v>
      </c>
      <c r="C32" s="3">
        <v>-4555000</v>
      </c>
      <c r="D32" s="3">
        <v>-5120000</v>
      </c>
      <c r="E32" s="3">
        <v>-5936000</v>
      </c>
      <c r="F32" s="14"/>
      <c r="G32" s="14"/>
      <c r="H32" s="14"/>
      <c r="I32" s="14"/>
      <c r="J32" s="14"/>
    </row>
    <row r="33" spans="1:10" x14ac:dyDescent="0.2">
      <c r="A33" s="2" t="s">
        <v>80</v>
      </c>
      <c r="B33" s="3">
        <v>2634000</v>
      </c>
      <c r="C33" s="3">
        <v>1423000</v>
      </c>
      <c r="D33" s="3" t="s">
        <v>11</v>
      </c>
      <c r="E33" s="3">
        <v>1500000</v>
      </c>
      <c r="F33" s="14"/>
      <c r="G33" s="14"/>
      <c r="H33" s="14"/>
      <c r="I33" s="14"/>
      <c r="J33" s="14"/>
    </row>
    <row r="34" spans="1:10" x14ac:dyDescent="0.2">
      <c r="A34" s="2" t="s">
        <v>81</v>
      </c>
      <c r="B34" s="3">
        <v>-335000</v>
      </c>
      <c r="C34" s="3">
        <v>-2776000</v>
      </c>
      <c r="D34" s="3">
        <v>-5457000</v>
      </c>
      <c r="E34" s="3">
        <v>-336000</v>
      </c>
      <c r="F34" s="14"/>
      <c r="G34" s="14"/>
      <c r="H34" s="14"/>
      <c r="I34" s="14"/>
      <c r="J34" s="14"/>
    </row>
    <row r="35" spans="1:10" x14ac:dyDescent="0.2">
      <c r="A35" s="2" t="s">
        <v>82</v>
      </c>
      <c r="B35" s="3">
        <v>-307000</v>
      </c>
      <c r="C35" s="3">
        <v>-2304000</v>
      </c>
      <c r="D35" s="3">
        <v>-5135000</v>
      </c>
      <c r="E35" s="3">
        <v>-2233000</v>
      </c>
      <c r="F35" s="14"/>
      <c r="G35" s="14"/>
      <c r="H35" s="14"/>
      <c r="I35" s="14"/>
      <c r="J35" s="14"/>
    </row>
    <row r="36" spans="1:10" x14ac:dyDescent="0.2">
      <c r="A36" s="2" t="s">
        <v>83</v>
      </c>
      <c r="B36" s="3">
        <v>-1251000</v>
      </c>
      <c r="C36" s="3">
        <v>7209000</v>
      </c>
      <c r="D36" s="3">
        <v>10560000</v>
      </c>
      <c r="E36" s="3">
        <v>6408000</v>
      </c>
      <c r="F36" s="14"/>
      <c r="G36" s="14"/>
      <c r="H36" s="14"/>
      <c r="I36" s="14"/>
      <c r="J36" s="14"/>
    </row>
    <row r="37" spans="1:10" x14ac:dyDescent="0.2">
      <c r="A37" s="3"/>
    </row>
    <row r="39" spans="1:10" x14ac:dyDescent="0.2">
      <c r="A39" s="2" t="s">
        <v>87</v>
      </c>
      <c r="B39" s="12">
        <v>2020</v>
      </c>
      <c r="C39" s="12">
        <v>2021</v>
      </c>
      <c r="D39" s="12">
        <v>2022</v>
      </c>
      <c r="E39" s="12">
        <v>2023</v>
      </c>
      <c r="F39" s="12" t="s">
        <v>88</v>
      </c>
      <c r="G39" s="12" t="s">
        <v>89</v>
      </c>
      <c r="H39" s="12" t="s">
        <v>90</v>
      </c>
      <c r="I39" s="12" t="s">
        <v>91</v>
      </c>
      <c r="J39" s="12" t="s">
        <v>92</v>
      </c>
    </row>
    <row r="41" spans="1:10" x14ac:dyDescent="0.2">
      <c r="A41" s="1" t="s">
        <v>116</v>
      </c>
      <c r="B41" s="16">
        <f>B12/IS!B3</f>
        <v>-0.15919227962046872</v>
      </c>
      <c r="C41" s="16">
        <f>C12/IS!C3</f>
        <v>-0.11640089951957477</v>
      </c>
      <c r="D41" s="16">
        <f>D12/IS!D3</f>
        <v>-8.1389988395568061E-2</v>
      </c>
      <c r="E41" s="16">
        <f>E12/IS!E3</f>
        <v>-0.11370340573880397</v>
      </c>
      <c r="F41" s="17">
        <f>AVERAGE(B41:E41)</f>
        <v>-0.11767164331860389</v>
      </c>
      <c r="G41" s="17">
        <f>$F$41</f>
        <v>-0.11767164331860389</v>
      </c>
      <c r="H41" s="17">
        <f t="shared" ref="H41:J41" si="0">$F$41</f>
        <v>-0.11767164331860389</v>
      </c>
      <c r="I41" s="17">
        <f t="shared" si="0"/>
        <v>-0.11767164331860389</v>
      </c>
      <c r="J41" s="17">
        <f t="shared" si="0"/>
        <v>-0.11767164331860389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41C38-2FCC-1D46-929D-BF96557526BD}">
  <dimension ref="A1:N25"/>
  <sheetViews>
    <sheetView zoomScale="134" workbookViewId="0">
      <selection activeCell="C26" sqref="C26"/>
    </sheetView>
  </sheetViews>
  <sheetFormatPr baseColWidth="10" defaultRowHeight="16" x14ac:dyDescent="0.2"/>
  <cols>
    <col min="1" max="1" width="20" bestFit="1" customWidth="1"/>
    <col min="2" max="2" width="18.5" bestFit="1" customWidth="1"/>
    <col min="4" max="5" width="10.1640625" bestFit="1" customWidth="1"/>
    <col min="8" max="8" width="11.1640625" bestFit="1" customWidth="1"/>
    <col min="9" max="10" width="12.6640625" bestFit="1" customWidth="1"/>
    <col min="11" max="11" width="17.1640625" bestFit="1" customWidth="1"/>
  </cols>
  <sheetData>
    <row r="1" spans="1:14" x14ac:dyDescent="0.2">
      <c r="B1" s="18" t="s">
        <v>96</v>
      </c>
      <c r="C1" s="19" t="s">
        <v>97</v>
      </c>
      <c r="D1" s="19" t="s">
        <v>98</v>
      </c>
      <c r="E1" s="19" t="s">
        <v>99</v>
      </c>
      <c r="F1" s="19" t="s">
        <v>88</v>
      </c>
      <c r="G1" s="19" t="s">
        <v>89</v>
      </c>
      <c r="H1" s="19" t="s">
        <v>90</v>
      </c>
      <c r="I1" s="19" t="s">
        <v>91</v>
      </c>
      <c r="J1" s="20" t="s">
        <v>92</v>
      </c>
    </row>
    <row r="2" spans="1:14" x14ac:dyDescent="0.2">
      <c r="A2" t="s">
        <v>103</v>
      </c>
      <c r="B2" s="21">
        <f>IS!B3</f>
        <v>24662000</v>
      </c>
      <c r="C2" s="21">
        <f>IS!C3</f>
        <v>39132000</v>
      </c>
      <c r="D2" s="21">
        <f>IS!D3</f>
        <v>62907000</v>
      </c>
      <c r="E2" s="21">
        <f>IS!E3</f>
        <v>52206000</v>
      </c>
      <c r="F2" s="21">
        <f>IS!F3</f>
        <v>57457923.600000001</v>
      </c>
      <c r="G2" s="21">
        <f>IS!G3</f>
        <v>63238190.714160003</v>
      </c>
      <c r="H2" s="21">
        <f>IS!H3</f>
        <v>69599952.700004503</v>
      </c>
      <c r="I2" s="21">
        <f>IS!I3</f>
        <v>76601707.941624954</v>
      </c>
      <c r="J2" s="21">
        <f>IS!J3</f>
        <v>84307839.760552421</v>
      </c>
    </row>
    <row r="3" spans="1:14" x14ac:dyDescent="0.2">
      <c r="A3" t="s">
        <v>104</v>
      </c>
      <c r="B3" s="21">
        <f>IS!B4</f>
        <v>19589000</v>
      </c>
      <c r="C3" s="21">
        <f>IS!C4</f>
        <v>21572000</v>
      </c>
      <c r="D3" s="21">
        <f>IS!D4</f>
        <v>36033000</v>
      </c>
      <c r="E3" s="21">
        <f>IS!E4</f>
        <v>30282000</v>
      </c>
      <c r="F3" s="21">
        <f>IS!F4</f>
        <v>32638180.65974573</v>
      </c>
      <c r="G3" s="21">
        <f>IS!G4</f>
        <v>35921581.63411615</v>
      </c>
      <c r="H3" s="21">
        <f>IS!H4</f>
        <v>39535292.746508241</v>
      </c>
      <c r="I3" s="21">
        <f>IS!I4</f>
        <v>43512543.196806967</v>
      </c>
      <c r="J3" s="21">
        <f>IS!J4</f>
        <v>47889905.042405747</v>
      </c>
    </row>
    <row r="4" spans="1:14" x14ac:dyDescent="0.2">
      <c r="A4" t="s">
        <v>105</v>
      </c>
      <c r="B4" s="21">
        <f>IS!B5</f>
        <v>5073000</v>
      </c>
      <c r="C4" s="21">
        <f>IS!C5</f>
        <v>17560000</v>
      </c>
      <c r="D4" s="21">
        <f>IS!D5</f>
        <v>26874000</v>
      </c>
      <c r="E4" s="21">
        <f>IS!E5</f>
        <v>21924000</v>
      </c>
      <c r="F4" s="21">
        <f>IS!F5</f>
        <v>24819742.940254271</v>
      </c>
      <c r="G4" s="21">
        <f>IS!G5</f>
        <v>27316609.080043852</v>
      </c>
      <c r="H4" s="21">
        <f>IS!H5</f>
        <v>30064659.953496262</v>
      </c>
      <c r="I4" s="21">
        <f>IS!I5</f>
        <v>33089164.744817987</v>
      </c>
      <c r="J4" s="21">
        <f>IS!J5</f>
        <v>36417934.718146674</v>
      </c>
    </row>
    <row r="5" spans="1:14" x14ac:dyDescent="0.2">
      <c r="A5" t="s">
        <v>106</v>
      </c>
      <c r="B5" s="21">
        <f>IS!B6</f>
        <v>10858000</v>
      </c>
      <c r="C5" s="21">
        <f>IS!C6</f>
        <v>11265000</v>
      </c>
      <c r="D5" s="21">
        <f>IS!D6</f>
        <v>12949000</v>
      </c>
      <c r="E5" s="21">
        <f>IS!E6</f>
        <v>12971000</v>
      </c>
      <c r="F5" s="21">
        <f>IS!F6</f>
        <v>14214580.77953865</v>
      </c>
      <c r="G5" s="21">
        <f>IS!G6</f>
        <v>15644567.605960239</v>
      </c>
      <c r="H5" s="21">
        <f>IS!H6</f>
        <v>17218411.10711984</v>
      </c>
      <c r="I5" s="21">
        <f>IS!I6</f>
        <v>18950583.264496095</v>
      </c>
      <c r="J5" s="21">
        <f>IS!J6</f>
        <v>20857011.940904401</v>
      </c>
    </row>
    <row r="6" spans="1:14" x14ac:dyDescent="0.2">
      <c r="A6" t="s">
        <v>107</v>
      </c>
      <c r="B6" s="21">
        <f>IS!B7</f>
        <v>-5785000</v>
      </c>
      <c r="C6" s="21">
        <f>IS!C7</f>
        <v>6295000</v>
      </c>
      <c r="D6" s="21">
        <f>IS!D7</f>
        <v>13925000</v>
      </c>
      <c r="E6" s="21">
        <f>IS!E7</f>
        <v>8953000</v>
      </c>
      <c r="F6" s="21">
        <f>IS!F7</f>
        <v>10605162.160715621</v>
      </c>
      <c r="G6" s="21">
        <f>IS!G7</f>
        <v>11672041.474083614</v>
      </c>
      <c r="H6" s="21">
        <f>IS!H7</f>
        <v>12846248.846376423</v>
      </c>
      <c r="I6" s="21">
        <f>IS!I7</f>
        <v>14138581.480321892</v>
      </c>
      <c r="J6" s="21">
        <f>IS!J7</f>
        <v>15560922.777242273</v>
      </c>
    </row>
    <row r="7" spans="1:14" x14ac:dyDescent="0.2">
      <c r="A7" t="s">
        <v>108</v>
      </c>
      <c r="B7" s="22">
        <f>IS!B31</f>
        <v>0.29161882893226176</v>
      </c>
      <c r="C7" s="22">
        <f>IS!C31</f>
        <v>0.26050269299820467</v>
      </c>
      <c r="D7" s="22">
        <f>IS!D31</f>
        <v>0.26299123091912957</v>
      </c>
      <c r="E7" s="22">
        <f>IS!E31</f>
        <v>0.216639909339881</v>
      </c>
      <c r="F7" s="22">
        <f>IS!F31</f>
        <v>0.25793816554736926</v>
      </c>
      <c r="G7" s="22">
        <f>IS!G31</f>
        <v>0.25793816554736926</v>
      </c>
      <c r="H7" s="22">
        <f>IS!H31</f>
        <v>0.25793816554736926</v>
      </c>
      <c r="I7" s="22">
        <f>IS!I31</f>
        <v>0.25793816554736926</v>
      </c>
      <c r="J7" s="22">
        <f>IS!J31</f>
        <v>0.25793816554736926</v>
      </c>
    </row>
    <row r="9" spans="1:14" x14ac:dyDescent="0.2">
      <c r="A9" t="s">
        <v>109</v>
      </c>
      <c r="B9" s="21">
        <f>CF!B5</f>
        <v>9526000</v>
      </c>
      <c r="C9" s="21">
        <f>CF!C5</f>
        <v>5850000</v>
      </c>
      <c r="D9" s="21">
        <f>CF!D5</f>
        <v>8786000</v>
      </c>
      <c r="E9" s="21">
        <f>CF!E5</f>
        <v>6435000</v>
      </c>
      <c r="F9" s="21">
        <f>BS!F46*BS!F8</f>
        <v>8209587.9438499454</v>
      </c>
      <c r="G9" s="21">
        <f>BS!G46*BS!G8</f>
        <v>8209587.9438499454</v>
      </c>
      <c r="H9" s="21">
        <f>BS!H46*BS!H8</f>
        <v>8053214.8401575647</v>
      </c>
      <c r="I9" s="21">
        <f>BS!I46*BS!I8</f>
        <v>8053214.8401575647</v>
      </c>
      <c r="J9" s="21">
        <f>BS!J46*BS!J8</f>
        <v>7975028.2883113753</v>
      </c>
    </row>
    <row r="10" spans="1:14" x14ac:dyDescent="0.2">
      <c r="A10" t="s">
        <v>111</v>
      </c>
      <c r="B10" s="21">
        <f>CF!B12</f>
        <v>-3926000</v>
      </c>
      <c r="C10" s="21">
        <f>CF!C12</f>
        <v>-4555000</v>
      </c>
      <c r="D10" s="21">
        <f>CF!D12</f>
        <v>-5120000</v>
      </c>
      <c r="E10" s="21">
        <f>CF!E12</f>
        <v>-5936000</v>
      </c>
      <c r="F10" s="21">
        <f>CF!F41*IS!F3</f>
        <v>-6761168.2916867929</v>
      </c>
      <c r="G10" s="21">
        <f>CF!G41*IS!G3</f>
        <v>-7441341.8218304841</v>
      </c>
      <c r="H10" s="21">
        <f>CF!H41*IS!H3</f>
        <v>-8189940.8091066312</v>
      </c>
      <c r="I10" s="21">
        <f>CF!I41*IS!I3</f>
        <v>-9013848.854502758</v>
      </c>
      <c r="J10" s="21">
        <f>CF!J41*IS!J3</f>
        <v>-9920642.0492657349</v>
      </c>
    </row>
    <row r="11" spans="1:14" x14ac:dyDescent="0.2">
      <c r="A11" t="s">
        <v>110</v>
      </c>
      <c r="B11" s="21">
        <f>CF!B10</f>
        <v>-1201000</v>
      </c>
      <c r="C11" s="21">
        <f>CF!C10</f>
        <v>1507000</v>
      </c>
      <c r="D11" s="21">
        <f>CF!D10</f>
        <v>-2421000</v>
      </c>
      <c r="E11" s="21">
        <f>CF!E10</f>
        <v>-981000</v>
      </c>
      <c r="F11" s="21">
        <f>AVERAGE(B11:E11)</f>
        <v>-774000</v>
      </c>
      <c r="G11" s="21">
        <f>$F$11</f>
        <v>-774000</v>
      </c>
      <c r="H11" s="21">
        <f t="shared" ref="H11:J11" si="0">$F$11</f>
        <v>-774000</v>
      </c>
      <c r="I11" s="21">
        <f t="shared" si="0"/>
        <v>-774000</v>
      </c>
      <c r="J11" s="21">
        <f t="shared" si="0"/>
        <v>-774000</v>
      </c>
    </row>
    <row r="13" spans="1:14" x14ac:dyDescent="0.2">
      <c r="A13" t="s">
        <v>117</v>
      </c>
      <c r="F13" s="21">
        <f>F6*(1-F7)+F9+F10-F11</f>
        <v>10092105.739811413</v>
      </c>
      <c r="G13" s="21">
        <f t="shared" ref="G13:J13" si="1">G6*(1-G7)+G9+G10-G11</f>
        <v>10203622.630085137</v>
      </c>
      <c r="H13" s="21">
        <f t="shared" si="1"/>
        <v>10169985.015828015</v>
      </c>
      <c r="I13" s="21">
        <f t="shared" si="1"/>
        <v>10305067.695500461</v>
      </c>
      <c r="J13" s="21">
        <f t="shared" si="1"/>
        <v>10375553.140901767</v>
      </c>
      <c r="K13" s="21">
        <f>L18</f>
        <v>97909556.432703182</v>
      </c>
    </row>
    <row r="15" spans="1:14" x14ac:dyDescent="0.2">
      <c r="A15" t="s">
        <v>140</v>
      </c>
      <c r="B15" s="22">
        <f>WACC!B13</f>
        <v>6.4105640691699467E-2</v>
      </c>
    </row>
    <row r="16" spans="1:14" x14ac:dyDescent="0.2">
      <c r="A16" t="s">
        <v>141</v>
      </c>
      <c r="B16" s="21">
        <f>NPV(B15,F13:K13)</f>
        <v>110017805.46364261</v>
      </c>
      <c r="K16" t="s">
        <v>118</v>
      </c>
      <c r="L16">
        <v>4.16</v>
      </c>
      <c r="N16" t="s">
        <v>121</v>
      </c>
    </row>
    <row r="17" spans="1:12" x14ac:dyDescent="0.2">
      <c r="A17" t="s">
        <v>142</v>
      </c>
      <c r="B17" s="21">
        <f>BS!E5</f>
        <v>1729000</v>
      </c>
      <c r="K17" t="s">
        <v>119</v>
      </c>
      <c r="L17" s="21">
        <f>J6+J9</f>
        <v>23535951.06555365</v>
      </c>
    </row>
    <row r="18" spans="1:12" x14ac:dyDescent="0.2">
      <c r="A18" t="s">
        <v>143</v>
      </c>
      <c r="B18" s="21">
        <f>BS!E36</f>
        <v>15407000</v>
      </c>
      <c r="K18" t="s">
        <v>120</v>
      </c>
      <c r="L18">
        <f>L16*L17</f>
        <v>97909556.432703182</v>
      </c>
    </row>
    <row r="19" spans="1:12" x14ac:dyDescent="0.2">
      <c r="A19" t="s">
        <v>144</v>
      </c>
      <c r="B19" s="21">
        <f>B16+B17-B18</f>
        <v>96339805.463642612</v>
      </c>
    </row>
    <row r="20" spans="1:12" x14ac:dyDescent="0.2">
      <c r="A20" t="s">
        <v>145</v>
      </c>
      <c r="B20" s="21">
        <v>1260000</v>
      </c>
    </row>
    <row r="21" spans="1:12" x14ac:dyDescent="0.2">
      <c r="A21" t="s">
        <v>146</v>
      </c>
      <c r="B21" s="25">
        <f>B19/B20</f>
        <v>76.460163066383032</v>
      </c>
    </row>
    <row r="22" spans="1:12" x14ac:dyDescent="0.2">
      <c r="A22" t="s">
        <v>147</v>
      </c>
      <c r="B22">
        <v>50.37</v>
      </c>
    </row>
    <row r="24" spans="1:12" x14ac:dyDescent="0.2">
      <c r="A24" t="s">
        <v>148</v>
      </c>
      <c r="B24" s="27">
        <f>B21-B22</f>
        <v>26.090163066383035</v>
      </c>
    </row>
    <row r="25" spans="1:12" x14ac:dyDescent="0.2">
      <c r="A25" t="s">
        <v>149</v>
      </c>
      <c r="B25" s="26" t="str">
        <f>IF(B24&gt;1.5,"BUY","SELL")</f>
        <v>BUY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0B5-56D1-BB48-A277-4A1AB98F4666}">
  <dimension ref="A1:D22"/>
  <sheetViews>
    <sheetView tabSelected="1" workbookViewId="0">
      <selection activeCell="A19" sqref="A19"/>
    </sheetView>
  </sheetViews>
  <sheetFormatPr baseColWidth="10" defaultRowHeight="16" x14ac:dyDescent="0.2"/>
  <cols>
    <col min="1" max="1" width="22.6640625" bestFit="1" customWidth="1"/>
  </cols>
  <sheetData>
    <row r="1" spans="1:4" x14ac:dyDescent="0.2">
      <c r="A1" s="7" t="s">
        <v>122</v>
      </c>
    </row>
    <row r="3" spans="1:4" x14ac:dyDescent="0.2">
      <c r="A3" t="s">
        <v>123</v>
      </c>
      <c r="B3" s="22">
        <f>B20+B21*B22</f>
        <v>9.3051999999999996E-2</v>
      </c>
    </row>
    <row r="4" spans="1:4" x14ac:dyDescent="0.2">
      <c r="A4" t="s">
        <v>124</v>
      </c>
      <c r="B4" s="21">
        <f>BS!E22</f>
        <v>43279000</v>
      </c>
    </row>
    <row r="5" spans="1:4" x14ac:dyDescent="0.2">
      <c r="A5" t="s">
        <v>136</v>
      </c>
      <c r="B5">
        <f>B4/BS!E3</f>
        <v>0.48881283953963789</v>
      </c>
    </row>
    <row r="8" spans="1:4" x14ac:dyDescent="0.2">
      <c r="A8" t="s">
        <v>125</v>
      </c>
      <c r="B8" s="22">
        <v>4.65E-2</v>
      </c>
      <c r="D8" t="s">
        <v>137</v>
      </c>
    </row>
    <row r="9" spans="1:4" x14ac:dyDescent="0.2">
      <c r="A9" t="s">
        <v>126</v>
      </c>
      <c r="B9" s="21">
        <f>BS!E16</f>
        <v>45260000</v>
      </c>
    </row>
    <row r="10" spans="1:4" x14ac:dyDescent="0.2">
      <c r="A10" t="s">
        <v>139</v>
      </c>
      <c r="B10">
        <f>BS!E16/BS!E3</f>
        <v>0.51118716046036206</v>
      </c>
    </row>
    <row r="11" spans="1:4" x14ac:dyDescent="0.2">
      <c r="A11" t="s">
        <v>127</v>
      </c>
      <c r="B11" s="22">
        <f>DCF!E7</f>
        <v>0.216639909339881</v>
      </c>
    </row>
    <row r="13" spans="1:4" x14ac:dyDescent="0.2">
      <c r="A13" s="7" t="s">
        <v>138</v>
      </c>
      <c r="B13" s="24">
        <f>(B3*B5)+(B8*B10)*(1-B11)</f>
        <v>6.4105640691699467E-2</v>
      </c>
    </row>
    <row r="18" spans="1:4" x14ac:dyDescent="0.2">
      <c r="A18" t="s">
        <v>128</v>
      </c>
    </row>
    <row r="19" spans="1:4" x14ac:dyDescent="0.2">
      <c r="A19" t="s">
        <v>129</v>
      </c>
    </row>
    <row r="20" spans="1:4" x14ac:dyDescent="0.2">
      <c r="A20" t="s">
        <v>130</v>
      </c>
      <c r="B20" s="23">
        <v>3.2899999999999999E-2</v>
      </c>
      <c r="D20" t="s">
        <v>134</v>
      </c>
    </row>
    <row r="21" spans="1:4" x14ac:dyDescent="0.2">
      <c r="A21" t="s">
        <v>131</v>
      </c>
      <c r="B21">
        <v>1.46</v>
      </c>
      <c r="D21" t="s">
        <v>133</v>
      </c>
    </row>
    <row r="22" spans="1:4" x14ac:dyDescent="0.2">
      <c r="A22" t="s">
        <v>132</v>
      </c>
      <c r="B22" s="22">
        <v>4.1200000000000001E-2</v>
      </c>
      <c r="D22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</vt:lpstr>
      <vt:lpstr>BS</vt:lpstr>
      <vt:lpstr>CF</vt:lpstr>
      <vt:lpstr>DCF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Shriyans Ganpate</dc:creator>
  <cp:lastModifiedBy>Shriyans Ganpate</cp:lastModifiedBy>
  <dcterms:created xsi:type="dcterms:W3CDTF">2024-12-22T23:49:30Z</dcterms:created>
  <dcterms:modified xsi:type="dcterms:W3CDTF">2024-12-25T09:39:12Z</dcterms:modified>
</cp:coreProperties>
</file>