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riyansganpate/Documents/PersonalFiles/"/>
    </mc:Choice>
  </mc:AlternateContent>
  <xr:revisionPtr revIDLastSave="0" documentId="8_{40B96E3C-5128-6C41-9A04-3F6E40D5A960}" xr6:coauthVersionLast="47" xr6:coauthVersionMax="47" xr10:uidLastSave="{00000000-0000-0000-0000-000000000000}"/>
  <bookViews>
    <workbookView xWindow="0" yWindow="500" windowWidth="28800" windowHeight="16000" activeTab="3" xr2:uid="{9F6A0B01-CF13-E74F-BBB0-6E606B024C51}"/>
  </bookViews>
  <sheets>
    <sheet name="IS" sheetId="1" r:id="rId1"/>
    <sheet name="BS" sheetId="2" r:id="rId2"/>
    <sheet name="CF" sheetId="3" r:id="rId3"/>
    <sheet name="DCF" sheetId="4" r:id="rId4"/>
    <sheet name="WACC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3" i="4" s="1"/>
  <c r="B17" i="4"/>
  <c r="D4" i="4"/>
  <c r="E4" i="4"/>
  <c r="C4" i="4"/>
  <c r="B20" i="4"/>
  <c r="B19" i="4"/>
  <c r="B10" i="5"/>
  <c r="B8" i="5"/>
  <c r="B4" i="5"/>
  <c r="B7" i="5"/>
  <c r="B6" i="5"/>
  <c r="B3" i="5"/>
  <c r="B16" i="5"/>
  <c r="F5" i="4" l="1"/>
  <c r="F7" i="4"/>
  <c r="G4" i="4"/>
  <c r="H4" i="4"/>
  <c r="I4" i="4"/>
  <c r="G3" i="4"/>
  <c r="J4" i="4"/>
  <c r="H3" i="4" l="1"/>
  <c r="G5" i="4"/>
  <c r="G7" i="4"/>
  <c r="I3" i="4" l="1"/>
  <c r="H5" i="4"/>
  <c r="H7" i="4"/>
  <c r="J3" i="4" l="1"/>
  <c r="I5" i="4"/>
  <c r="I7" i="4"/>
  <c r="J7" i="4" l="1"/>
  <c r="J5" i="4"/>
  <c r="C13" i="4" l="1"/>
  <c r="D13" i="4"/>
  <c r="E13" i="4"/>
  <c r="B13" i="4"/>
  <c r="F13" i="4" s="1"/>
  <c r="C12" i="4"/>
  <c r="D12" i="4"/>
  <c r="E12" i="4"/>
  <c r="B12" i="4"/>
  <c r="H40" i="3"/>
  <c r="I40" i="3"/>
  <c r="J40" i="3"/>
  <c r="G40" i="3"/>
  <c r="G12" i="3" s="1"/>
  <c r="F12" i="3"/>
  <c r="H12" i="3"/>
  <c r="F40" i="3"/>
  <c r="C40" i="3"/>
  <c r="D40" i="3"/>
  <c r="E40" i="3"/>
  <c r="B40" i="3"/>
  <c r="C11" i="4"/>
  <c r="D11" i="4"/>
  <c r="E11" i="4"/>
  <c r="B11" i="4"/>
  <c r="C38" i="3"/>
  <c r="D38" i="3"/>
  <c r="E38" i="3"/>
  <c r="B38" i="3"/>
  <c r="F38" i="3" s="1"/>
  <c r="C9" i="4"/>
  <c r="D9" i="4"/>
  <c r="E9" i="4"/>
  <c r="F9" i="4"/>
  <c r="G9" i="4"/>
  <c r="H9" i="4"/>
  <c r="I9" i="4"/>
  <c r="J9" i="4"/>
  <c r="B9" i="4"/>
  <c r="H32" i="1"/>
  <c r="I32" i="1"/>
  <c r="J32" i="1"/>
  <c r="G32" i="1"/>
  <c r="F32" i="1"/>
  <c r="C32" i="1"/>
  <c r="D32" i="1"/>
  <c r="E32" i="1"/>
  <c r="B32" i="1"/>
  <c r="B5" i="4"/>
  <c r="C5" i="4"/>
  <c r="D5" i="4"/>
  <c r="E5" i="4"/>
  <c r="B7" i="4"/>
  <c r="C7" i="4"/>
  <c r="D7" i="4"/>
  <c r="E7" i="4"/>
  <c r="C3" i="4"/>
  <c r="C6" i="4" s="1"/>
  <c r="C8" i="4" s="1"/>
  <c r="D3" i="4"/>
  <c r="E3" i="4"/>
  <c r="E6" i="4" s="1"/>
  <c r="E8" i="4" s="1"/>
  <c r="G6" i="4"/>
  <c r="G8" i="4" s="1"/>
  <c r="H6" i="4"/>
  <c r="H8" i="4" s="1"/>
  <c r="I6" i="4"/>
  <c r="I8" i="4" s="1"/>
  <c r="J6" i="4"/>
  <c r="J8" i="4" s="1"/>
  <c r="B3" i="4"/>
  <c r="B6" i="4" s="1"/>
  <c r="B8" i="4" s="1"/>
  <c r="J2" i="1"/>
  <c r="J3" i="1" s="1"/>
  <c r="J4" i="1" s="1"/>
  <c r="I2" i="1"/>
  <c r="I5" i="1" s="1"/>
  <c r="H2" i="1"/>
  <c r="G2" i="1"/>
  <c r="G5" i="1" s="1"/>
  <c r="G3" i="1"/>
  <c r="G4" i="1" s="1"/>
  <c r="H3" i="1"/>
  <c r="H4" i="1" s="1"/>
  <c r="H6" i="1" s="1"/>
  <c r="H5" i="1"/>
  <c r="F6" i="1"/>
  <c r="F5" i="1"/>
  <c r="H30" i="1"/>
  <c r="I30" i="1"/>
  <c r="J30" i="1"/>
  <c r="G30" i="1"/>
  <c r="F30" i="1"/>
  <c r="C30" i="1"/>
  <c r="D30" i="1"/>
  <c r="E30" i="1"/>
  <c r="B30" i="1"/>
  <c r="F4" i="1"/>
  <c r="F3" i="1"/>
  <c r="H29" i="1"/>
  <c r="I29" i="1"/>
  <c r="J29" i="1"/>
  <c r="G29" i="1"/>
  <c r="F29" i="1"/>
  <c r="C29" i="1"/>
  <c r="D29" i="1"/>
  <c r="E29" i="1"/>
  <c r="B29" i="1"/>
  <c r="F2" i="1"/>
  <c r="H28" i="1"/>
  <c r="I28" i="1"/>
  <c r="J28" i="1"/>
  <c r="G28" i="1"/>
  <c r="F28" i="1"/>
  <c r="D28" i="1"/>
  <c r="E28" i="1"/>
  <c r="C28" i="1"/>
  <c r="I12" i="4" l="1"/>
  <c r="I11" i="4"/>
  <c r="J11" i="4"/>
  <c r="J12" i="4"/>
  <c r="H11" i="4"/>
  <c r="H12" i="4"/>
  <c r="G12" i="4"/>
  <c r="G11" i="4"/>
  <c r="D6" i="4"/>
  <c r="D8" i="4" s="1"/>
  <c r="I13" i="4"/>
  <c r="H13" i="4"/>
  <c r="J13" i="4"/>
  <c r="G13" i="4"/>
  <c r="I15" i="4"/>
  <c r="F6" i="4"/>
  <c r="F8" i="4" s="1"/>
  <c r="J38" i="3"/>
  <c r="J5" i="3" s="1"/>
  <c r="K18" i="4" s="1"/>
  <c r="K19" i="4" s="1"/>
  <c r="G38" i="3"/>
  <c r="G5" i="3" s="1"/>
  <c r="F5" i="3"/>
  <c r="I38" i="3"/>
  <c r="I5" i="3" s="1"/>
  <c r="H38" i="3"/>
  <c r="H5" i="3" s="1"/>
  <c r="J5" i="1"/>
  <c r="J6" i="1" s="1"/>
  <c r="I3" i="1"/>
  <c r="I4" i="1" s="1"/>
  <c r="I6" i="1" s="1"/>
  <c r="G6" i="1"/>
  <c r="F11" i="4" l="1"/>
  <c r="F12" i="4"/>
  <c r="H15" i="4"/>
  <c r="G15" i="4"/>
  <c r="J15" i="4"/>
  <c r="F15" i="4"/>
  <c r="B18" i="4" s="1"/>
  <c r="J12" i="3"/>
  <c r="I12" i="3"/>
  <c r="B21" i="4" l="1"/>
  <c r="B23" i="4" s="1"/>
  <c r="B26" i="4" s="1"/>
  <c r="B27" i="4" s="1"/>
</calcChain>
</file>

<file path=xl/sharedStrings.xml><?xml version="1.0" encoding="utf-8"?>
<sst xmlns="http://schemas.openxmlformats.org/spreadsheetml/2006/main" count="208" uniqueCount="148">
  <si>
    <t>Breakdown</t>
  </si>
  <si>
    <t>Total Revenue</t>
  </si>
  <si>
    <t>Cost of Revenue</t>
  </si>
  <si>
    <t>Gross Profit</t>
  </si>
  <si>
    <t>Operating Expense</t>
  </si>
  <si>
    <t>Operating Income</t>
  </si>
  <si>
    <t>Other Income Expense</t>
  </si>
  <si>
    <t>Pretax Income</t>
  </si>
  <si>
    <t>Tax Provision</t>
  </si>
  <si>
    <t>Net Income Common Stockholders</t>
  </si>
  <si>
    <t>Diluted NI Available to Com Stockholders</t>
  </si>
  <si>
    <t>Basic Average Shares</t>
  </si>
  <si>
    <t>Diluted Average Shares</t>
  </si>
  <si>
    <t>Total Expenses</t>
  </si>
  <si>
    <t>Interest Expense</t>
  </si>
  <si>
    <t>Net Interest Income</t>
  </si>
  <si>
    <t>Net Income from Continuing &amp; Discontinued Operation</t>
  </si>
  <si>
    <t>EBIT</t>
  </si>
  <si>
    <t>EBITDA</t>
  </si>
  <si>
    <t>Reconciled Depreciation</t>
  </si>
  <si>
    <t>Net Income from Continuing Operation Net Minority Interest</t>
  </si>
  <si>
    <t>2020</t>
  </si>
  <si>
    <t>2021</t>
  </si>
  <si>
    <t>2022</t>
  </si>
  <si>
    <t>2023</t>
  </si>
  <si>
    <t>Description</t>
  </si>
  <si>
    <t>Total Assets</t>
  </si>
  <si>
    <t>Current Assets</t>
  </si>
  <si>
    <t>Cash, Cash Equivalents &amp; Short Term Investments</t>
  </si>
  <si>
    <t>Receivables</t>
  </si>
  <si>
    <t>Inventory</t>
  </si>
  <si>
    <t>Restricted Cash</t>
  </si>
  <si>
    <t>Hedging Assets Current</t>
  </si>
  <si>
    <t>Other Current Assets</t>
  </si>
  <si>
    <t>Total non-current assets</t>
  </si>
  <si>
    <t>Net PPE</t>
  </si>
  <si>
    <t>Goodwill And Other Intangible Assets</t>
  </si>
  <si>
    <t>Investments And Advances</t>
  </si>
  <si>
    <t>Non Current Deferred Assets</t>
  </si>
  <si>
    <t>Other Non Current Assets</t>
  </si>
  <si>
    <t>Total Liabilities Net Minority Interest</t>
  </si>
  <si>
    <t>Current Liabilities</t>
  </si>
  <si>
    <t>Total Non Current Liabilities Net Minority Interest</t>
  </si>
  <si>
    <t>Long Term Debt And Capital Lease Obligation</t>
  </si>
  <si>
    <t>Non Current Deferred Liabilities</t>
  </si>
  <si>
    <t>Other Non Current Liabilities</t>
  </si>
  <si>
    <t>Total Equity Gross Minority Interest</t>
  </si>
  <si>
    <t>Stockholders' Equity</t>
  </si>
  <si>
    <t>Capital Stock</t>
  </si>
  <si>
    <t>Retained Earnings</t>
  </si>
  <si>
    <t>Additional Paid in Capital</t>
  </si>
  <si>
    <t>Gains Losses Not Affecting Retained Earnings</t>
  </si>
  <si>
    <t>Other Equity Interest</t>
  </si>
  <si>
    <t>--</t>
  </si>
  <si>
    <t>Minority Interest</t>
  </si>
  <si>
    <t>Total Capitalization</t>
  </si>
  <si>
    <t>Preferred Stock Equity</t>
  </si>
  <si>
    <t>Common Stock Equity</t>
  </si>
  <si>
    <t>Net Tangible Assets</t>
  </si>
  <si>
    <t>Working Capital</t>
  </si>
  <si>
    <t>Invested Capital</t>
  </si>
  <si>
    <t>Total Debt</t>
  </si>
  <si>
    <t>Net Debt</t>
  </si>
  <si>
    <t>Share Issued</t>
  </si>
  <si>
    <t>Ordinary Shares Number</t>
  </si>
  <si>
    <t>Preferred Shares Number</t>
  </si>
  <si>
    <t>Cash Flow from Continuing Operating Activities</t>
  </si>
  <si>
    <t>Net Income from Continuing Operations</t>
  </si>
  <si>
    <t>Operating Gains Losses</t>
  </si>
  <si>
    <t>Depreciation Amortization Depletion</t>
  </si>
  <si>
    <t>Deferred Tax</t>
  </si>
  <si>
    <t>Asset Impairment Charge</t>
  </si>
  <si>
    <t>Other non-cash items</t>
  </si>
  <si>
    <t>Change in working capital</t>
  </si>
  <si>
    <t>Dividend Received CFO</t>
  </si>
  <si>
    <t>Cash Flow from Continuing Investing Activities</t>
  </si>
  <si>
    <t>Capital Expenditure Reported</t>
  </si>
  <si>
    <t>Net Intangibles Purchase And Sale</t>
  </si>
  <si>
    <t>Net Business Purchase And Sale</t>
  </si>
  <si>
    <t>Net Investment Purchase And Sale</t>
  </si>
  <si>
    <t>Dividends Received CFI</t>
  </si>
  <si>
    <t>Net Other Investing Changes</t>
  </si>
  <si>
    <t>Cash Flow from Continuing Financing Activities</t>
  </si>
  <si>
    <t>Net Issuance Payments of Debt</t>
  </si>
  <si>
    <t>Net Common Stock Issuance</t>
  </si>
  <si>
    <t>Net Preferred Stock Issuance</t>
  </si>
  <si>
    <t>Cash Dividends Paid</t>
  </si>
  <si>
    <t>Net Other Financing Charges</t>
  </si>
  <si>
    <t>End Cash Position</t>
  </si>
  <si>
    <t>Income Tax Paid Supplemental Data</t>
  </si>
  <si>
    <t>Interest Paid Supplemental Data</t>
  </si>
  <si>
    <t>Capital Expenditure</t>
  </si>
  <si>
    <t>Issuance of Capital Stock</t>
  </si>
  <si>
    <t>Issuance of Debt</t>
  </si>
  <si>
    <t>Repayment of Debt</t>
  </si>
  <si>
    <t>Repurchase of Capital Stock</t>
  </si>
  <si>
    <t>Free Cash Flow</t>
  </si>
  <si>
    <t>2024</t>
  </si>
  <si>
    <t>2025</t>
  </si>
  <si>
    <t>2026</t>
  </si>
  <si>
    <t>2027</t>
  </si>
  <si>
    <t>2028</t>
  </si>
  <si>
    <t>Projections</t>
  </si>
  <si>
    <t>Revenue Growth</t>
  </si>
  <si>
    <t xml:space="preserve">COGS as a % of Revenue </t>
  </si>
  <si>
    <t xml:space="preserve">OpEx as a % of Revenue </t>
  </si>
  <si>
    <t xml:space="preserve">Revenue </t>
  </si>
  <si>
    <t xml:space="preserve">COGS </t>
  </si>
  <si>
    <t xml:space="preserve">OpEx </t>
  </si>
  <si>
    <t xml:space="preserve">Operating Income (EBIT) </t>
  </si>
  <si>
    <t xml:space="preserve">Tax </t>
  </si>
  <si>
    <t>Depreciation</t>
  </si>
  <si>
    <t>CapEx</t>
  </si>
  <si>
    <t xml:space="preserve">Net Increse in WC </t>
  </si>
  <si>
    <t xml:space="preserve">Tax Rate (Earnings before tax) </t>
  </si>
  <si>
    <t>Depreciation as a % of EBIT</t>
  </si>
  <si>
    <t xml:space="preserve">CapEx reported as a % of operating income </t>
  </si>
  <si>
    <t>FCF</t>
  </si>
  <si>
    <t xml:space="preserve">EV/EBITDA: </t>
  </si>
  <si>
    <t>EBITDA:</t>
  </si>
  <si>
    <t xml:space="preserve">EV: </t>
  </si>
  <si>
    <t>Cost of equity</t>
  </si>
  <si>
    <t>Equity %</t>
  </si>
  <si>
    <t xml:space="preserve">Cost of debt </t>
  </si>
  <si>
    <t>Debt %</t>
  </si>
  <si>
    <t>Tax Rate</t>
  </si>
  <si>
    <t>Calculations:</t>
  </si>
  <si>
    <t xml:space="preserve">Risk Free Rate </t>
  </si>
  <si>
    <t xml:space="preserve">Equity Market risk premium </t>
  </si>
  <si>
    <t xml:space="preserve">Beta </t>
  </si>
  <si>
    <t xml:space="preserve">CAPM: </t>
  </si>
  <si>
    <t>Net Non Operating Interest Expense</t>
  </si>
  <si>
    <t xml:space="preserve">WACC: </t>
  </si>
  <si>
    <t>NPV</t>
  </si>
  <si>
    <t xml:space="preserve">WACC </t>
  </si>
  <si>
    <t>Cash and Cash Equivalent</t>
  </si>
  <si>
    <t>Debt</t>
  </si>
  <si>
    <t xml:space="preserve">Equity Value </t>
  </si>
  <si>
    <t xml:space="preserve">Number of shares outstanding </t>
  </si>
  <si>
    <t xml:space="preserve">Fair share price </t>
  </si>
  <si>
    <t xml:space="preserve">Current Share Price </t>
  </si>
  <si>
    <t>Difference</t>
  </si>
  <si>
    <t>Investment decision</t>
  </si>
  <si>
    <t>2024E</t>
  </si>
  <si>
    <t>2025E</t>
  </si>
  <si>
    <t>2026E</t>
  </si>
  <si>
    <t>2027E</t>
  </si>
  <si>
    <t>2028E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</si>
</sst>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4"/>
      <color rgb="FF232A31"/>
      <name val="Helvetica Neue"/>
      <family val="2"/>
    </font>
    <font>
      <b/>
      <sz val="14"/>
      <color rgb="FF232A31"/>
      <name val="Helvetica Neue"/>
      <family val="2"/>
    </font>
    <font>
      <sz val="12"/>
      <color theme="1"/>
      <name val="Aptos Narrow"/>
      <scheme val="minor"/>
    </font>
    <font>
      <sz val="12"/>
      <color rgb="FF232A31"/>
      <name val="Aptos Narrow"/>
      <scheme val="minor"/>
    </font>
    <font>
      <b/>
      <sz val="12"/>
      <color rgb="FF232A31"/>
      <name val="Aptos Narrow"/>
      <family val="2"/>
      <scheme val="minor"/>
    </font>
    <font>
      <sz val="12"/>
      <color rgb="FF232A31"/>
      <name val="Aptos Narrow"/>
      <family val="2"/>
      <scheme val="minor"/>
    </font>
    <font>
      <strike/>
      <sz val="14"/>
      <color rgb="FF232A31"/>
      <name val="Helvetica Neue"/>
      <family val="2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6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4" fontId="3" fillId="0" borderId="0" xfId="0" applyNumberFormat="1" applyFont="1"/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0" fontId="9" fillId="0" borderId="0" xfId="0" applyFont="1"/>
    <xf numFmtId="0" fontId="7" fillId="2" borderId="1" xfId="0" applyFont="1" applyFill="1" applyBorder="1"/>
    <xf numFmtId="0" fontId="7" fillId="2" borderId="2" xfId="0" applyFont="1" applyFill="1" applyBorder="1"/>
    <xf numFmtId="9" fontId="6" fillId="0" borderId="0" xfId="1" applyFont="1"/>
    <xf numFmtId="9" fontId="5" fillId="0" borderId="0" xfId="1" applyFont="1"/>
    <xf numFmtId="10" fontId="5" fillId="0" borderId="0" xfId="1" applyNumberFormat="1" applyFont="1"/>
    <xf numFmtId="0" fontId="4" fillId="2" borderId="1" xfId="0" applyFont="1" applyFill="1" applyBorder="1"/>
    <xf numFmtId="0" fontId="4" fillId="2" borderId="2" xfId="0" applyFont="1" applyFill="1" applyBorder="1"/>
    <xf numFmtId="10" fontId="0" fillId="0" borderId="0" xfId="1" applyNumberFormat="1" applyFont="1"/>
    <xf numFmtId="0" fontId="3" fillId="0" borderId="0" xfId="0" applyFont="1" applyAlignment="1">
      <alignment horizontal="left" indent="1"/>
    </xf>
    <xf numFmtId="3" fontId="0" fillId="0" borderId="3" xfId="0" applyNumberFormat="1" applyBorder="1"/>
    <xf numFmtId="10" fontId="0" fillId="0" borderId="0" xfId="0" applyNumberFormat="1"/>
    <xf numFmtId="0" fontId="8" fillId="0" borderId="0" xfId="0" applyFont="1"/>
    <xf numFmtId="2" fontId="0" fillId="0" borderId="0" xfId="0" applyNumberFormat="1"/>
    <xf numFmtId="0" fontId="10" fillId="0" borderId="0" xfId="0" applyFont="1"/>
    <xf numFmtId="0" fontId="10" fillId="0" borderId="4" xfId="0" applyFont="1" applyBorder="1"/>
    <xf numFmtId="10" fontId="10" fillId="0" borderId="5" xfId="1" applyNumberFormat="1" applyFont="1" applyBorder="1"/>
    <xf numFmtId="38" fontId="0" fillId="0" borderId="0" xfId="0" applyNumberFormat="1"/>
    <xf numFmtId="0" fontId="2" fillId="0" borderId="0" xfId="0" applyFont="1" applyAlignment="1">
      <alignment horizontal="center"/>
    </xf>
    <xf numFmtId="10" fontId="11" fillId="0" borderId="0" xfId="1" applyNumberFormat="1" applyFont="1"/>
    <xf numFmtId="0" fontId="11" fillId="0" borderId="0" xfId="0" applyFont="1" applyAlignment="1">
      <alignment horizontal="left" indent="1"/>
    </xf>
    <xf numFmtId="3" fontId="0" fillId="0" borderId="0" xfId="0" applyNumberFormat="1" applyBorder="1"/>
  </cellXfs>
  <cellStyles count="2">
    <cellStyle name="Normal" xfId="0" builtinId="0"/>
    <cellStyle name="Percent" xfId="1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32A3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B95D8F-4822-5746-BBFF-C232FC13485E}" name="Table1" displayName="Table1" ref="A1:J24" totalsRowShown="0" headerRowDxfId="30" dataDxfId="29">
  <autoFilter ref="A1:J24" xr:uid="{8AB95D8F-4822-5746-BBFF-C232FC13485E}"/>
  <tableColumns count="10">
    <tableColumn id="1" xr3:uid="{9B5F4602-6133-1943-BF11-908CB7507414}" name="Description" dataDxfId="35"/>
    <tableColumn id="2" xr3:uid="{75B02D93-22B9-5F4F-85A4-55B63B59505E}" name="2020" dataDxfId="34"/>
    <tableColumn id="3" xr3:uid="{189F90B8-4097-984D-ADE7-255F7060EC82}" name="2021" dataDxfId="33"/>
    <tableColumn id="4" xr3:uid="{BFA1FDF4-EEDF-6042-B6B0-CF393D2CB71C}" name="2022" dataDxfId="32"/>
    <tableColumn id="5" xr3:uid="{A7DAB663-CCB8-6D43-AF41-D3B7B9ADB5D6}" name="2023" dataDxfId="31"/>
    <tableColumn id="6" xr3:uid="{BA9AD6F8-28D6-6843-8EE7-97D7E8AF9C75}" name="2024" dataDxfId="1">
      <calculatedColumnFormula>Table1[[#This Row],[2023]]*(1+F28)</calculatedColumnFormula>
    </tableColumn>
    <tableColumn id="7" xr3:uid="{6AC60D3E-B5FC-AC4F-A561-20C7C0B1BED4}" name="2025" dataDxfId="5"/>
    <tableColumn id="8" xr3:uid="{DD9F8BD9-0666-6744-AB8E-DD11062FD071}" name="2026" dataDxfId="4"/>
    <tableColumn id="9" xr3:uid="{C8612CAE-9732-6549-B7C6-6994903BAA7D}" name="2027" dataDxfId="3"/>
    <tableColumn id="10" xr3:uid="{0C64D096-0E27-2045-9EE4-5618C4573DB2}" name="2028" dataDxfId="2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8EE8AD-0700-F745-B362-59DABDB437FA}" name="Table2" displayName="Table2" ref="A1:J42" totalsRowShown="0" headerRowDxfId="22" dataDxfId="23">
  <autoFilter ref="A1:J42" xr:uid="{E38EE8AD-0700-F745-B362-59DABDB437FA}"/>
  <tableColumns count="10">
    <tableColumn id="1" xr3:uid="{C9C67375-5784-A14F-BC8E-EEBF3A514D8A}" name="Breakdown" dataDxfId="28"/>
    <tableColumn id="2" xr3:uid="{EA000B4A-C331-B740-9408-EED9B5ACDFA7}" name="2020" dataDxfId="27"/>
    <tableColumn id="3" xr3:uid="{55532356-6D70-C845-A02D-C18DCE176E82}" name="2021" dataDxfId="26"/>
    <tableColumn id="4" xr3:uid="{2E6363C2-54F8-C545-8749-B22E2AA938B8}" name="2022" dataDxfId="25"/>
    <tableColumn id="5" xr3:uid="{08E5EBE9-CA2E-6C45-9D51-A35287422FCF}" name="2023" dataDxfId="24"/>
    <tableColumn id="6" xr3:uid="{3A19C230-8155-9141-8F41-7EC89B338C00}" name="2024" dataDxfId="10"/>
    <tableColumn id="7" xr3:uid="{30419121-7524-B940-BD93-FF6645557896}" name="2025" dataDxfId="9"/>
    <tableColumn id="8" xr3:uid="{5E36128D-D6DE-704A-9F99-1C6E057F5674}" name="2026" dataDxfId="8"/>
    <tableColumn id="9" xr3:uid="{FA05C029-9F11-5146-A4C3-4E97430E08D8}" name="2027" dataDxfId="7"/>
    <tableColumn id="10" xr3:uid="{130D76C6-1DE8-DD4F-BE61-16002E24BE2E}" name="2028" dataDxfId="6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F72B8E-D533-E44C-B587-CA492D906E39}" name="Table4" displayName="Table4" ref="A1:J34" totalsRowShown="0" headerRowDxfId="15" dataDxfId="16">
  <autoFilter ref="A1:J34" xr:uid="{66F72B8E-D533-E44C-B587-CA492D906E39}"/>
  <tableColumns count="10">
    <tableColumn id="1" xr3:uid="{1E1FFA86-39C3-5844-A5C1-5CBF64D93C04}" name="Breakdown" dataDxfId="21"/>
    <tableColumn id="2" xr3:uid="{0A1EF565-6526-FD44-98CB-3AB1DF794ADD}" name="2020" dataDxfId="20"/>
    <tableColumn id="3" xr3:uid="{FAB9BEE4-08EF-944E-868E-7FAD0B80BB5E}" name="2021" dataDxfId="19"/>
    <tableColumn id="4" xr3:uid="{A0B9FC09-324A-954A-A041-7656F3176C4A}" name="2022" dataDxfId="18"/>
    <tableColumn id="5" xr3:uid="{EAB37A5E-70C4-E341-9FA5-B95857FE6556}" name="2023" dataDxfId="17"/>
    <tableColumn id="6" xr3:uid="{7B303590-31A5-F44E-B185-A5742B47A833}" name="2024" dataDxfId="0">
      <calculatedColumnFormula>F35*IS!F3</calculatedColumnFormula>
    </tableColumn>
    <tableColumn id="7" xr3:uid="{35B71130-B811-F049-A93C-9A9511F09503}" name="2025" dataDxfId="14"/>
    <tableColumn id="8" xr3:uid="{EE7194FE-2210-E147-9ACE-8E05DD368E06}" name="2026" dataDxfId="13"/>
    <tableColumn id="9" xr3:uid="{A6F3DEEA-4923-A74A-9447-D9468D6957D4}" name="2027" dataDxfId="12"/>
    <tableColumn id="10" xr3:uid="{E70DA432-73D2-834C-A6DE-E954BA7DE111}" name="2028" dataDxfId="1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5AA0-0C5E-674E-A9F9-F62D1FDF6B7A}">
  <dimension ref="A1:M32"/>
  <sheetViews>
    <sheetView topLeftCell="A9" zoomScale="117" workbookViewId="0">
      <selection activeCell="D34" sqref="D34"/>
    </sheetView>
  </sheetViews>
  <sheetFormatPr baseColWidth="10" defaultRowHeight="16" x14ac:dyDescent="0.2"/>
  <cols>
    <col min="1" max="1" width="65.83203125" style="5" bestFit="1" customWidth="1"/>
    <col min="2" max="2" width="13.5" style="5" bestFit="1" customWidth="1"/>
    <col min="3" max="4" width="13.1640625" style="5" bestFit="1" customWidth="1"/>
    <col min="5" max="5" width="13.5" style="5" bestFit="1" customWidth="1"/>
    <col min="6" max="16384" width="10.83203125" style="5"/>
  </cols>
  <sheetData>
    <row r="1" spans="1:13" x14ac:dyDescent="0.2">
      <c r="A1" s="6" t="s">
        <v>25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97</v>
      </c>
      <c r="G1" s="6" t="s">
        <v>98</v>
      </c>
      <c r="H1" s="6" t="s">
        <v>99</v>
      </c>
      <c r="I1" s="6" t="s">
        <v>100</v>
      </c>
      <c r="J1" s="6" t="s">
        <v>101</v>
      </c>
    </row>
    <row r="2" spans="1:13" x14ac:dyDescent="0.2">
      <c r="A2" s="6" t="s">
        <v>1</v>
      </c>
      <c r="B2" s="7">
        <v>39087000</v>
      </c>
      <c r="C2" s="7">
        <v>47071000</v>
      </c>
      <c r="D2" s="7">
        <v>53309000</v>
      </c>
      <c r="E2" s="7">
        <v>43649000</v>
      </c>
      <c r="F2" s="7">
        <f>Table1[[#This Row],[2023]]*(1+F28)</f>
        <v>45912605.426253371</v>
      </c>
      <c r="G2" s="7">
        <f>Table1[[#This Row],[2024]]*(1+G28)</f>
        <v>48293599.785260379</v>
      </c>
      <c r="H2" s="7">
        <f>Table1[[#This Row],[2025]]*(1+H28)</f>
        <v>50798070.781783186</v>
      </c>
      <c r="I2" s="7">
        <f>Table1[[#This Row],[2026]]*(1+I28)</f>
        <v>53432421.824529804</v>
      </c>
      <c r="J2" s="7">
        <f>Table1[[#This Row],[2027]]*(1+J28)</f>
        <v>56203388.398331374</v>
      </c>
    </row>
    <row r="3" spans="1:13" x14ac:dyDescent="0.2">
      <c r="A3" s="6" t="s">
        <v>2</v>
      </c>
      <c r="B3" s="7">
        <v>24381000</v>
      </c>
      <c r="C3" s="7">
        <v>32554000</v>
      </c>
      <c r="D3" s="7">
        <v>36906000</v>
      </c>
      <c r="E3" s="7">
        <v>25979000</v>
      </c>
      <c r="F3" s="7">
        <f>F2*F29</f>
        <v>29875780.217074573</v>
      </c>
      <c r="G3" s="7">
        <f t="shared" ref="G3:J3" si="0">G2*G29</f>
        <v>31425116.472496759</v>
      </c>
      <c r="H3" s="7">
        <f t="shared" si="0"/>
        <v>33054800.180434808</v>
      </c>
      <c r="I3" s="7">
        <f t="shared" si="0"/>
        <v>34768998.101398699</v>
      </c>
      <c r="J3" s="7">
        <f t="shared" si="0"/>
        <v>36572093.081071071</v>
      </c>
    </row>
    <row r="4" spans="1:13" x14ac:dyDescent="0.2">
      <c r="A4" s="6" t="s">
        <v>3</v>
      </c>
      <c r="B4" s="7">
        <v>14706000</v>
      </c>
      <c r="C4" s="7">
        <v>14517000</v>
      </c>
      <c r="D4" s="7">
        <v>16403000</v>
      </c>
      <c r="E4" s="7">
        <v>17670000</v>
      </c>
      <c r="F4" s="7">
        <f>F2-F3</f>
        <v>16036825.209178798</v>
      </c>
      <c r="G4" s="7">
        <f t="shared" ref="G4:J4" si="1">G2-G3</f>
        <v>16868483.31276362</v>
      </c>
      <c r="H4" s="7">
        <f t="shared" si="1"/>
        <v>17743270.601348378</v>
      </c>
      <c r="I4" s="7">
        <f t="shared" si="1"/>
        <v>18663423.723131105</v>
      </c>
      <c r="J4" s="7">
        <f t="shared" si="1"/>
        <v>19631295.317260303</v>
      </c>
    </row>
    <row r="5" spans="1:13" x14ac:dyDescent="0.2">
      <c r="A5" s="6" t="s">
        <v>4</v>
      </c>
      <c r="B5" s="7">
        <v>6601000</v>
      </c>
      <c r="C5" s="7">
        <v>6562000</v>
      </c>
      <c r="D5" s="7">
        <v>7980000</v>
      </c>
      <c r="E5" s="7">
        <v>8465000</v>
      </c>
      <c r="F5" s="7">
        <f>F2*F30</f>
        <v>7482754.1141142398</v>
      </c>
      <c r="G5" s="7">
        <f t="shared" ref="G5:J5" si="2">G2*G30</f>
        <v>7870804.3057802282</v>
      </c>
      <c r="H5" s="7">
        <f t="shared" si="2"/>
        <v>8278978.4984431183</v>
      </c>
      <c r="I5" s="7">
        <f t="shared" si="2"/>
        <v>8708320.308173256</v>
      </c>
      <c r="J5" s="7">
        <f t="shared" si="2"/>
        <v>9159927.4722121451</v>
      </c>
    </row>
    <row r="6" spans="1:13" x14ac:dyDescent="0.2">
      <c r="A6" s="6" t="s">
        <v>5</v>
      </c>
      <c r="B6" s="7">
        <v>8105000</v>
      </c>
      <c r="C6" s="7">
        <v>7955000</v>
      </c>
      <c r="D6" s="7">
        <v>8423000</v>
      </c>
      <c r="E6" s="7">
        <v>9205000</v>
      </c>
      <c r="F6" s="7">
        <f>F4-F5</f>
        <v>8554071.0950645581</v>
      </c>
      <c r="G6" s="7">
        <f t="shared" ref="G6:J6" si="3">G4-G5</f>
        <v>8997679.0069833919</v>
      </c>
      <c r="H6" s="7">
        <f t="shared" si="3"/>
        <v>9464292.1029052585</v>
      </c>
      <c r="I6" s="7">
        <f t="shared" si="3"/>
        <v>9955103.4149578493</v>
      </c>
      <c r="J6" s="7">
        <f t="shared" si="3"/>
        <v>10471367.845048157</v>
      </c>
    </row>
    <row r="7" spans="1:13" x14ac:dyDescent="0.2">
      <c r="A7" s="20" t="s">
        <v>131</v>
      </c>
      <c r="B7" s="7">
        <v>-2790000</v>
      </c>
      <c r="C7" s="7">
        <v>-2655000</v>
      </c>
      <c r="D7" s="7">
        <v>-3179000</v>
      </c>
      <c r="E7" s="7">
        <v>-3812000</v>
      </c>
      <c r="F7" s="7"/>
      <c r="G7" s="7"/>
      <c r="H7" s="7"/>
      <c r="I7" s="7"/>
      <c r="J7" s="7"/>
    </row>
    <row r="8" spans="1:13" x14ac:dyDescent="0.2">
      <c r="A8" s="6" t="s">
        <v>6</v>
      </c>
      <c r="B8" s="7">
        <v>-1125000</v>
      </c>
      <c r="C8" s="7">
        <v>2429000</v>
      </c>
      <c r="D8" s="7">
        <v>-702000</v>
      </c>
      <c r="E8" s="7">
        <v>2486000</v>
      </c>
      <c r="F8" s="7"/>
      <c r="G8" s="7"/>
      <c r="H8" s="7"/>
      <c r="I8" s="7"/>
      <c r="J8" s="7"/>
      <c r="M8" s="12"/>
    </row>
    <row r="9" spans="1:13" x14ac:dyDescent="0.2">
      <c r="A9" s="6" t="s">
        <v>7</v>
      </c>
      <c r="B9" s="7">
        <v>4190000</v>
      </c>
      <c r="C9" s="7">
        <v>7729000</v>
      </c>
      <c r="D9" s="7">
        <v>4542000</v>
      </c>
      <c r="E9" s="7">
        <v>7879000</v>
      </c>
      <c r="F9" s="7"/>
      <c r="G9" s="7"/>
      <c r="H9" s="7"/>
      <c r="I9" s="7"/>
      <c r="J9" s="7"/>
    </row>
    <row r="10" spans="1:13" x14ac:dyDescent="0.2">
      <c r="A10" s="6" t="s">
        <v>8</v>
      </c>
      <c r="B10" s="7">
        <v>774000</v>
      </c>
      <c r="C10" s="7">
        <v>1415000</v>
      </c>
      <c r="D10" s="7">
        <v>1604000</v>
      </c>
      <c r="E10" s="7">
        <v>1821000</v>
      </c>
      <c r="F10" s="7"/>
      <c r="G10" s="7"/>
      <c r="H10" s="7"/>
      <c r="I10" s="7"/>
      <c r="J10" s="7"/>
    </row>
    <row r="11" spans="1:13" x14ac:dyDescent="0.2">
      <c r="A11" s="6" t="s">
        <v>9</v>
      </c>
      <c r="B11" s="7">
        <v>2983000</v>
      </c>
      <c r="C11" s="7">
        <v>5816000</v>
      </c>
      <c r="D11" s="7">
        <v>2589000</v>
      </c>
      <c r="E11" s="7">
        <v>5839000</v>
      </c>
      <c r="F11" s="7"/>
      <c r="G11" s="7"/>
      <c r="H11" s="7"/>
      <c r="I11" s="7"/>
      <c r="J11" s="7"/>
    </row>
    <row r="12" spans="1:13" x14ac:dyDescent="0.2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3" x14ac:dyDescent="0.2">
      <c r="A13" s="6"/>
      <c r="B13" s="7"/>
      <c r="C13" s="7"/>
      <c r="D13" s="7"/>
      <c r="E13" s="7"/>
      <c r="F13" s="7"/>
      <c r="G13" s="7"/>
      <c r="H13" s="7"/>
      <c r="I13" s="7"/>
      <c r="J13" s="7"/>
    </row>
    <row r="14" spans="1:13" x14ac:dyDescent="0.2">
      <c r="A14" s="6" t="s">
        <v>10</v>
      </c>
      <c r="B14" s="7">
        <v>2983000</v>
      </c>
      <c r="C14" s="7">
        <v>5816000</v>
      </c>
      <c r="D14" s="7">
        <v>2589000</v>
      </c>
      <c r="E14" s="7">
        <v>5839000</v>
      </c>
      <c r="F14" s="7"/>
      <c r="G14" s="7"/>
      <c r="H14" s="7"/>
      <c r="I14" s="7"/>
      <c r="J14" s="7"/>
    </row>
    <row r="15" spans="1:13" x14ac:dyDescent="0.2">
      <c r="A15" s="6" t="s">
        <v>11</v>
      </c>
      <c r="B15" s="7">
        <v>2020000</v>
      </c>
      <c r="C15" s="7">
        <v>2023000</v>
      </c>
      <c r="D15" s="7">
        <v>2025000</v>
      </c>
      <c r="E15" s="7">
        <v>2056000</v>
      </c>
      <c r="F15" s="7"/>
      <c r="G15" s="7"/>
      <c r="H15" s="7"/>
      <c r="I15" s="7"/>
      <c r="J15" s="7"/>
    </row>
    <row r="16" spans="1:13" x14ac:dyDescent="0.2">
      <c r="A16" s="6" t="s">
        <v>12</v>
      </c>
      <c r="B16" s="7">
        <v>2021000</v>
      </c>
      <c r="C16" s="7">
        <v>2025000</v>
      </c>
      <c r="D16" s="7">
        <v>2029000</v>
      </c>
      <c r="E16" s="7">
        <v>2058000</v>
      </c>
      <c r="F16" s="7"/>
      <c r="G16" s="7"/>
      <c r="H16" s="7"/>
      <c r="I16" s="7"/>
      <c r="J16" s="7"/>
    </row>
    <row r="17" spans="1:10" x14ac:dyDescent="0.2">
      <c r="A17" s="6" t="s">
        <v>13</v>
      </c>
      <c r="B17" s="7">
        <v>30982000</v>
      </c>
      <c r="C17" s="7">
        <v>39116000</v>
      </c>
      <c r="D17" s="7">
        <v>44886000</v>
      </c>
      <c r="E17" s="7">
        <v>34444000</v>
      </c>
      <c r="F17" s="7"/>
      <c r="G17" s="7"/>
      <c r="H17" s="7"/>
      <c r="I17" s="7"/>
      <c r="J17" s="7"/>
    </row>
    <row r="18" spans="1:10" x14ac:dyDescent="0.2">
      <c r="A18" s="6" t="s">
        <v>14</v>
      </c>
      <c r="B18" s="7">
        <v>2844000</v>
      </c>
      <c r="C18" s="7">
        <v>2705000</v>
      </c>
      <c r="D18" s="7">
        <v>3224000</v>
      </c>
      <c r="E18" s="7">
        <v>3857000</v>
      </c>
      <c r="F18" s="7"/>
      <c r="G18" s="7"/>
      <c r="H18" s="7"/>
      <c r="I18" s="7"/>
      <c r="J18" s="7"/>
    </row>
    <row r="19" spans="1:10" x14ac:dyDescent="0.2">
      <c r="A19" s="6" t="s">
        <v>15</v>
      </c>
      <c r="B19" s="7">
        <v>-2790000</v>
      </c>
      <c r="C19" s="7">
        <v>-2655000</v>
      </c>
      <c r="D19" s="7">
        <v>-3179000</v>
      </c>
      <c r="E19" s="7">
        <v>-3812000</v>
      </c>
      <c r="F19" s="7"/>
      <c r="G19" s="7"/>
      <c r="H19" s="7"/>
      <c r="I19" s="7"/>
      <c r="J19" s="7"/>
    </row>
    <row r="20" spans="1:10" x14ac:dyDescent="0.2">
      <c r="A20" s="6" t="s">
        <v>16</v>
      </c>
      <c r="B20" s="7">
        <v>3363000</v>
      </c>
      <c r="C20" s="7">
        <v>6189000</v>
      </c>
      <c r="D20" s="7">
        <v>3003000</v>
      </c>
      <c r="E20" s="7">
        <v>6191000</v>
      </c>
      <c r="F20" s="7"/>
      <c r="G20" s="7"/>
      <c r="H20" s="7"/>
      <c r="I20" s="7"/>
      <c r="J20" s="7"/>
    </row>
    <row r="21" spans="1:10" x14ac:dyDescent="0.2">
      <c r="A21" s="6" t="s">
        <v>17</v>
      </c>
      <c r="B21" s="7">
        <v>7034000</v>
      </c>
      <c r="C21" s="7">
        <v>10434000</v>
      </c>
      <c r="D21" s="7">
        <v>7766000</v>
      </c>
      <c r="E21" s="7">
        <v>11736000</v>
      </c>
      <c r="F21" s="7"/>
      <c r="G21" s="7"/>
      <c r="H21" s="7"/>
      <c r="I21" s="7"/>
      <c r="J21" s="7"/>
    </row>
    <row r="22" spans="1:10" x14ac:dyDescent="0.2">
      <c r="A22" s="6" t="s">
        <v>18</v>
      </c>
      <c r="B22" s="7">
        <v>10746000</v>
      </c>
      <c r="C22" s="7">
        <v>14286000</v>
      </c>
      <c r="D22" s="7">
        <v>12083000</v>
      </c>
      <c r="E22" s="7">
        <v>16349000</v>
      </c>
      <c r="F22" s="7"/>
      <c r="G22" s="7"/>
      <c r="H22" s="7"/>
      <c r="I22" s="7"/>
      <c r="J22" s="7"/>
    </row>
    <row r="23" spans="1:10" x14ac:dyDescent="0.2">
      <c r="A23" s="6" t="s">
        <v>19</v>
      </c>
      <c r="B23" s="7">
        <v>3712000</v>
      </c>
      <c r="C23" s="7">
        <v>3852000</v>
      </c>
      <c r="D23" s="7">
        <v>4317000</v>
      </c>
      <c r="E23" s="7">
        <v>4613000</v>
      </c>
      <c r="F23" s="11"/>
      <c r="G23" s="7"/>
      <c r="H23" s="7"/>
      <c r="I23" s="7"/>
      <c r="J23" s="7"/>
    </row>
    <row r="24" spans="1:10" x14ac:dyDescent="0.2">
      <c r="A24" s="6" t="s">
        <v>20</v>
      </c>
      <c r="B24" s="7">
        <v>3363000</v>
      </c>
      <c r="C24" s="7">
        <v>6189000</v>
      </c>
      <c r="D24" s="7">
        <v>3003000</v>
      </c>
      <c r="E24" s="7">
        <v>6191000</v>
      </c>
      <c r="F24" s="7"/>
      <c r="G24" s="7"/>
      <c r="H24" s="7"/>
      <c r="I24" s="7"/>
      <c r="J24" s="7"/>
    </row>
    <row r="27" spans="1:10" x14ac:dyDescent="0.2">
      <c r="A27" s="5" t="s">
        <v>102</v>
      </c>
      <c r="B27" s="9" t="s">
        <v>21</v>
      </c>
      <c r="C27" s="9" t="s">
        <v>22</v>
      </c>
      <c r="D27" s="9" t="s">
        <v>23</v>
      </c>
      <c r="E27" s="9" t="s">
        <v>24</v>
      </c>
      <c r="F27" s="9" t="s">
        <v>97</v>
      </c>
      <c r="G27" s="9" t="s">
        <v>98</v>
      </c>
      <c r="H27" s="9" t="s">
        <v>99</v>
      </c>
      <c r="I27" s="9" t="s">
        <v>100</v>
      </c>
      <c r="J27" s="10" t="s">
        <v>101</v>
      </c>
    </row>
    <row r="28" spans="1:10" x14ac:dyDescent="0.2">
      <c r="A28" s="5" t="s">
        <v>103</v>
      </c>
      <c r="B28" s="13"/>
      <c r="C28" s="13">
        <f>C2/B2-1</f>
        <v>0.20426228669378577</v>
      </c>
      <c r="D28" s="13">
        <f t="shared" ref="D28:E28" si="4">D2/C2-1</f>
        <v>0.13252320961951103</v>
      </c>
      <c r="E28" s="13">
        <f t="shared" si="4"/>
        <v>-0.18120767600217602</v>
      </c>
      <c r="F28" s="13">
        <f>AVERAGE(C28:E28)</f>
        <v>5.1859273437040256E-2</v>
      </c>
      <c r="G28" s="13">
        <f>$F$28</f>
        <v>5.1859273437040256E-2</v>
      </c>
      <c r="H28" s="13">
        <f t="shared" ref="H28:J28" si="5">$F$28</f>
        <v>5.1859273437040256E-2</v>
      </c>
      <c r="I28" s="13">
        <f t="shared" si="5"/>
        <v>5.1859273437040256E-2</v>
      </c>
      <c r="J28" s="13">
        <f t="shared" si="5"/>
        <v>5.1859273437040256E-2</v>
      </c>
    </row>
    <row r="29" spans="1:10" x14ac:dyDescent="0.2">
      <c r="A29" s="5" t="s">
        <v>104</v>
      </c>
      <c r="B29" s="13">
        <f>B3/B2</f>
        <v>0.62376237623762376</v>
      </c>
      <c r="C29" s="13">
        <f t="shared" ref="C29:E29" si="6">C3/C2</f>
        <v>0.69159355016889379</v>
      </c>
      <c r="D29" s="13">
        <f t="shared" si="6"/>
        <v>0.69230336340955556</v>
      </c>
      <c r="E29" s="13">
        <f t="shared" si="6"/>
        <v>0.59517972920341822</v>
      </c>
      <c r="F29" s="13">
        <f>AVERAGE(B29:E29)</f>
        <v>0.6507097547548728</v>
      </c>
      <c r="G29" s="13">
        <f>$F$29</f>
        <v>0.6507097547548728</v>
      </c>
      <c r="H29" s="13">
        <f t="shared" ref="H29:J29" si="7">$F$29</f>
        <v>0.6507097547548728</v>
      </c>
      <c r="I29" s="13">
        <f t="shared" si="7"/>
        <v>0.6507097547548728</v>
      </c>
      <c r="J29" s="13">
        <f t="shared" si="7"/>
        <v>0.6507097547548728</v>
      </c>
    </row>
    <row r="30" spans="1:10" x14ac:dyDescent="0.2">
      <c r="A30" s="5" t="s">
        <v>105</v>
      </c>
      <c r="B30" s="13">
        <f>B5/B2</f>
        <v>0.16887967866554096</v>
      </c>
      <c r="C30" s="13">
        <f t="shared" ref="C30:E30" si="8">C5/C2</f>
        <v>0.13940642858660321</v>
      </c>
      <c r="D30" s="13">
        <f t="shared" si="8"/>
        <v>0.14969329756701494</v>
      </c>
      <c r="E30" s="13">
        <f t="shared" si="8"/>
        <v>0.19393342344612705</v>
      </c>
      <c r="F30" s="13">
        <f>AVERAGE(B30:E30)</f>
        <v>0.16297820706632155</v>
      </c>
      <c r="G30" s="13">
        <f>$F$30</f>
        <v>0.16297820706632155</v>
      </c>
      <c r="H30" s="13">
        <f t="shared" ref="H30:J30" si="9">$F$30</f>
        <v>0.16297820706632155</v>
      </c>
      <c r="I30" s="13">
        <f t="shared" si="9"/>
        <v>0.16297820706632155</v>
      </c>
      <c r="J30" s="13">
        <f t="shared" si="9"/>
        <v>0.16297820706632155</v>
      </c>
    </row>
    <row r="32" spans="1:10" x14ac:dyDescent="0.2">
      <c r="A32" s="5" t="s">
        <v>114</v>
      </c>
      <c r="B32" s="5">
        <f>B10/B9</f>
        <v>0.18472553699284008</v>
      </c>
      <c r="C32" s="5">
        <f t="shared" ref="C32:E32" si="10">C10/C9</f>
        <v>0.18307672402639411</v>
      </c>
      <c r="D32" s="5">
        <f t="shared" si="10"/>
        <v>0.35314839277851168</v>
      </c>
      <c r="E32" s="5">
        <f t="shared" si="10"/>
        <v>0.2311207005965224</v>
      </c>
      <c r="F32" s="5">
        <f>AVERAGE(B32:E32)</f>
        <v>0.23801783859856707</v>
      </c>
      <c r="G32" s="5">
        <f>$F$32</f>
        <v>0.23801783859856707</v>
      </c>
      <c r="H32" s="5">
        <f t="shared" ref="H32:J32" si="11">$F$32</f>
        <v>0.23801783859856707</v>
      </c>
      <c r="I32" s="5">
        <f t="shared" si="11"/>
        <v>0.23801783859856707</v>
      </c>
      <c r="J32" s="5">
        <f t="shared" si="11"/>
        <v>0.23801783859856707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266B-27D1-6B45-A3E5-FB2A209687F8}">
  <dimension ref="A1:J45"/>
  <sheetViews>
    <sheetView topLeftCell="A16" workbookViewId="0">
      <selection activeCell="B1" sqref="B1:J1"/>
    </sheetView>
  </sheetViews>
  <sheetFormatPr baseColWidth="10" defaultRowHeight="16" x14ac:dyDescent="0.2"/>
  <cols>
    <col min="1" max="1" width="55.83203125" bestFit="1" customWidth="1"/>
    <col min="2" max="4" width="14.5" bestFit="1" customWidth="1"/>
    <col min="5" max="5" width="15.1640625" bestFit="1" customWidth="1"/>
  </cols>
  <sheetData>
    <row r="1" spans="1:10" ht="18" x14ac:dyDescent="0.2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</row>
    <row r="2" spans="1:10" ht="18" x14ac:dyDescent="0.2">
      <c r="A2" s="1" t="s">
        <v>26</v>
      </c>
      <c r="B2" s="3">
        <v>160276000</v>
      </c>
      <c r="C2" s="3">
        <v>168864000</v>
      </c>
      <c r="D2" s="3">
        <v>179608000</v>
      </c>
      <c r="E2" s="3">
        <v>180317000</v>
      </c>
      <c r="F2" s="3"/>
      <c r="G2" s="3"/>
      <c r="H2" s="3"/>
      <c r="I2" s="3"/>
      <c r="J2" s="3"/>
    </row>
    <row r="3" spans="1:10" ht="18" x14ac:dyDescent="0.2">
      <c r="A3" s="1" t="s">
        <v>27</v>
      </c>
      <c r="B3" s="3">
        <v>7350000</v>
      </c>
      <c r="C3" s="3">
        <v>8959000</v>
      </c>
      <c r="D3" s="3">
        <v>12147000</v>
      </c>
      <c r="E3" s="3">
        <v>14399000</v>
      </c>
      <c r="F3" s="3"/>
      <c r="G3" s="3"/>
      <c r="H3" s="3"/>
      <c r="I3" s="3"/>
      <c r="J3" s="3"/>
    </row>
    <row r="4" spans="1:10" ht="18" x14ac:dyDescent="0.2">
      <c r="A4" s="1" t="s">
        <v>28</v>
      </c>
      <c r="B4" s="3">
        <v>452000</v>
      </c>
      <c r="C4" s="3">
        <v>286000</v>
      </c>
      <c r="D4" s="3">
        <v>861000</v>
      </c>
      <c r="E4" s="3">
        <v>5901000</v>
      </c>
      <c r="F4" s="3"/>
      <c r="G4" s="3"/>
      <c r="H4" s="3"/>
      <c r="I4" s="3"/>
      <c r="J4" s="3"/>
    </row>
    <row r="5" spans="1:10" ht="18" x14ac:dyDescent="0.2">
      <c r="A5" s="1" t="s">
        <v>29</v>
      </c>
      <c r="B5" s="3">
        <v>4363000</v>
      </c>
      <c r="C5" s="3">
        <v>5471000</v>
      </c>
      <c r="D5" s="3">
        <v>6053000</v>
      </c>
      <c r="E5" s="3">
        <v>4842000</v>
      </c>
      <c r="F5" s="3"/>
      <c r="G5" s="3"/>
      <c r="H5" s="3"/>
      <c r="I5" s="3"/>
      <c r="J5" s="3"/>
    </row>
    <row r="6" spans="1:10" ht="18" x14ac:dyDescent="0.2">
      <c r="A6" s="1" t="s">
        <v>30</v>
      </c>
      <c r="B6" s="3">
        <v>1536000</v>
      </c>
      <c r="C6" s="3">
        <v>1670000</v>
      </c>
      <c r="D6" s="3">
        <v>2255000</v>
      </c>
      <c r="E6" s="3">
        <v>1479000</v>
      </c>
      <c r="F6" s="3"/>
      <c r="G6" s="3"/>
      <c r="H6" s="3"/>
      <c r="I6" s="3"/>
      <c r="J6" s="3"/>
    </row>
    <row r="7" spans="1:10" ht="18" x14ac:dyDescent="0.2">
      <c r="A7" s="1" t="s">
        <v>31</v>
      </c>
      <c r="B7" s="3">
        <v>38000</v>
      </c>
      <c r="C7" s="3">
        <v>34000</v>
      </c>
      <c r="D7" s="3">
        <v>46000</v>
      </c>
      <c r="E7" s="3">
        <v>84000</v>
      </c>
      <c r="F7" s="3"/>
      <c r="G7" s="3"/>
      <c r="H7" s="3"/>
      <c r="I7" s="3"/>
      <c r="J7" s="3"/>
    </row>
    <row r="8" spans="1:10" ht="18" x14ac:dyDescent="0.2">
      <c r="A8" s="1" t="s">
        <v>32</v>
      </c>
      <c r="B8" s="3">
        <v>323000</v>
      </c>
      <c r="C8" s="3">
        <v>529000</v>
      </c>
      <c r="D8" s="3">
        <v>1015000</v>
      </c>
      <c r="E8" s="3">
        <v>623000</v>
      </c>
      <c r="F8" s="3"/>
      <c r="G8" s="3"/>
      <c r="H8" s="3"/>
      <c r="I8" s="3"/>
      <c r="J8" s="3"/>
    </row>
    <row r="9" spans="1:10" ht="18" x14ac:dyDescent="0.2">
      <c r="A9" s="1" t="s">
        <v>33</v>
      </c>
      <c r="B9" s="3">
        <v>638000</v>
      </c>
      <c r="C9" s="3">
        <v>969000</v>
      </c>
      <c r="D9" s="3">
        <v>1917000</v>
      </c>
      <c r="E9" s="3">
        <v>1470000</v>
      </c>
      <c r="F9" s="3"/>
      <c r="G9" s="3"/>
      <c r="H9" s="3"/>
      <c r="I9" s="3"/>
      <c r="J9" s="3"/>
    </row>
    <row r="10" spans="1:10" ht="18" x14ac:dyDescent="0.2">
      <c r="A10" s="1" t="s">
        <v>34</v>
      </c>
      <c r="B10" s="3">
        <v>152926000</v>
      </c>
      <c r="C10" s="3">
        <v>159905000</v>
      </c>
      <c r="D10" s="3">
        <v>167461000</v>
      </c>
      <c r="E10" s="3">
        <v>165918000</v>
      </c>
      <c r="F10" s="3"/>
      <c r="G10" s="3"/>
      <c r="H10" s="3"/>
      <c r="I10" s="3"/>
      <c r="J10" s="3"/>
    </row>
    <row r="11" spans="1:10" ht="18" x14ac:dyDescent="0.2">
      <c r="A11" s="1" t="s">
        <v>35</v>
      </c>
      <c r="B11" s="3">
        <v>94571000</v>
      </c>
      <c r="C11" s="3">
        <v>100067000</v>
      </c>
      <c r="D11" s="3">
        <v>104460000</v>
      </c>
      <c r="E11" s="3">
        <v>104641000</v>
      </c>
      <c r="F11" s="3"/>
      <c r="G11" s="3"/>
      <c r="H11" s="3"/>
      <c r="I11" s="3"/>
      <c r="J11" s="3"/>
    </row>
    <row r="12" spans="1:10" ht="18" x14ac:dyDescent="0.2">
      <c r="A12" s="1" t="s">
        <v>36</v>
      </c>
      <c r="B12" s="3">
        <v>34768000</v>
      </c>
      <c r="C12" s="3">
        <v>36783000</v>
      </c>
      <c r="D12" s="3">
        <v>36458000</v>
      </c>
      <c r="E12" s="3">
        <v>35385000</v>
      </c>
      <c r="F12" s="3"/>
      <c r="G12" s="3"/>
      <c r="H12" s="3"/>
      <c r="I12" s="3"/>
      <c r="J12" s="3"/>
    </row>
    <row r="13" spans="1:10" ht="18" x14ac:dyDescent="0.2">
      <c r="A13" s="1" t="s">
        <v>37</v>
      </c>
      <c r="B13" s="3">
        <v>13818000</v>
      </c>
      <c r="C13" s="3">
        <v>13324000</v>
      </c>
      <c r="D13" s="3">
        <v>15936000</v>
      </c>
      <c r="E13" s="3">
        <v>16793000</v>
      </c>
      <c r="F13" s="3"/>
      <c r="G13" s="3"/>
      <c r="H13" s="3"/>
      <c r="I13" s="3"/>
      <c r="J13" s="3"/>
    </row>
    <row r="14" spans="1:10" ht="18" x14ac:dyDescent="0.2">
      <c r="A14" s="1" t="s">
        <v>38</v>
      </c>
      <c r="B14" s="3">
        <v>770000</v>
      </c>
      <c r="C14" s="3">
        <v>488000</v>
      </c>
      <c r="D14" s="3">
        <v>472000</v>
      </c>
      <c r="E14" s="3">
        <v>341000</v>
      </c>
      <c r="F14" s="3"/>
      <c r="G14" s="3"/>
      <c r="H14" s="3"/>
      <c r="I14" s="3"/>
      <c r="J14" s="3"/>
    </row>
    <row r="15" spans="1:10" ht="18" x14ac:dyDescent="0.2">
      <c r="A15" s="1" t="s">
        <v>39</v>
      </c>
      <c r="B15" s="3">
        <v>8999000</v>
      </c>
      <c r="C15" s="3">
        <v>9243000</v>
      </c>
      <c r="D15" s="3">
        <v>10135000</v>
      </c>
      <c r="E15" s="3">
        <v>8758000</v>
      </c>
      <c r="F15" s="3"/>
      <c r="G15" s="3"/>
      <c r="H15" s="3"/>
      <c r="I15" s="3"/>
      <c r="J15" s="3"/>
    </row>
    <row r="16" spans="1:10" ht="18" x14ac:dyDescent="0.2">
      <c r="A16" s="1" t="s">
        <v>40</v>
      </c>
      <c r="B16" s="3">
        <v>95913000</v>
      </c>
      <c r="C16" s="3">
        <v>105496000</v>
      </c>
      <c r="D16" s="3">
        <v>116210000</v>
      </c>
      <c r="E16" s="3">
        <v>115834000</v>
      </c>
      <c r="F16" s="3"/>
      <c r="G16" s="3"/>
      <c r="H16" s="3"/>
      <c r="I16" s="3"/>
      <c r="J16" s="3"/>
    </row>
    <row r="17" spans="1:10" ht="18" x14ac:dyDescent="0.2">
      <c r="A17" s="1" t="s">
        <v>41</v>
      </c>
      <c r="B17" s="3">
        <v>13979000</v>
      </c>
      <c r="C17" s="3">
        <v>18229000</v>
      </c>
      <c r="D17" s="3">
        <v>20301000</v>
      </c>
      <c r="E17" s="3">
        <v>17435000</v>
      </c>
      <c r="F17" s="3"/>
      <c r="G17" s="3"/>
      <c r="H17" s="3"/>
      <c r="I17" s="3"/>
      <c r="J17" s="3"/>
    </row>
    <row r="18" spans="1:10" ht="18" x14ac:dyDescent="0.2">
      <c r="A18" s="1" t="s">
        <v>42</v>
      </c>
      <c r="B18" s="3">
        <v>81934000</v>
      </c>
      <c r="C18" s="3">
        <v>87267000</v>
      </c>
      <c r="D18" s="3">
        <v>95909000</v>
      </c>
      <c r="E18" s="3">
        <v>98399000</v>
      </c>
      <c r="F18" s="3"/>
      <c r="G18" s="3"/>
      <c r="H18" s="3"/>
      <c r="I18" s="3"/>
      <c r="J18" s="3"/>
    </row>
    <row r="19" spans="1:10" ht="18" x14ac:dyDescent="0.2">
      <c r="A19" s="1" t="s">
        <v>43</v>
      </c>
      <c r="B19" s="3">
        <v>62819000</v>
      </c>
      <c r="C19" s="3">
        <v>67961000</v>
      </c>
      <c r="D19" s="3">
        <v>72939000</v>
      </c>
      <c r="E19" s="3">
        <v>74715000</v>
      </c>
      <c r="F19" s="3"/>
      <c r="G19" s="3"/>
      <c r="H19" s="3"/>
      <c r="I19" s="3"/>
      <c r="J19" s="3"/>
    </row>
    <row r="20" spans="1:10" ht="18" x14ac:dyDescent="0.2">
      <c r="A20" s="1" t="s">
        <v>44</v>
      </c>
      <c r="B20" s="3">
        <v>10332000</v>
      </c>
      <c r="C20" s="3">
        <v>11689000</v>
      </c>
      <c r="D20" s="3">
        <v>13781000</v>
      </c>
      <c r="E20" s="3">
        <v>15031000</v>
      </c>
      <c r="F20" s="3"/>
      <c r="G20" s="3"/>
      <c r="H20" s="3"/>
      <c r="I20" s="3"/>
      <c r="J20" s="3"/>
    </row>
    <row r="21" spans="1:10" ht="18" x14ac:dyDescent="0.2">
      <c r="A21" s="1" t="s">
        <v>45</v>
      </c>
      <c r="B21" s="3">
        <v>8783000</v>
      </c>
      <c r="C21" s="3">
        <v>7617000</v>
      </c>
      <c r="D21" s="3">
        <v>9189000</v>
      </c>
      <c r="E21" s="3">
        <v>8653000</v>
      </c>
      <c r="F21" s="3"/>
      <c r="G21" s="3"/>
      <c r="H21" s="3"/>
      <c r="I21" s="3"/>
      <c r="J21" s="3"/>
    </row>
    <row r="22" spans="1:10" ht="18" x14ac:dyDescent="0.2">
      <c r="A22" s="1" t="s">
        <v>46</v>
      </c>
      <c r="B22" s="3">
        <v>64363000</v>
      </c>
      <c r="C22" s="3">
        <v>63368000</v>
      </c>
      <c r="D22" s="3">
        <v>63398000</v>
      </c>
      <c r="E22" s="3">
        <v>64483000</v>
      </c>
      <c r="F22" s="3"/>
      <c r="G22" s="3"/>
      <c r="H22" s="3"/>
      <c r="I22" s="3"/>
      <c r="J22" s="3"/>
    </row>
    <row r="23" spans="1:10" ht="18" x14ac:dyDescent="0.2">
      <c r="A23" s="1" t="s">
        <v>47</v>
      </c>
      <c r="B23" s="3">
        <v>61367000</v>
      </c>
      <c r="C23" s="3">
        <v>60826000</v>
      </c>
      <c r="D23" s="3">
        <v>59887000</v>
      </c>
      <c r="E23" s="3">
        <v>61454000</v>
      </c>
      <c r="F23" s="3"/>
      <c r="G23" s="3"/>
      <c r="H23" s="3"/>
      <c r="I23" s="3"/>
      <c r="J23" s="3"/>
    </row>
    <row r="24" spans="1:10" ht="18" x14ac:dyDescent="0.2">
      <c r="A24" s="1" t="s">
        <v>48</v>
      </c>
      <c r="B24" s="3">
        <v>72515000</v>
      </c>
      <c r="C24" s="3">
        <v>72546000</v>
      </c>
      <c r="D24" s="3">
        <v>71578000</v>
      </c>
      <c r="E24" s="3">
        <v>75998000</v>
      </c>
      <c r="F24" s="3"/>
      <c r="G24" s="3"/>
      <c r="H24" s="3"/>
      <c r="I24" s="3"/>
      <c r="J24" s="3"/>
    </row>
    <row r="25" spans="1:10" ht="18" x14ac:dyDescent="0.2">
      <c r="A25" s="1" t="s">
        <v>49</v>
      </c>
      <c r="B25" s="3">
        <v>-9995000</v>
      </c>
      <c r="C25" s="3">
        <v>-10989000</v>
      </c>
      <c r="D25" s="3">
        <v>-15486000</v>
      </c>
      <c r="E25" s="3">
        <v>-17115000</v>
      </c>
      <c r="F25" s="3"/>
      <c r="G25" s="3"/>
      <c r="H25" s="3"/>
      <c r="I25" s="3"/>
      <c r="J25" s="3"/>
    </row>
    <row r="26" spans="1:10" ht="18" x14ac:dyDescent="0.2">
      <c r="A26" s="1" t="s">
        <v>50</v>
      </c>
      <c r="B26" s="3">
        <v>277000</v>
      </c>
      <c r="C26" s="3">
        <v>365000</v>
      </c>
      <c r="D26" s="3">
        <v>275000</v>
      </c>
      <c r="E26" s="3">
        <v>268000</v>
      </c>
      <c r="F26" s="3"/>
      <c r="G26" s="3"/>
      <c r="H26" s="3"/>
      <c r="I26" s="3"/>
      <c r="J26" s="3"/>
    </row>
    <row r="27" spans="1:10" ht="18" x14ac:dyDescent="0.2">
      <c r="A27" s="1" t="s">
        <v>51</v>
      </c>
      <c r="B27" s="3">
        <v>-1401000</v>
      </c>
      <c r="C27" s="3">
        <v>-1096000</v>
      </c>
      <c r="D27" s="3">
        <v>3520000</v>
      </c>
      <c r="E27" s="3">
        <v>2303000</v>
      </c>
      <c r="F27" s="3"/>
      <c r="G27" s="3"/>
      <c r="H27" s="3"/>
      <c r="I27" s="3"/>
      <c r="J27" s="3"/>
    </row>
    <row r="28" spans="1:10" ht="18" x14ac:dyDescent="0.2">
      <c r="A28" s="1" t="s">
        <v>52</v>
      </c>
      <c r="B28" s="3">
        <v>-29000</v>
      </c>
      <c r="C28" s="1" t="s">
        <v>53</v>
      </c>
      <c r="D28" s="1" t="s">
        <v>53</v>
      </c>
      <c r="E28" s="1" t="s">
        <v>53</v>
      </c>
      <c r="F28" s="3"/>
      <c r="G28" s="3"/>
      <c r="H28" s="3"/>
      <c r="I28" s="3"/>
      <c r="J28" s="3"/>
    </row>
    <row r="29" spans="1:10" ht="18" x14ac:dyDescent="0.2">
      <c r="A29" s="1" t="s">
        <v>54</v>
      </c>
      <c r="B29" s="3">
        <v>2996000</v>
      </c>
      <c r="C29" s="3">
        <v>2542000</v>
      </c>
      <c r="D29" s="3">
        <v>3511000</v>
      </c>
      <c r="E29" s="3">
        <v>3029000</v>
      </c>
      <c r="F29" s="3"/>
      <c r="G29" s="3"/>
      <c r="H29" s="3"/>
      <c r="I29" s="3"/>
      <c r="J29" s="3"/>
    </row>
    <row r="30" spans="1:10" ht="18" x14ac:dyDescent="0.2">
      <c r="A30" s="1"/>
      <c r="B30" s="3"/>
      <c r="C30" s="3"/>
      <c r="D30" s="3"/>
      <c r="E30" s="3"/>
      <c r="F30" s="3"/>
      <c r="G30" s="3"/>
      <c r="H30" s="3"/>
      <c r="I30" s="3"/>
      <c r="J30" s="3"/>
    </row>
    <row r="31" spans="1:10" ht="18" x14ac:dyDescent="0.2">
      <c r="A31" s="1"/>
      <c r="B31" s="3"/>
      <c r="C31" s="3"/>
      <c r="D31" s="3"/>
      <c r="E31" s="3"/>
      <c r="F31" s="3"/>
      <c r="G31" s="3"/>
      <c r="H31" s="3"/>
      <c r="I31" s="3"/>
      <c r="J31" s="3"/>
    </row>
    <row r="32" spans="1:10" ht="18" x14ac:dyDescent="0.2">
      <c r="A32" s="1" t="s">
        <v>55</v>
      </c>
      <c r="B32" s="3">
        <v>124186000</v>
      </c>
      <c r="C32" s="3">
        <v>128787000</v>
      </c>
      <c r="D32" s="3">
        <v>132826000</v>
      </c>
      <c r="E32" s="3">
        <v>136169000</v>
      </c>
      <c r="F32" s="3"/>
      <c r="G32" s="3"/>
      <c r="H32" s="3"/>
      <c r="I32" s="3"/>
      <c r="J32" s="3"/>
    </row>
    <row r="33" spans="1:10" ht="18" x14ac:dyDescent="0.2">
      <c r="A33" s="1" t="s">
        <v>56</v>
      </c>
      <c r="B33" s="3">
        <v>7747000</v>
      </c>
      <c r="C33" s="3">
        <v>7747000</v>
      </c>
      <c r="D33" s="3">
        <v>6818000</v>
      </c>
      <c r="E33" s="3">
        <v>6818000</v>
      </c>
      <c r="F33" s="3"/>
      <c r="G33" s="3"/>
      <c r="H33" s="3"/>
      <c r="I33" s="3"/>
      <c r="J33" s="3"/>
    </row>
    <row r="34" spans="1:10" ht="18" x14ac:dyDescent="0.2">
      <c r="A34" s="1" t="s">
        <v>57</v>
      </c>
      <c r="B34" s="3">
        <v>53620000</v>
      </c>
      <c r="C34" s="3">
        <v>53079000</v>
      </c>
      <c r="D34" s="3">
        <v>53069000</v>
      </c>
      <c r="E34" s="3">
        <v>54636000</v>
      </c>
      <c r="F34" s="3"/>
      <c r="G34" s="3"/>
      <c r="H34" s="3"/>
      <c r="I34" s="3"/>
      <c r="J34" s="3"/>
    </row>
    <row r="35" spans="1:10" ht="18" x14ac:dyDescent="0.2">
      <c r="A35" s="1" t="s">
        <v>58</v>
      </c>
      <c r="B35" s="3">
        <v>26599000</v>
      </c>
      <c r="C35" s="3">
        <v>24043000</v>
      </c>
      <c r="D35" s="3">
        <v>23429000</v>
      </c>
      <c r="E35" s="3">
        <v>26069000</v>
      </c>
      <c r="F35" s="3"/>
      <c r="G35" s="3"/>
      <c r="H35" s="3"/>
      <c r="I35" s="3"/>
      <c r="J35" s="3"/>
    </row>
    <row r="36" spans="1:10" ht="18" x14ac:dyDescent="0.2">
      <c r="A36" s="1" t="s">
        <v>59</v>
      </c>
      <c r="B36" s="3">
        <v>-6629000</v>
      </c>
      <c r="C36" s="3">
        <v>-9270000</v>
      </c>
      <c r="D36" s="3">
        <v>-8154000</v>
      </c>
      <c r="E36" s="3">
        <v>-3036000</v>
      </c>
      <c r="F36" s="3"/>
      <c r="G36" s="3"/>
      <c r="H36" s="3"/>
      <c r="I36" s="3"/>
      <c r="J36" s="3"/>
    </row>
    <row r="37" spans="1:10" ht="18" x14ac:dyDescent="0.2">
      <c r="A37" s="1" t="s">
        <v>60</v>
      </c>
      <c r="B37" s="3">
        <v>120517000</v>
      </c>
      <c r="C37" s="3">
        <v>128719000</v>
      </c>
      <c r="D37" s="3">
        <v>134049000</v>
      </c>
      <c r="E37" s="3">
        <v>135835000</v>
      </c>
      <c r="F37" s="3"/>
      <c r="G37" s="3"/>
      <c r="H37" s="3"/>
      <c r="I37" s="3"/>
      <c r="J37" s="3"/>
    </row>
    <row r="38" spans="1:10" ht="18" x14ac:dyDescent="0.2">
      <c r="A38" s="1" t="s">
        <v>61</v>
      </c>
      <c r="B38" s="3">
        <v>66897000</v>
      </c>
      <c r="C38" s="3">
        <v>75640000</v>
      </c>
      <c r="D38" s="3">
        <v>80980000</v>
      </c>
      <c r="E38" s="3">
        <v>81199000</v>
      </c>
      <c r="F38" s="3"/>
      <c r="G38" s="3"/>
      <c r="H38" s="3"/>
      <c r="I38" s="3"/>
      <c r="J38" s="3"/>
    </row>
    <row r="39" spans="1:10" ht="18" x14ac:dyDescent="0.2">
      <c r="A39" s="1" t="s">
        <v>62</v>
      </c>
      <c r="B39" s="3">
        <v>66445000</v>
      </c>
      <c r="C39" s="3">
        <v>75354000</v>
      </c>
      <c r="D39" s="3">
        <v>80119000</v>
      </c>
      <c r="E39" s="3">
        <v>75298000</v>
      </c>
      <c r="F39" s="3"/>
      <c r="G39" s="3"/>
      <c r="H39" s="3"/>
      <c r="I39" s="3"/>
      <c r="J39" s="3"/>
    </row>
    <row r="40" spans="1:10" ht="18" x14ac:dyDescent="0.2">
      <c r="A40" s="1" t="s">
        <v>63</v>
      </c>
      <c r="B40" s="3">
        <v>2026000</v>
      </c>
      <c r="C40" s="3">
        <v>2026000</v>
      </c>
      <c r="D40" s="3">
        <v>2025000</v>
      </c>
      <c r="E40" s="4">
        <v>2125574.41</v>
      </c>
      <c r="F40" s="3"/>
      <c r="G40" s="3"/>
      <c r="H40" s="3"/>
      <c r="I40" s="3"/>
      <c r="J40" s="3"/>
    </row>
    <row r="41" spans="1:10" ht="18" x14ac:dyDescent="0.2">
      <c r="A41" s="1" t="s">
        <v>64</v>
      </c>
      <c r="B41" s="3">
        <v>2026000</v>
      </c>
      <c r="C41" s="3">
        <v>2026000</v>
      </c>
      <c r="D41" s="3">
        <v>2025000</v>
      </c>
      <c r="E41" s="4">
        <v>2125574.41</v>
      </c>
      <c r="F41" s="3"/>
      <c r="G41" s="3"/>
      <c r="H41" s="3"/>
      <c r="I41" s="3"/>
      <c r="J41" s="3"/>
    </row>
    <row r="42" spans="1:10" ht="18" x14ac:dyDescent="0.2">
      <c r="A42" s="1" t="s">
        <v>65</v>
      </c>
      <c r="B42" s="3">
        <v>255000</v>
      </c>
      <c r="C42" s="3">
        <v>255000</v>
      </c>
      <c r="D42" s="3">
        <v>277000</v>
      </c>
      <c r="E42" s="3">
        <v>277000</v>
      </c>
      <c r="F42" s="3"/>
      <c r="G42" s="3"/>
      <c r="H42" s="3"/>
      <c r="I42" s="3"/>
      <c r="J42" s="3"/>
    </row>
    <row r="45" spans="1:10" x14ac:dyDescent="0.2">
      <c r="A45" s="5" t="s">
        <v>102</v>
      </c>
      <c r="B45" s="9" t="s">
        <v>21</v>
      </c>
      <c r="C45" s="9" t="s">
        <v>22</v>
      </c>
      <c r="D45" s="9" t="s">
        <v>23</v>
      </c>
      <c r="E45" s="9" t="s">
        <v>24</v>
      </c>
      <c r="F45" s="9" t="s">
        <v>97</v>
      </c>
      <c r="G45" s="9" t="s">
        <v>98</v>
      </c>
      <c r="H45" s="9" t="s">
        <v>99</v>
      </c>
      <c r="I45" s="9" t="s">
        <v>100</v>
      </c>
      <c r="J45" s="10" t="s">
        <v>101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E829-5604-3742-9844-8E9FE9377A65}">
  <dimension ref="A1:J40"/>
  <sheetViews>
    <sheetView topLeftCell="A25" zoomScale="108" workbookViewId="0">
      <selection activeCell="A42" sqref="A42:C45"/>
    </sheetView>
  </sheetViews>
  <sheetFormatPr baseColWidth="10" defaultRowHeight="16" x14ac:dyDescent="0.2"/>
  <cols>
    <col min="1" max="1" width="52.1640625" bestFit="1" customWidth="1"/>
    <col min="2" max="2" width="12.6640625" bestFit="1" customWidth="1"/>
    <col min="3" max="3" width="14" bestFit="1" customWidth="1"/>
    <col min="4" max="5" width="13.1640625" bestFit="1" customWidth="1"/>
    <col min="6" max="10" width="12.6640625" bestFit="1" customWidth="1"/>
    <col min="50" max="50" width="12.1640625" bestFit="1" customWidth="1"/>
  </cols>
  <sheetData>
    <row r="1" spans="1:10" ht="18" x14ac:dyDescent="0.2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8" t="s">
        <v>97</v>
      </c>
      <c r="G1" s="1" t="s">
        <v>98</v>
      </c>
      <c r="H1" s="1" t="s">
        <v>99</v>
      </c>
      <c r="I1" s="1" t="s">
        <v>100</v>
      </c>
      <c r="J1" s="1" t="s">
        <v>101</v>
      </c>
    </row>
    <row r="2" spans="1:10" ht="18" x14ac:dyDescent="0.2">
      <c r="A2" s="1" t="s">
        <v>66</v>
      </c>
      <c r="B2" s="3">
        <v>9781000</v>
      </c>
      <c r="C2" s="3">
        <v>9256000</v>
      </c>
      <c r="D2" s="3">
        <v>11230000</v>
      </c>
      <c r="E2" s="3">
        <v>14201000</v>
      </c>
      <c r="F2" s="3"/>
      <c r="G2" s="3"/>
      <c r="H2" s="3"/>
      <c r="I2" s="3"/>
      <c r="J2" s="3"/>
    </row>
    <row r="3" spans="1:10" ht="18" x14ac:dyDescent="0.2">
      <c r="A3" s="17" t="s">
        <v>67</v>
      </c>
      <c r="B3" s="3">
        <v>3416000</v>
      </c>
      <c r="C3" s="3">
        <v>6314000</v>
      </c>
      <c r="D3" s="3">
        <v>2938000</v>
      </c>
      <c r="E3" s="3">
        <v>6058000</v>
      </c>
      <c r="F3" s="3"/>
      <c r="G3" s="3"/>
      <c r="H3" s="3"/>
      <c r="I3" s="3"/>
      <c r="J3" s="3"/>
    </row>
    <row r="4" spans="1:10" ht="18" x14ac:dyDescent="0.2">
      <c r="A4" s="17" t="s">
        <v>68</v>
      </c>
      <c r="B4" s="3">
        <v>-1898000</v>
      </c>
      <c r="C4" s="3">
        <v>-2092000</v>
      </c>
      <c r="D4" s="3">
        <v>-764000</v>
      </c>
      <c r="E4" s="3">
        <v>-3011000</v>
      </c>
      <c r="F4" s="3"/>
      <c r="G4" s="3"/>
      <c r="H4" s="3"/>
      <c r="I4" s="3"/>
      <c r="J4" s="3"/>
    </row>
    <row r="5" spans="1:10" ht="18" x14ac:dyDescent="0.2">
      <c r="A5" s="17" t="s">
        <v>69</v>
      </c>
      <c r="B5" s="3">
        <v>3712000</v>
      </c>
      <c r="C5" s="3">
        <v>3852000</v>
      </c>
      <c r="D5" s="3">
        <v>4317000</v>
      </c>
      <c r="E5" s="3">
        <v>4613000</v>
      </c>
      <c r="F5" s="3">
        <f>F38*IS!F6</f>
        <v>4182681.0795790218</v>
      </c>
      <c r="G5" s="3">
        <f>G38*IS!G6</f>
        <v>4399591.881384844</v>
      </c>
      <c r="H5" s="3">
        <f>H38*IS!H6</f>
        <v>4627751.5197729627</v>
      </c>
      <c r="I5" s="3">
        <f>I38*IS!I6</f>
        <v>4867743.3512355499</v>
      </c>
      <c r="J5" s="3">
        <f>J38*IS!J6</f>
        <v>5120180.9847086072</v>
      </c>
    </row>
    <row r="6" spans="1:10" ht="18" x14ac:dyDescent="0.2">
      <c r="A6" s="17" t="s">
        <v>70</v>
      </c>
      <c r="B6" s="3">
        <v>447000</v>
      </c>
      <c r="C6" s="3">
        <v>1091000</v>
      </c>
      <c r="D6" s="3">
        <v>957000</v>
      </c>
      <c r="E6" s="3">
        <v>1420000</v>
      </c>
      <c r="F6" s="3"/>
      <c r="G6" s="3"/>
      <c r="H6" s="3"/>
      <c r="I6" s="3"/>
      <c r="J6" s="3"/>
    </row>
    <row r="7" spans="1:10" ht="18" x14ac:dyDescent="0.2">
      <c r="A7" s="17" t="s">
        <v>71</v>
      </c>
      <c r="B7" s="3">
        <v>2351000</v>
      </c>
      <c r="C7" s="1" t="s">
        <v>53</v>
      </c>
      <c r="D7" s="3">
        <v>3006000</v>
      </c>
      <c r="E7" s="3">
        <v>419000</v>
      </c>
      <c r="F7" s="3"/>
      <c r="G7" s="3"/>
      <c r="H7" s="3"/>
      <c r="I7" s="3"/>
      <c r="J7" s="3"/>
    </row>
    <row r="8" spans="1:10" ht="18" x14ac:dyDescent="0.2">
      <c r="A8" s="17" t="s">
        <v>72</v>
      </c>
      <c r="B8" s="3">
        <v>268000</v>
      </c>
      <c r="C8" s="3">
        <v>-73000</v>
      </c>
      <c r="D8" s="3">
        <v>-1039000</v>
      </c>
      <c r="E8" s="3">
        <v>393000</v>
      </c>
      <c r="F8" s="3"/>
      <c r="G8" s="3"/>
      <c r="H8" s="3"/>
      <c r="I8" s="3"/>
      <c r="J8" s="3"/>
    </row>
    <row r="9" spans="1:10" ht="18" x14ac:dyDescent="0.2">
      <c r="A9" s="17" t="s">
        <v>73</v>
      </c>
      <c r="B9" s="3">
        <v>93000</v>
      </c>
      <c r="C9" s="3">
        <v>-1466000</v>
      </c>
      <c r="D9" s="3">
        <v>-12000</v>
      </c>
      <c r="E9" s="3">
        <v>2311000</v>
      </c>
      <c r="F9" s="3"/>
      <c r="G9" s="3"/>
      <c r="H9" s="3"/>
      <c r="I9" s="3"/>
      <c r="J9" s="3"/>
    </row>
    <row r="10" spans="1:10" ht="18" x14ac:dyDescent="0.2">
      <c r="A10" s="17" t="s">
        <v>74</v>
      </c>
      <c r="B10" s="3">
        <v>1392000</v>
      </c>
      <c r="C10" s="3">
        <v>1630000</v>
      </c>
      <c r="D10" s="3">
        <v>1827000</v>
      </c>
      <c r="E10" s="3">
        <v>1998000</v>
      </c>
      <c r="F10" s="3"/>
      <c r="G10" s="3"/>
      <c r="H10" s="3"/>
      <c r="I10" s="3"/>
      <c r="J10" s="3"/>
    </row>
    <row r="11" spans="1:10" ht="18" x14ac:dyDescent="0.2">
      <c r="A11" s="1" t="s">
        <v>75</v>
      </c>
      <c r="B11" s="3">
        <v>-5177000</v>
      </c>
      <c r="C11" s="3">
        <v>-10657000</v>
      </c>
      <c r="D11" s="3">
        <v>-5270000</v>
      </c>
      <c r="E11" s="3">
        <v>-6043000</v>
      </c>
      <c r="F11" s="3"/>
      <c r="G11" s="3"/>
      <c r="H11" s="3"/>
      <c r="I11" s="3"/>
      <c r="J11" s="3"/>
    </row>
    <row r="12" spans="1:10" ht="18" x14ac:dyDescent="0.2">
      <c r="A12" s="17" t="s">
        <v>76</v>
      </c>
      <c r="B12" s="3">
        <v>-5405000</v>
      </c>
      <c r="C12" s="3">
        <v>-7818000</v>
      </c>
      <c r="D12" s="3">
        <v>-4647000</v>
      </c>
      <c r="E12" s="3">
        <v>-4654000</v>
      </c>
      <c r="F12" s="3">
        <f>F40*IS!F6</f>
        <v>-5788858.2967954352</v>
      </c>
      <c r="G12" s="3">
        <f>G40*IS!G6</f>
        <v>-6089064.2820972279</v>
      </c>
      <c r="H12" s="3">
        <f>H40*IS!H6</f>
        <v>-6404838.7316782214</v>
      </c>
      <c r="I12" s="3">
        <f>I40*IS!I6</f>
        <v>-6736989.014784473</v>
      </c>
      <c r="J12" s="3">
        <f>J40*IS!J6</f>
        <v>-7086364.3702445142</v>
      </c>
    </row>
    <row r="13" spans="1:10" ht="18" x14ac:dyDescent="0.2">
      <c r="A13" s="17" t="s">
        <v>77</v>
      </c>
      <c r="B13" s="3">
        <v>-215000</v>
      </c>
      <c r="C13" s="3">
        <v>-275000</v>
      </c>
      <c r="D13" s="3">
        <v>-174000</v>
      </c>
      <c r="E13" s="3">
        <v>-222000</v>
      </c>
      <c r="F13" s="3"/>
      <c r="G13" s="3"/>
      <c r="H13" s="3"/>
      <c r="I13" s="3"/>
      <c r="J13" s="3"/>
    </row>
    <row r="14" spans="1:10" ht="18" x14ac:dyDescent="0.2">
      <c r="A14" s="17" t="s">
        <v>78</v>
      </c>
      <c r="B14" s="3">
        <v>-24000</v>
      </c>
      <c r="C14" s="3">
        <v>-3785000</v>
      </c>
      <c r="D14" s="3">
        <v>-306000</v>
      </c>
      <c r="E14" s="3">
        <v>-954000</v>
      </c>
      <c r="F14" s="3"/>
      <c r="G14" s="3"/>
      <c r="H14" s="3"/>
      <c r="I14" s="3"/>
      <c r="J14" s="3"/>
    </row>
    <row r="15" spans="1:10" ht="18" x14ac:dyDescent="0.2">
      <c r="A15" s="17" t="s">
        <v>79</v>
      </c>
      <c r="B15" s="3">
        <v>-487000</v>
      </c>
      <c r="C15" s="3">
        <v>-640000</v>
      </c>
      <c r="D15" s="3">
        <v>-1041000</v>
      </c>
      <c r="E15" s="3">
        <v>-1276000</v>
      </c>
      <c r="F15" s="3"/>
      <c r="G15" s="3"/>
      <c r="H15" s="3"/>
      <c r="I15" s="3"/>
      <c r="J15" s="3"/>
    </row>
    <row r="16" spans="1:10" ht="18" x14ac:dyDescent="0.2">
      <c r="A16" s="17" t="s">
        <v>80</v>
      </c>
      <c r="B16" s="3">
        <v>705000</v>
      </c>
      <c r="C16" s="3">
        <v>533000</v>
      </c>
      <c r="D16" s="3">
        <v>763000</v>
      </c>
      <c r="E16" s="3">
        <v>1151000</v>
      </c>
      <c r="F16" s="3"/>
      <c r="G16" s="3"/>
      <c r="H16" s="3"/>
      <c r="I16" s="3"/>
      <c r="J16" s="3"/>
    </row>
    <row r="17" spans="1:10" ht="18" x14ac:dyDescent="0.2">
      <c r="A17" s="17" t="s">
        <v>81</v>
      </c>
      <c r="B17" s="3">
        <v>249000</v>
      </c>
      <c r="C17" s="3">
        <v>1328000</v>
      </c>
      <c r="D17" s="3">
        <v>135000</v>
      </c>
      <c r="E17" s="3">
        <v>-88000</v>
      </c>
      <c r="F17" s="3"/>
      <c r="G17" s="3"/>
      <c r="H17" s="3"/>
      <c r="I17" s="3"/>
      <c r="J17" s="3"/>
    </row>
    <row r="18" spans="1:10" ht="18" x14ac:dyDescent="0.2">
      <c r="A18" s="1" t="s">
        <v>82</v>
      </c>
      <c r="B18" s="3">
        <v>-4770000</v>
      </c>
      <c r="C18" s="3">
        <v>1236000</v>
      </c>
      <c r="D18" s="3">
        <v>-5428000</v>
      </c>
      <c r="E18" s="3">
        <v>-2864000</v>
      </c>
      <c r="F18" s="3"/>
      <c r="G18" s="3"/>
      <c r="H18" s="3"/>
      <c r="I18" s="3"/>
      <c r="J18" s="3"/>
    </row>
    <row r="19" spans="1:10" ht="18" x14ac:dyDescent="0.2">
      <c r="A19" s="17" t="s">
        <v>83</v>
      </c>
      <c r="B19" s="3">
        <v>2532000</v>
      </c>
      <c r="C19" s="3">
        <v>9122000</v>
      </c>
      <c r="D19" s="3">
        <v>2497000</v>
      </c>
      <c r="E19" s="3">
        <v>876000</v>
      </c>
      <c r="F19" s="3"/>
      <c r="G19" s="3"/>
      <c r="H19" s="3"/>
      <c r="I19" s="3"/>
      <c r="J19" s="3"/>
    </row>
    <row r="20" spans="1:10" ht="18" x14ac:dyDescent="0.2">
      <c r="A20" s="17" t="s">
        <v>84</v>
      </c>
      <c r="B20" s="3">
        <v>5000</v>
      </c>
      <c r="C20" s="3">
        <v>5000</v>
      </c>
      <c r="D20" s="3">
        <v>-148000</v>
      </c>
      <c r="E20" s="3">
        <v>4325000</v>
      </c>
      <c r="F20" s="3"/>
      <c r="G20" s="3"/>
      <c r="H20" s="3"/>
      <c r="I20" s="3"/>
      <c r="J20" s="3"/>
    </row>
    <row r="21" spans="1:10" ht="18" x14ac:dyDescent="0.2">
      <c r="A21" s="17" t="s">
        <v>85</v>
      </c>
      <c r="B21" s="1" t="s">
        <v>53</v>
      </c>
      <c r="C21" s="3">
        <v>-415000</v>
      </c>
      <c r="D21" s="3">
        <v>-1003000</v>
      </c>
      <c r="E21" s="1" t="s">
        <v>53</v>
      </c>
      <c r="F21" s="3"/>
      <c r="G21" s="3"/>
      <c r="H21" s="3"/>
      <c r="I21" s="3"/>
      <c r="J21" s="3"/>
    </row>
    <row r="22" spans="1:10" ht="18" x14ac:dyDescent="0.2">
      <c r="A22" s="17" t="s">
        <v>86</v>
      </c>
      <c r="B22" s="3">
        <v>-6940000</v>
      </c>
      <c r="C22" s="3">
        <v>-7133000</v>
      </c>
      <c r="D22" s="3">
        <v>-7306000</v>
      </c>
      <c r="E22" s="3">
        <v>-7628000</v>
      </c>
      <c r="F22" s="3"/>
      <c r="G22" s="3"/>
      <c r="H22" s="3"/>
      <c r="I22" s="3"/>
      <c r="J22" s="3"/>
    </row>
    <row r="23" spans="1:10" ht="18" x14ac:dyDescent="0.2">
      <c r="A23" s="17" t="s">
        <v>87</v>
      </c>
      <c r="B23" s="3">
        <v>-367000</v>
      </c>
      <c r="C23" s="3">
        <v>-343000</v>
      </c>
      <c r="D23" s="3">
        <v>532000</v>
      </c>
      <c r="E23" s="3">
        <v>-437000</v>
      </c>
      <c r="F23" s="3"/>
      <c r="G23" s="3"/>
      <c r="H23" s="3"/>
      <c r="I23" s="3"/>
      <c r="J23" s="3"/>
    </row>
    <row r="24" spans="1:10" ht="18" x14ac:dyDescent="0.2">
      <c r="A24" s="1" t="s">
        <v>88</v>
      </c>
      <c r="B24" s="3">
        <v>490000</v>
      </c>
      <c r="C24" s="3">
        <v>320000</v>
      </c>
      <c r="D24" s="3">
        <v>907000</v>
      </c>
      <c r="E24" s="3">
        <v>5985000</v>
      </c>
      <c r="F24" s="3"/>
      <c r="G24" s="3"/>
      <c r="H24" s="3"/>
      <c r="I24" s="3"/>
      <c r="J24" s="3"/>
    </row>
    <row r="25" spans="1:10" ht="18" x14ac:dyDescent="0.2">
      <c r="A25" s="1"/>
      <c r="B25" s="3"/>
      <c r="C25" s="3"/>
      <c r="D25" s="3"/>
      <c r="E25" s="3"/>
      <c r="F25" s="3"/>
      <c r="G25" s="3"/>
      <c r="H25" s="3"/>
      <c r="I25" s="3"/>
      <c r="J25" s="3"/>
    </row>
    <row r="26" spans="1:10" ht="18" x14ac:dyDescent="0.2">
      <c r="A26" s="1"/>
      <c r="B26" s="3"/>
      <c r="C26" s="3"/>
      <c r="D26" s="3"/>
      <c r="E26" s="3"/>
      <c r="F26" s="3"/>
      <c r="G26" s="3"/>
      <c r="H26" s="3"/>
      <c r="I26" s="3"/>
      <c r="J26" s="3"/>
    </row>
    <row r="27" spans="1:10" ht="18" x14ac:dyDescent="0.2">
      <c r="A27" s="1" t="s">
        <v>89</v>
      </c>
      <c r="B27" s="3">
        <v>524000</v>
      </c>
      <c r="C27" s="3">
        <v>489000</v>
      </c>
      <c r="D27" s="3">
        <v>495000</v>
      </c>
      <c r="E27" s="3">
        <v>578000</v>
      </c>
      <c r="F27" s="3"/>
      <c r="G27" s="3"/>
      <c r="H27" s="3"/>
      <c r="I27" s="3"/>
      <c r="J27" s="3"/>
    </row>
    <row r="28" spans="1:10" ht="18" x14ac:dyDescent="0.2">
      <c r="A28" s="1" t="s">
        <v>90</v>
      </c>
      <c r="B28" s="3">
        <v>2538000</v>
      </c>
      <c r="C28" s="3">
        <v>2427000</v>
      </c>
      <c r="D28" s="3">
        <v>2920000</v>
      </c>
      <c r="E28" s="3">
        <v>3380000</v>
      </c>
      <c r="F28" s="3"/>
      <c r="G28" s="3"/>
      <c r="H28" s="3"/>
      <c r="I28" s="3"/>
      <c r="J28" s="3"/>
    </row>
    <row r="29" spans="1:10" ht="18" x14ac:dyDescent="0.2">
      <c r="A29" s="1" t="s">
        <v>91</v>
      </c>
      <c r="B29" s="3">
        <v>-5620000</v>
      </c>
      <c r="C29" s="3">
        <v>-8093000</v>
      </c>
      <c r="D29" s="3">
        <v>-4821000</v>
      </c>
      <c r="E29" s="3">
        <v>-4876000</v>
      </c>
      <c r="F29" s="3"/>
      <c r="G29" s="3"/>
      <c r="H29" s="3"/>
      <c r="I29" s="3"/>
      <c r="J29" s="3"/>
    </row>
    <row r="30" spans="1:10" ht="18" x14ac:dyDescent="0.2">
      <c r="A30" s="1" t="s">
        <v>92</v>
      </c>
      <c r="B30" s="3">
        <v>5000</v>
      </c>
      <c r="C30" s="3">
        <v>5000</v>
      </c>
      <c r="D30" s="3">
        <v>3000</v>
      </c>
      <c r="E30" s="3">
        <v>4450000</v>
      </c>
      <c r="F30" s="3"/>
      <c r="G30" s="3"/>
      <c r="H30" s="3"/>
      <c r="I30" s="3"/>
      <c r="J30" s="3"/>
    </row>
    <row r="31" spans="1:10" ht="18" x14ac:dyDescent="0.2">
      <c r="A31" s="1" t="s">
        <v>93</v>
      </c>
      <c r="B31" s="3">
        <v>5230000</v>
      </c>
      <c r="C31" s="3">
        <v>8032000</v>
      </c>
      <c r="D31" s="3">
        <v>7547000</v>
      </c>
      <c r="E31" s="3">
        <v>15448000</v>
      </c>
      <c r="F31" s="3"/>
      <c r="G31" s="3"/>
      <c r="H31" s="3"/>
      <c r="I31" s="3"/>
      <c r="J31" s="3"/>
    </row>
    <row r="32" spans="1:10" ht="18" x14ac:dyDescent="0.2">
      <c r="A32" s="1" t="s">
        <v>94</v>
      </c>
      <c r="B32" s="3">
        <v>-4463000</v>
      </c>
      <c r="C32" s="3">
        <v>-2264000</v>
      </c>
      <c r="D32" s="3">
        <v>-4198000</v>
      </c>
      <c r="E32" s="3">
        <v>-4819000</v>
      </c>
      <c r="F32" s="3"/>
      <c r="G32" s="3"/>
      <c r="H32" s="3"/>
      <c r="I32" s="3"/>
      <c r="J32" s="3"/>
    </row>
    <row r="33" spans="1:10" ht="18" x14ac:dyDescent="0.2">
      <c r="A33" s="1" t="s">
        <v>95</v>
      </c>
      <c r="B33" s="1" t="s">
        <v>53</v>
      </c>
      <c r="C33" s="3">
        <v>-415000</v>
      </c>
      <c r="D33" s="3">
        <v>-1154000</v>
      </c>
      <c r="E33" s="3">
        <v>-125000</v>
      </c>
      <c r="F33" s="3"/>
      <c r="G33" s="3"/>
      <c r="H33" s="3"/>
      <c r="I33" s="3"/>
      <c r="J33" s="3"/>
    </row>
    <row r="34" spans="1:10" ht="18" x14ac:dyDescent="0.2">
      <c r="A34" s="1" t="s">
        <v>96</v>
      </c>
      <c r="B34" s="3">
        <v>4161000</v>
      </c>
      <c r="C34" s="3">
        <v>1163000</v>
      </c>
      <c r="D34" s="3">
        <v>6409000</v>
      </c>
      <c r="E34" s="3">
        <v>9325000</v>
      </c>
      <c r="F34" s="3"/>
      <c r="G34" s="3"/>
      <c r="H34" s="3"/>
      <c r="I34" s="3"/>
      <c r="J34" s="3"/>
    </row>
    <row r="37" spans="1:10" x14ac:dyDescent="0.2">
      <c r="A37" s="5" t="s">
        <v>102</v>
      </c>
      <c r="B37" s="9" t="s">
        <v>21</v>
      </c>
      <c r="C37" s="9" t="s">
        <v>22</v>
      </c>
      <c r="D37" s="9" t="s">
        <v>23</v>
      </c>
      <c r="E37" s="9" t="s">
        <v>24</v>
      </c>
      <c r="F37" s="9" t="s">
        <v>97</v>
      </c>
      <c r="G37" s="9" t="s">
        <v>98</v>
      </c>
      <c r="H37" s="9" t="s">
        <v>99</v>
      </c>
      <c r="I37" s="9" t="s">
        <v>100</v>
      </c>
      <c r="J37" s="10" t="s">
        <v>101</v>
      </c>
    </row>
    <row r="38" spans="1:10" x14ac:dyDescent="0.2">
      <c r="A38" t="s">
        <v>115</v>
      </c>
      <c r="B38" s="16">
        <f>B5/IS!B6</f>
        <v>0.45798889574336832</v>
      </c>
      <c r="C38" s="16">
        <f>C5/IS!C6</f>
        <v>0.48422375864236328</v>
      </c>
      <c r="D38" s="16">
        <f>D5/IS!D6</f>
        <v>0.51252522854089988</v>
      </c>
      <c r="E38" s="16">
        <f>E5/IS!E6</f>
        <v>0.50114068441064641</v>
      </c>
      <c r="F38" s="16">
        <f>AVERAGE(B38:E38)</f>
        <v>0.48896964183431946</v>
      </c>
      <c r="G38" s="16">
        <f>$F$38</f>
        <v>0.48896964183431946</v>
      </c>
      <c r="H38" s="16">
        <f t="shared" ref="H38:J38" si="0">$F$38</f>
        <v>0.48896964183431946</v>
      </c>
      <c r="I38" s="16">
        <f t="shared" si="0"/>
        <v>0.48896964183431946</v>
      </c>
      <c r="J38" s="16">
        <f t="shared" si="0"/>
        <v>0.48896964183431946</v>
      </c>
    </row>
    <row r="39" spans="1:10" x14ac:dyDescent="0.2">
      <c r="B39" s="16"/>
      <c r="C39" s="16"/>
      <c r="D39" s="16"/>
      <c r="E39" s="16"/>
      <c r="F39" s="16"/>
      <c r="G39" s="16"/>
      <c r="H39" s="16"/>
      <c r="I39" s="16"/>
      <c r="J39" s="16"/>
    </row>
    <row r="40" spans="1:10" x14ac:dyDescent="0.2">
      <c r="A40" t="s">
        <v>116</v>
      </c>
      <c r="B40" s="16">
        <f>B12/IS!B6</f>
        <v>-0.66687230104873529</v>
      </c>
      <c r="C40" s="16">
        <f>C12/IS!C6</f>
        <v>-0.98277812696417344</v>
      </c>
      <c r="D40" s="16">
        <f>D12/IS!D6</f>
        <v>-0.5517036685266532</v>
      </c>
      <c r="E40" s="16">
        <f>E12/IS!E6</f>
        <v>-0.50559478544269421</v>
      </c>
      <c r="F40" s="16">
        <f>AVERAGE(B40:E40)</f>
        <v>-0.67673722049556406</v>
      </c>
      <c r="G40" s="16">
        <f>$F$40</f>
        <v>-0.67673722049556406</v>
      </c>
      <c r="H40" s="16">
        <f t="shared" ref="H40:J40" si="1">$F$40</f>
        <v>-0.67673722049556406</v>
      </c>
      <c r="I40" s="16">
        <f t="shared" si="1"/>
        <v>-0.67673722049556406</v>
      </c>
      <c r="J40" s="16">
        <f t="shared" si="1"/>
        <v>-0.67673722049556406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EC9E-1D4A-8649-9402-85EFF7A22B94}">
  <dimension ref="A2:P31"/>
  <sheetViews>
    <sheetView tabSelected="1" workbookViewId="0">
      <selection activeCell="A8" sqref="A8"/>
    </sheetView>
  </sheetViews>
  <sheetFormatPr baseColWidth="10" defaultRowHeight="16" x14ac:dyDescent="0.2"/>
  <cols>
    <col min="1" max="1" width="25.6640625" bestFit="1" customWidth="1"/>
    <col min="2" max="2" width="17.83203125" bestFit="1" customWidth="1"/>
    <col min="10" max="11" width="11.1640625" bestFit="1" customWidth="1"/>
  </cols>
  <sheetData>
    <row r="2" spans="1:11" ht="18" x14ac:dyDescent="0.2">
      <c r="B2" s="14" t="s">
        <v>21</v>
      </c>
      <c r="C2" s="14" t="s">
        <v>22</v>
      </c>
      <c r="D2" s="14" t="s">
        <v>23</v>
      </c>
      <c r="E2" s="14" t="s">
        <v>24</v>
      </c>
      <c r="F2" s="14" t="s">
        <v>143</v>
      </c>
      <c r="G2" s="14" t="s">
        <v>144</v>
      </c>
      <c r="H2" s="14" t="s">
        <v>145</v>
      </c>
      <c r="I2" s="14" t="s">
        <v>146</v>
      </c>
      <c r="J2" s="15" t="s">
        <v>147</v>
      </c>
    </row>
    <row r="3" spans="1:11" x14ac:dyDescent="0.2">
      <c r="A3" t="s">
        <v>106</v>
      </c>
      <c r="B3" s="2">
        <f>IS!B2</f>
        <v>39087000</v>
      </c>
      <c r="C3" s="2">
        <f>IS!C2</f>
        <v>47071000</v>
      </c>
      <c r="D3" s="2">
        <f>IS!D2</f>
        <v>53309000</v>
      </c>
      <c r="E3" s="2">
        <f>IS!E2</f>
        <v>43649000</v>
      </c>
      <c r="F3" s="2">
        <f>E3*(1+F4)</f>
        <v>45912605.426253371</v>
      </c>
      <c r="G3" s="2">
        <f t="shared" ref="G3:J3" si="0">F3*(1+G4)</f>
        <v>48293599.785260379</v>
      </c>
      <c r="H3" s="2">
        <f t="shared" si="0"/>
        <v>50798070.781783186</v>
      </c>
      <c r="I3" s="2">
        <f t="shared" si="0"/>
        <v>53432421.824529804</v>
      </c>
      <c r="J3" s="2">
        <f t="shared" si="0"/>
        <v>56203388.398331374</v>
      </c>
    </row>
    <row r="4" spans="1:11" x14ac:dyDescent="0.2">
      <c r="A4" s="28" t="s">
        <v>103</v>
      </c>
      <c r="B4" s="2"/>
      <c r="C4" s="27">
        <f>C3/B3-1</f>
        <v>0.20426228669378577</v>
      </c>
      <c r="D4" s="27">
        <f t="shared" ref="D4:E4" si="1">D3/C3-1</f>
        <v>0.13252320961951103</v>
      </c>
      <c r="E4" s="27">
        <f t="shared" si="1"/>
        <v>-0.18120767600217602</v>
      </c>
      <c r="F4" s="27">
        <f>AVERAGE(C4:E4)</f>
        <v>5.1859273437040256E-2</v>
      </c>
      <c r="G4" s="27">
        <f>$F$4</f>
        <v>5.1859273437040256E-2</v>
      </c>
      <c r="H4" s="27">
        <f t="shared" ref="H4:J4" si="2">$F$4</f>
        <v>5.1859273437040256E-2</v>
      </c>
      <c r="I4" s="27">
        <f t="shared" si="2"/>
        <v>5.1859273437040256E-2</v>
      </c>
      <c r="J4" s="27">
        <f t="shared" si="2"/>
        <v>5.1859273437040256E-2</v>
      </c>
    </row>
    <row r="5" spans="1:11" x14ac:dyDescent="0.2">
      <c r="A5" t="s">
        <v>107</v>
      </c>
      <c r="B5" s="2">
        <f>IS!B3</f>
        <v>24381000</v>
      </c>
      <c r="C5" s="2">
        <f>IS!C3</f>
        <v>32554000</v>
      </c>
      <c r="D5" s="2">
        <f>IS!D3</f>
        <v>36906000</v>
      </c>
      <c r="E5" s="2">
        <f>IS!E3</f>
        <v>25979000</v>
      </c>
      <c r="F5" s="2">
        <f>F3*IS!F29</f>
        <v>29875780.217074573</v>
      </c>
      <c r="G5" s="2">
        <f>G3*IS!G29</f>
        <v>31425116.472496759</v>
      </c>
      <c r="H5" s="2">
        <f>H3*IS!H29</f>
        <v>33054800.180434808</v>
      </c>
      <c r="I5" s="2">
        <f>I3*IS!I29</f>
        <v>34768998.101398699</v>
      </c>
      <c r="J5" s="2">
        <f>J3*IS!J29</f>
        <v>36572093.081071071</v>
      </c>
    </row>
    <row r="6" spans="1:11" x14ac:dyDescent="0.2">
      <c r="A6" t="s">
        <v>3</v>
      </c>
      <c r="B6" s="2">
        <f>B3-B5</f>
        <v>14706000</v>
      </c>
      <c r="C6" s="2">
        <f t="shared" ref="C6:J6" si="3">C3-C5</f>
        <v>14517000</v>
      </c>
      <c r="D6" s="2">
        <f t="shared" si="3"/>
        <v>16403000</v>
      </c>
      <c r="E6" s="2">
        <f t="shared" si="3"/>
        <v>17670000</v>
      </c>
      <c r="F6" s="2">
        <f t="shared" si="3"/>
        <v>16036825.209178798</v>
      </c>
      <c r="G6" s="2">
        <f t="shared" si="3"/>
        <v>16868483.31276362</v>
      </c>
      <c r="H6" s="2">
        <f t="shared" si="3"/>
        <v>17743270.601348378</v>
      </c>
      <c r="I6" s="2">
        <f t="shared" si="3"/>
        <v>18663423.723131105</v>
      </c>
      <c r="J6" s="2">
        <f t="shared" si="3"/>
        <v>19631295.317260303</v>
      </c>
    </row>
    <row r="7" spans="1:11" x14ac:dyDescent="0.2">
      <c r="A7" t="s">
        <v>108</v>
      </c>
      <c r="B7" s="2">
        <f>IS!B5</f>
        <v>6601000</v>
      </c>
      <c r="C7" s="2">
        <f>IS!C5</f>
        <v>6562000</v>
      </c>
      <c r="D7" s="2">
        <f>IS!D5</f>
        <v>7980000</v>
      </c>
      <c r="E7" s="2">
        <f>IS!E5</f>
        <v>8465000</v>
      </c>
      <c r="F7" s="2">
        <f>F3*IS!F30</f>
        <v>7482754.1141142398</v>
      </c>
      <c r="G7" s="2">
        <f>G3*IS!G30</f>
        <v>7870804.3057802282</v>
      </c>
      <c r="H7" s="2">
        <f>H3*IS!H30</f>
        <v>8278978.4984431183</v>
      </c>
      <c r="I7" s="2">
        <f>I3*IS!I30</f>
        <v>8708320.308173256</v>
      </c>
      <c r="J7" s="2">
        <f>J3*IS!J30</f>
        <v>9159927.4722121451</v>
      </c>
    </row>
    <row r="8" spans="1:11" x14ac:dyDescent="0.2">
      <c r="A8" t="s">
        <v>109</v>
      </c>
      <c r="B8" s="2">
        <f>B6-B7</f>
        <v>8105000</v>
      </c>
      <c r="C8" s="2">
        <f t="shared" ref="C8:J8" si="4">C6-C7</f>
        <v>7955000</v>
      </c>
      <c r="D8" s="2">
        <f t="shared" si="4"/>
        <v>8423000</v>
      </c>
      <c r="E8" s="2">
        <f t="shared" si="4"/>
        <v>9205000</v>
      </c>
      <c r="F8" s="2">
        <f t="shared" si="4"/>
        <v>8554071.0950645581</v>
      </c>
      <c r="G8" s="2">
        <f t="shared" si="4"/>
        <v>8997679.0069833919</v>
      </c>
      <c r="H8" s="2">
        <f t="shared" si="4"/>
        <v>9464292.1029052585</v>
      </c>
      <c r="I8" s="2">
        <f t="shared" si="4"/>
        <v>9955103.4149578493</v>
      </c>
      <c r="J8" s="2">
        <f t="shared" si="4"/>
        <v>10471367.845048157</v>
      </c>
    </row>
    <row r="9" spans="1:11" x14ac:dyDescent="0.2">
      <c r="A9" t="s">
        <v>110</v>
      </c>
      <c r="B9" s="16">
        <f>IS!B32</f>
        <v>0.18472553699284008</v>
      </c>
      <c r="C9" s="16">
        <f>IS!C32</f>
        <v>0.18307672402639411</v>
      </c>
      <c r="D9" s="16">
        <f>IS!D32</f>
        <v>0.35314839277851168</v>
      </c>
      <c r="E9" s="16">
        <f>IS!E32</f>
        <v>0.2311207005965224</v>
      </c>
      <c r="F9" s="16">
        <f>IS!F32</f>
        <v>0.23801783859856707</v>
      </c>
      <c r="G9" s="16">
        <f>IS!G32</f>
        <v>0.23801783859856707</v>
      </c>
      <c r="H9" s="16">
        <f>IS!H32</f>
        <v>0.23801783859856707</v>
      </c>
      <c r="I9" s="16">
        <f>IS!I32</f>
        <v>0.23801783859856707</v>
      </c>
      <c r="J9" s="16">
        <f>IS!J32</f>
        <v>0.23801783859856707</v>
      </c>
    </row>
    <row r="11" spans="1:11" x14ac:dyDescent="0.2">
      <c r="A11" t="s">
        <v>111</v>
      </c>
      <c r="B11" s="2">
        <f>CF!B5</f>
        <v>3712000</v>
      </c>
      <c r="C11" s="2">
        <f>CF!C5</f>
        <v>3852000</v>
      </c>
      <c r="D11" s="2">
        <f>CF!D5</f>
        <v>4317000</v>
      </c>
      <c r="E11" s="2">
        <f>CF!E5</f>
        <v>4613000</v>
      </c>
      <c r="F11" s="2">
        <f>F8*CF!F38</f>
        <v>4182681.0795790218</v>
      </c>
      <c r="G11" s="2">
        <f>G8*CF!G38</f>
        <v>4399591.881384844</v>
      </c>
      <c r="H11" s="2">
        <f>H8*CF!H38</f>
        <v>4627751.5197729627</v>
      </c>
      <c r="I11" s="2">
        <f>I8*CF!I38</f>
        <v>4867743.3512355499</v>
      </c>
      <c r="J11" s="2">
        <f>J8*CF!J38</f>
        <v>5120180.9847086072</v>
      </c>
    </row>
    <row r="12" spans="1:11" x14ac:dyDescent="0.2">
      <c r="A12" t="s">
        <v>112</v>
      </c>
      <c r="B12" s="2">
        <f>CF!B12</f>
        <v>-5405000</v>
      </c>
      <c r="C12" s="2">
        <f>CF!C12</f>
        <v>-7818000</v>
      </c>
      <c r="D12" s="2">
        <f>CF!D12</f>
        <v>-4647000</v>
      </c>
      <c r="E12" s="2">
        <f>CF!E12</f>
        <v>-4654000</v>
      </c>
      <c r="F12" s="2">
        <f>F8*CF!F40</f>
        <v>-5788858.2967954352</v>
      </c>
      <c r="G12" s="2">
        <f>G8*CF!G40</f>
        <v>-6089064.2820972279</v>
      </c>
      <c r="H12" s="2">
        <f>H8*CF!H40</f>
        <v>-6404838.7316782214</v>
      </c>
      <c r="I12" s="2">
        <f>I8*CF!I40</f>
        <v>-6736989.014784473</v>
      </c>
      <c r="J12" s="2">
        <f>J8*CF!J40</f>
        <v>-7086364.3702445142</v>
      </c>
    </row>
    <row r="13" spans="1:11" x14ac:dyDescent="0.2">
      <c r="A13" t="s">
        <v>113</v>
      </c>
      <c r="B13" s="2">
        <f>CF!B9</f>
        <v>93000</v>
      </c>
      <c r="C13" s="2">
        <f>CF!C9</f>
        <v>-1466000</v>
      </c>
      <c r="D13" s="2">
        <f>CF!D9</f>
        <v>-12000</v>
      </c>
      <c r="E13" s="2">
        <f>CF!E9</f>
        <v>2311000</v>
      </c>
      <c r="F13" s="2">
        <f>AVERAGE(B13:E13)</f>
        <v>231500</v>
      </c>
      <c r="G13" s="2">
        <f>$F$13</f>
        <v>231500</v>
      </c>
      <c r="H13" s="2">
        <f t="shared" ref="H13:J13" si="5">$F$13</f>
        <v>231500</v>
      </c>
      <c r="I13" s="2">
        <f t="shared" si="5"/>
        <v>231500</v>
      </c>
      <c r="J13" s="2">
        <f t="shared" si="5"/>
        <v>231500</v>
      </c>
    </row>
    <row r="15" spans="1:11" x14ac:dyDescent="0.2">
      <c r="A15" t="s">
        <v>117</v>
      </c>
      <c r="F15" s="2">
        <f>F8*(1-F9)+F11+F12-F13</f>
        <v>4680372.3645824008</v>
      </c>
      <c r="G15" s="2">
        <f t="shared" ref="G15:J15" si="6">G8*(1-G9)+G11+G12-G13</f>
        <v>4935098.4966251198</v>
      </c>
      <c r="H15" s="2">
        <f t="shared" si="6"/>
        <v>5203034.5408010036</v>
      </c>
      <c r="I15" s="2">
        <f t="shared" si="6"/>
        <v>5484865.5535554448</v>
      </c>
      <c r="J15" s="2">
        <f t="shared" si="6"/>
        <v>5781312.1178633533</v>
      </c>
      <c r="K15" s="18">
        <v>199259994.04429144</v>
      </c>
    </row>
    <row r="17" spans="1:16" x14ac:dyDescent="0.2">
      <c r="A17" t="s">
        <v>134</v>
      </c>
      <c r="B17" s="19">
        <f>(WACC!B3*WACC!B4)+(WACC!B6*WACC!B8)*(1-WACC!B7)</f>
        <v>4.7178172688431982E-2</v>
      </c>
      <c r="J17" t="s">
        <v>118</v>
      </c>
      <c r="K17">
        <v>12.78</v>
      </c>
    </row>
    <row r="18" spans="1:16" x14ac:dyDescent="0.2">
      <c r="A18" t="s">
        <v>133</v>
      </c>
      <c r="B18" s="25">
        <f>NPV(B17,F15:K15)</f>
        <v>173764564.43364084</v>
      </c>
      <c r="J18" t="s">
        <v>119</v>
      </c>
      <c r="K18" s="2">
        <f>J8+J11</f>
        <v>15591548.829756765</v>
      </c>
    </row>
    <row r="19" spans="1:16" x14ac:dyDescent="0.2">
      <c r="A19" t="s">
        <v>135</v>
      </c>
      <c r="B19" s="2">
        <f>BS!E4</f>
        <v>5901000</v>
      </c>
      <c r="J19" t="s">
        <v>120</v>
      </c>
      <c r="K19" s="18">
        <f>K17*K18</f>
        <v>199259994.04429144</v>
      </c>
    </row>
    <row r="20" spans="1:16" x14ac:dyDescent="0.2">
      <c r="A20" t="s">
        <v>136</v>
      </c>
      <c r="B20" s="2">
        <f>BS!E38</f>
        <v>81199000</v>
      </c>
    </row>
    <row r="21" spans="1:16" x14ac:dyDescent="0.2">
      <c r="A21" t="s">
        <v>137</v>
      </c>
      <c r="B21" s="25">
        <f>B18+B19-B20</f>
        <v>98466564.433640838</v>
      </c>
    </row>
    <row r="22" spans="1:16" x14ac:dyDescent="0.2">
      <c r="A22" t="s">
        <v>138</v>
      </c>
      <c r="B22" s="2">
        <v>2180000</v>
      </c>
    </row>
    <row r="23" spans="1:16" x14ac:dyDescent="0.2">
      <c r="A23" t="s">
        <v>139</v>
      </c>
      <c r="B23">
        <f>B21/B22</f>
        <v>45.168148822771023</v>
      </c>
    </row>
    <row r="24" spans="1:16" x14ac:dyDescent="0.2">
      <c r="A24" t="s">
        <v>140</v>
      </c>
      <c r="B24">
        <v>60.09</v>
      </c>
      <c r="M24" s="22"/>
    </row>
    <row r="25" spans="1:16" x14ac:dyDescent="0.2">
      <c r="J25" s="29"/>
      <c r="K25" s="19"/>
      <c r="L25" s="19"/>
      <c r="M25" s="19"/>
      <c r="N25" s="19"/>
      <c r="O25" s="19"/>
      <c r="P25" s="19"/>
    </row>
    <row r="26" spans="1:16" x14ac:dyDescent="0.2">
      <c r="A26" t="s">
        <v>141</v>
      </c>
      <c r="B26" s="26">
        <f>B23-B24</f>
        <v>-14.92185117722898</v>
      </c>
      <c r="J26" s="16"/>
    </row>
    <row r="27" spans="1:16" x14ac:dyDescent="0.2">
      <c r="A27" t="s">
        <v>142</v>
      </c>
      <c r="B27" s="26" t="str">
        <f>IF(B26&gt;1.5,"YES","NO")</f>
        <v>NO</v>
      </c>
      <c r="J27" s="16"/>
    </row>
    <row r="28" spans="1:16" x14ac:dyDescent="0.2">
      <c r="H28" s="22"/>
      <c r="J28" s="16"/>
    </row>
    <row r="29" spans="1:16" x14ac:dyDescent="0.2">
      <c r="J29" s="16"/>
    </row>
    <row r="30" spans="1:16" x14ac:dyDescent="0.2">
      <c r="J30" s="16"/>
    </row>
    <row r="31" spans="1:16" x14ac:dyDescent="0.2">
      <c r="J31" s="16"/>
    </row>
  </sheetData>
  <conditionalFormatting sqref="K26:P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F571-900B-4C47-94FB-93C0FEF43D57}">
  <dimension ref="A3:B16"/>
  <sheetViews>
    <sheetView workbookViewId="0">
      <selection activeCell="D15" sqref="D15"/>
    </sheetView>
  </sheetViews>
  <sheetFormatPr baseColWidth="10" defaultRowHeight="16" x14ac:dyDescent="0.2"/>
  <cols>
    <col min="1" max="1" width="23.5" bestFit="1" customWidth="1"/>
    <col min="2" max="2" width="13.1640625" bestFit="1" customWidth="1"/>
  </cols>
  <sheetData>
    <row r="3" spans="1:2" x14ac:dyDescent="0.2">
      <c r="A3" t="s">
        <v>121</v>
      </c>
      <c r="B3" s="19">
        <f>B16</f>
        <v>7.039200000000001E-2</v>
      </c>
    </row>
    <row r="4" spans="1:2" x14ac:dyDescent="0.2">
      <c r="A4" t="s">
        <v>122</v>
      </c>
      <c r="B4" s="21">
        <f>BS!E23/BS!E2</f>
        <v>0.34081090523910668</v>
      </c>
    </row>
    <row r="6" spans="1:2" x14ac:dyDescent="0.2">
      <c r="A6" t="s">
        <v>123</v>
      </c>
      <c r="B6" s="16">
        <f>-IS!E7/BS!E38</f>
        <v>4.6946390965405975E-2</v>
      </c>
    </row>
    <row r="7" spans="1:2" x14ac:dyDescent="0.2">
      <c r="A7" t="s">
        <v>125</v>
      </c>
      <c r="B7" s="16">
        <f>IS!E32</f>
        <v>0.2311207005965224</v>
      </c>
    </row>
    <row r="8" spans="1:2" x14ac:dyDescent="0.2">
      <c r="A8" t="s">
        <v>124</v>
      </c>
      <c r="B8" s="21">
        <f>BS!E16/BS!E2</f>
        <v>0.64239090046972835</v>
      </c>
    </row>
    <row r="9" spans="1:2" x14ac:dyDescent="0.2">
      <c r="B9" s="21"/>
    </row>
    <row r="10" spans="1:2" x14ac:dyDescent="0.2">
      <c r="A10" s="23" t="s">
        <v>132</v>
      </c>
      <c r="B10" s="24">
        <f>(B3*B4)+(B8*B6)*(1-B7)</f>
        <v>4.7178172688431982E-2</v>
      </c>
    </row>
    <row r="12" spans="1:2" x14ac:dyDescent="0.2">
      <c r="A12" t="s">
        <v>126</v>
      </c>
    </row>
    <row r="13" spans="1:2" x14ac:dyDescent="0.2">
      <c r="A13" t="s">
        <v>127</v>
      </c>
      <c r="B13" s="16">
        <v>3.2899999999999999E-2</v>
      </c>
    </row>
    <row r="14" spans="1:2" x14ac:dyDescent="0.2">
      <c r="A14" t="s">
        <v>128</v>
      </c>
      <c r="B14" s="19">
        <v>4.1200000000000001E-2</v>
      </c>
    </row>
    <row r="15" spans="1:2" x14ac:dyDescent="0.2">
      <c r="A15" t="s">
        <v>129</v>
      </c>
      <c r="B15">
        <v>0.91</v>
      </c>
    </row>
    <row r="16" spans="1:2" x14ac:dyDescent="0.2">
      <c r="A16" t="s">
        <v>130</v>
      </c>
      <c r="B16" s="19">
        <f>B13+(B15*B14)</f>
        <v>7.039200000000001E-2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IS</vt:lpstr>
      <vt:lpstr>BS</vt:lpstr>
      <vt:lpstr>CF</vt:lpstr>
      <vt:lpstr>DCF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Shriyans Ganpate</dc:creator>
  <cp:lastModifiedBy>Shriyans Ganpate</cp:lastModifiedBy>
  <dcterms:created xsi:type="dcterms:W3CDTF">2024-12-25T15:14:03Z</dcterms:created>
  <dcterms:modified xsi:type="dcterms:W3CDTF">2024-12-27T06:40:30Z</dcterms:modified>
</cp:coreProperties>
</file>