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БЕНЗОГЕНЕРАТОРЫ" sheetId="1" r:id="rId3"/>
    <sheet state="visible" name="ДИЗЕЛЬГЕНЕРАТОРЫ" sheetId="2" r:id="rId4"/>
    <sheet state="hidden" name="БЕНЗОГЕНЕРАТОРЫ-старый" sheetId="3" r:id="rId5"/>
    <sheet state="visible" name="СТРОИТЕЛЬНОЕ ОБОРУДОВАНИЕ" sheetId="4" r:id="rId6"/>
    <sheet state="visible" name="Устройства АВР" sheetId="5" r:id="rId7"/>
    <sheet state="visible" name="ОБЩИЙ ПРАЙС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FOGO Sp. z o.o. ul. Swieciechowska 36, Wilkowice, 64-115 Swieciechowa, Poland</t>
      </text>
    </comment>
    <comment authorId="0" ref="F1">
      <text>
        <t xml:space="preserve">Частное предприятие «ИнстгруппМ», 
223051, а.г. Колодищи, ул. Минская 56 
+375 (17) 388-42-90 Город, 
+375 (29) 666-55-93 Velcom,
+375 (33) 333-55-96 МТС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FOGO Sp. z o.o. ul. Swieciechowska 36, Wilkowice, 64-115 Swieciechowa, Poland</t>
      </text>
    </comment>
    <comment authorId="0" ref="G2">
      <text>
        <t xml:space="preserve">Частное предприятие «ИнстгруппМ», 
223051, а.г. Колодищи, ул. Минская 56 
+375 (17) 388-42-90 Город, 
+375 (29) 666-55-93 Velcom,
+375 (33) 333-55-96 МТС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В таблице указаны РОЗНИЧНЫЕ ЦЕНЫ  (РРЦ)  с НДС в белорусских рублях. 
"Дилерская цена"= "РРЦ" - "15%"</t>
      </text>
    </comment>
    <comment authorId="0" ref="E3">
      <text>
        <t xml:space="preserve">Это стандартная комплектация, то есть обычный бак, с ручным запуском.</t>
      </text>
    </comment>
    <comment authorId="0" ref="F3">
      <text>
        <t xml:space="preserve">Цена для моделей с электрозапуском. Такие генераторы можно заводить как с помощью ключа зажигания, так и ручным стартом</t>
      </text>
    </comment>
    <comment authorId="0" ref="G3">
      <text>
        <t xml:space="preserve">Цены на агрегаты, оборудованные
- стабилизатором ±2% (±1%) напряжения;
- большим топл. баком 26л;
- электростартом.</t>
      </text>
    </comment>
    <comment authorId="0" ref="H3">
      <text>
        <t xml:space="preserve">Стоимость агрегатов, оборудованных стабилизатором ±2% (±1%) напряжения.
Такие генераторы идеально использовать с чувствительным к перепадам напряжения приборами.</t>
      </text>
    </comment>
    <comment authorId="0" ref="I3">
      <text>
        <t xml:space="preserve">Стоимость агрегатов, оборудованных стабилизатором ±2% (±1%) напряжения и электростартом.</t>
      </text>
    </comment>
    <comment authorId="0" ref="B4">
      <text>
        <t xml:space="preserve">Это модели бензогенераторов. Цифра "1" на конце указывает на то, что это однофазный генератор. 
Цифра "0" - трехфазный.
Буква "Н" в названии - двигатель "Honda"
Буква "V" - Briggs&amp;Stratton (США)</t>
      </text>
    </comment>
    <comment authorId="0" ref="C4">
      <text>
        <t xml:space="preserve">В данном столбце указаны двигатели, устанавливаемые на каждую из моделей бензогенераторов FOGO
B&amp;S - это американские двигатели Briggs&amp;Stratton серии Vanguard.</t>
      </text>
    </comment>
    <comment authorId="0" ref="D4">
      <text>
        <t xml:space="preserve">Это номинальная мощность. НЕ максимальная,  а именно номинальная, то, что можно озвучивать клиенту. 
Обратите внимание, что это мощность в кВт, а не в кВА (кВА - это несколько иная характеристика)</t>
      </text>
    </comment>
    <comment authorId="0" ref="C12">
      <text>
        <t xml:space="preserve">Американские двигатели
Briggs&amp;Stratton</t>
      </text>
    </comment>
    <comment authorId="0" ref="C13">
      <text>
        <t xml:space="preserve">Американские двигатели
Briggs&amp;Stratton</t>
      </text>
    </comment>
    <comment authorId="0" ref="C14">
      <text>
        <t xml:space="preserve">Американские двигатели
Briggs&amp;Stratton</t>
      </text>
    </comment>
    <comment authorId="0" ref="B16">
      <text>
        <t xml:space="preserve">Модели с цифрой "0" на конце - трехфазные. </t>
      </text>
    </comment>
    <comment authorId="0" ref="D16">
      <text>
        <t xml:space="preserve">В данном случае:
4 - это 4 кВт на трехфазной розетке (380 В);
3,3 - это 3,3 кВт на однофазной розетке (220 В)</t>
      </text>
    </comment>
    <comment authorId="0" ref="C20">
      <text>
        <t xml:space="preserve">Американские двигатели
Briggs&amp;Stratton</t>
      </text>
    </comment>
    <comment authorId="0" ref="C21">
      <text>
        <t xml:space="preserve">Американские двигатели
Briggs&amp;Stratton</t>
      </text>
    </comment>
    <comment authorId="0" ref="C22">
      <text>
        <t xml:space="preserve">Американские двигатели
Briggs&amp;Stratton</t>
      </text>
    </comment>
    <comment authorId="0" ref="C23">
      <text>
        <t xml:space="preserve">Американские двигатели
Briggs&amp;Stratton</t>
      </text>
    </comment>
    <comment authorId="0" ref="B25">
      <text>
        <t xml:space="preserve">Модели сварочных бензогенераторов. Данные агрегаты могут использоваться как для запитывания электрооборудования, так и для выполнения сварочных работ (благодаря встроенному модулю сварки).</t>
      </text>
    </comment>
    <comment authorId="0" ref="C26">
      <text>
        <t xml:space="preserve">Американские двигатели
Briggs&amp;Stratton</t>
      </text>
    </comment>
    <comment authorId="0" ref="B28">
      <text>
        <t xml:space="preserve">Модели агрегатов с классом защиты IP 54.
Это увеличивает срок эксплуатации генератора, так как подшипник и катушка оптимально скрыты от вредного влияния внешних факторов. IP 54 увеличивает возможности использования агрегата в условиях высокой влажности и пыли.</t>
      </text>
    </comment>
    <comment authorId="0" ref="B29">
      <text>
        <t xml:space="preserve">Модели агрегатов с классом защиты IP 54.
Это увеличивает срок эксплуатации генератора, так как подшипник и катушка оптимально скрыты от вредного влияния внешних факторов. IP 54 увеличивает возможности использования агрегата в условиях высокой влажности и пыли.</t>
      </text>
    </comment>
    <comment authorId="0" ref="B34">
      <text>
        <t xml:space="preserve">Модели агрегатов с классом защиты IP 54.
Это увеличивает срок эксплуатации генератора, так как подшипник и катушка оптимально скрыты от вредного влияния внешних факторов. IP 54 увеличивает возможности использования агрегата в условиях высокой влажности и пыли.</t>
      </text>
    </comment>
    <comment authorId="0" ref="C36">
      <text>
        <t xml:space="preserve">Американские двигатели
Briggs&amp;Stratton</t>
      </text>
    </comment>
    <comment authorId="0" ref="C37">
      <text>
        <t xml:space="preserve">Американские двигатели
Briggs&amp;Stratton</t>
      </text>
    </comment>
    <comment authorId="0" ref="C38">
      <text>
        <t xml:space="preserve">Американские двигатели
Briggs&amp;Stratton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Частное предприятие «ИнстгруппМ», 
223051, а.г. Колодищи, ул. Минская 56 
+375 (17) 388-42-90 Город, 
+375 (29) 666-55-93 Velcom,
+375 (33) 333-55-96 МТС</t>
      </text>
    </comment>
  </commentList>
</comments>
</file>

<file path=xl/sharedStrings.xml><?xml version="1.0" encoding="utf-8"?>
<sst xmlns="http://schemas.openxmlformats.org/spreadsheetml/2006/main" count="61" uniqueCount="55">
  <si>
    <t>Инстгруппм - поставщик бензиновых и дизельных электростанций ФОГО (европейское качество)</t>
  </si>
  <si>
    <r>
      <t xml:space="preserve">017 </t>
    </r>
    <r>
      <rPr>
        <color rgb="FF980000"/>
        <sz val="12.0"/>
      </rPr>
      <t>388-42-90</t>
    </r>
    <r>
      <t xml:space="preserve">;     029 </t>
    </r>
    <r>
      <rPr>
        <color rgb="FF980000"/>
        <sz val="12.0"/>
      </rPr>
      <t>666-55-93</t>
    </r>
    <r>
      <t xml:space="preserve">;     033 </t>
    </r>
    <r>
      <rPr>
        <color rgb="FF980000"/>
        <sz val="12.0"/>
      </rPr>
      <t>333-55-96</t>
    </r>
    <r>
      <t xml:space="preserve">  </t>
    </r>
  </si>
  <si>
    <r>
      <t xml:space="preserve">   e-mail: </t>
    </r>
    <r>
      <rPr>
        <color rgb="FF1C4587"/>
      </rPr>
      <t xml:space="preserve"> info@fogo.by</t>
    </r>
    <r>
      <t xml:space="preserve">      </t>
    </r>
    <r>
      <rPr>
        <color rgb="FF0000FF"/>
      </rPr>
      <t xml:space="preserve"> skype:     isell.by</t>
    </r>
  </si>
  <si>
    <t>Гарантия 2 года</t>
  </si>
  <si>
    <t>Дилерская скидка = 15%</t>
  </si>
  <si>
    <t>РОЗНИЧНАЯ  цена в бел.руб. с НДС</t>
  </si>
  <si>
    <t>Однофазный генератор 230V IP23</t>
  </si>
  <si>
    <t>Мощность
(номинальная)
 3ф / 1ф</t>
  </si>
  <si>
    <t>Стандарт</t>
  </si>
  <si>
    <r>
      <rPr>
        <sz val="12.0"/>
      </rPr>
      <t>E</t>
    </r>
    <r>
      <t xml:space="preserve">
</t>
    </r>
    <r>
      <rPr>
        <sz val="8.0"/>
      </rPr>
      <t>(электрост.)</t>
    </r>
  </si>
  <si>
    <r>
      <rPr>
        <sz val="12.0"/>
      </rPr>
      <t>RTE</t>
    </r>
    <r>
      <t xml:space="preserve"> 
</t>
    </r>
    <r>
      <rPr>
        <sz val="8.0"/>
      </rPr>
      <t>(стаб. + бак + эл.старт)</t>
    </r>
  </si>
  <si>
    <r>
      <rPr>
        <sz val="12.0"/>
      </rPr>
      <t xml:space="preserve">R
</t>
    </r>
    <r>
      <rPr>
        <sz val="8.0"/>
      </rPr>
      <t>(стабил. напр.)</t>
    </r>
  </si>
  <si>
    <t>Прибыль, BYN</t>
  </si>
  <si>
    <r>
      <rPr>
        <sz val="12.0"/>
      </rPr>
      <t>RE</t>
    </r>
    <r>
      <rPr>
        <sz val="12.0"/>
      </rPr>
      <t xml:space="preserve"> </t>
    </r>
    <r>
      <rPr>
        <sz val="8.0"/>
      </rPr>
      <t>(стабил.напр. + эл.старт)</t>
    </r>
  </si>
  <si>
    <t>Дилерская скидка - 10 %</t>
  </si>
  <si>
    <t>Расшифровка моделей ФОГО:</t>
  </si>
  <si>
    <t>Примечания:</t>
  </si>
  <si>
    <r>
      <rPr/>
      <t xml:space="preserve">Цены </t>
    </r>
    <r>
      <t>в евро</t>
    </r>
  </si>
  <si>
    <r>
      <rPr>
        <b/>
      </rPr>
      <t xml:space="preserve">FH </t>
    </r>
    <r>
      <t xml:space="preserve">- Fogo, Honda </t>
    </r>
  </si>
  <si>
    <r>
      <rPr>
        <b/>
      </rPr>
      <t xml:space="preserve">FV </t>
    </r>
    <r>
      <t>- Fogo, Vanguard (Briggs&amp;Stratton)</t>
    </r>
  </si>
  <si>
    <t xml:space="preserve">   Пример РРЦ:</t>
  </si>
  <si>
    <r>
      <rPr>
        <b/>
      </rPr>
      <t>Е</t>
    </r>
    <r>
      <t xml:space="preserve"> - электростарт</t>
    </r>
  </si>
  <si>
    <r>
      <rPr>
        <b/>
      </rPr>
      <t>T</t>
    </r>
    <r>
      <t xml:space="preserve"> - большой бак</t>
    </r>
  </si>
  <si>
    <t xml:space="preserve">  Fogo FH 6001 RTE - 4 804.00 BYN</t>
  </si>
  <si>
    <r>
      <rPr>
        <b/>
      </rPr>
      <t xml:space="preserve">R </t>
    </r>
    <r>
      <t>- доп.стабилизация выходного напряжения</t>
    </r>
  </si>
  <si>
    <t xml:space="preserve">  Fogo FH 8000 E - 3 381.00 BYN</t>
  </si>
  <si>
    <t xml:space="preserve">   Пример дилерской цены:</t>
  </si>
  <si>
    <t xml:space="preserve">  Fogo FH 6001 RTE - 4083,40 BYN</t>
  </si>
  <si>
    <t xml:space="preserve">  Fogo FH 8000 E - 2 873,85 BYN</t>
  </si>
  <si>
    <r>
      <rPr>
        <b/>
      </rPr>
      <t>A</t>
    </r>
    <r>
      <t xml:space="preserve"> - готов к подключению автомата ввода резерва</t>
    </r>
  </si>
  <si>
    <r>
      <rPr>
        <b/>
      </rPr>
      <t>Пример 1</t>
    </r>
    <r>
      <t>: Бензогенератор FOGO FH 6001 TE</t>
    </r>
  </si>
  <si>
    <t xml:space="preserve">Бензогенератор оборудован двигателем Honda, с баком на 26 литров, с электростартом </t>
  </si>
  <si>
    <r>
      <rPr>
        <b/>
      </rPr>
      <t>Пример 2</t>
    </r>
    <r>
      <t>: Бензогенератор FOGO FV 15000 RTE</t>
    </r>
  </si>
  <si>
    <t>Бензогенератор оборудован двигателем Бриггз&amp;Страттон серии Вангард, с доп. стабилизацией напряжения, с баком на 26 литров, с электростартом</t>
  </si>
  <si>
    <r>
      <rPr>
        <b/>
        <color rgb="FF980000"/>
      </rPr>
      <t>R</t>
    </r>
    <r>
      <t xml:space="preserve"> - генератор оборудован стабилизатором напряжения с точностью регулировки ±2 (±1) %</t>
    </r>
  </si>
  <si>
    <r>
      <rPr>
        <b/>
        <color rgb="FF980000"/>
      </rPr>
      <t>T</t>
    </r>
    <r>
      <rPr>
        <b/>
        <color rgb="FF980000"/>
      </rPr>
      <t xml:space="preserve"> </t>
    </r>
    <r>
      <t>- увеличенный бак емкостью 26 литров</t>
    </r>
  </si>
  <si>
    <r>
      <rPr>
        <b/>
        <color rgb="FF980000"/>
      </rPr>
      <t>E</t>
    </r>
    <r>
      <t xml:space="preserve"> - электростарт</t>
    </r>
  </si>
  <si>
    <r>
      <rPr>
        <b/>
        <color rgb="FF980000"/>
      </rPr>
      <t>RE</t>
    </r>
    <r>
      <t xml:space="preserve"> - генератор со стабилизатором напряжения и электростартом</t>
    </r>
  </si>
  <si>
    <r>
      <rPr>
        <b/>
        <color rgb="FF980000"/>
      </rPr>
      <t xml:space="preserve">RTE </t>
    </r>
    <r>
      <t>- генератор со стабилизатором напряжения, увеличенным баком и электростартом</t>
    </r>
  </si>
  <si>
    <r>
      <rPr>
        <b/>
        <color rgb="FF980000"/>
      </rPr>
      <t xml:space="preserve">IP 54 </t>
    </r>
    <r>
      <t xml:space="preserve">- все разъемы и органы управления генератора защищены от пыли и от капель воды,
            брызгающих с любых направлений </t>
    </r>
  </si>
  <si>
    <t>Прибыль</t>
  </si>
  <si>
    <t>ПРАЙС
 частного предприятия "ИНСТГРУППМ"</t>
  </si>
  <si>
    <t>8029 666-55-93</t>
  </si>
  <si>
    <t xml:space="preserve">info@fogo.by     </t>
  </si>
  <si>
    <t xml:space="preserve">skype: isell.by </t>
  </si>
  <si>
    <t>www.fogo.by</t>
  </si>
  <si>
    <t xml:space="preserve">                   </t>
  </si>
  <si>
    <t>8033 333-55-96</t>
  </si>
  <si>
    <t>info@isell.by</t>
  </si>
  <si>
    <t xml:space="preserve">www.isell.by </t>
  </si>
  <si>
    <t xml:space="preserve">                            </t>
  </si>
  <si>
    <t>БЕНЗОГЕНЕРАТОРЫ       FOGO</t>
  </si>
  <si>
    <t>Устройства АВР (автоматика ввода резерва)</t>
  </si>
  <si>
    <t>Дилерская цена с НДС, BYN</t>
  </si>
  <si>
    <t>СТРОИТЕЛЬНОЕ     ОБОРУДОВАНИЕ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</si>
</sst>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#"/>
    <numFmt numFmtId="165" formatCode="# ###"/>
    <numFmt numFmtId="166" formatCode="#,##0.0"/>
  </numFmts>
  <fonts count="156">
    <font>
      <sz val="10.0"/>
      <color rgb="FF000000"/>
      <name val="Arial"/>
    </font>
    <font>
      <b/>
      <sz val="10.0"/>
      <color rgb="FF000000"/>
    </font>
    <font>
      <b/>
      <name val="Arial"/>
    </font>
    <font>
      <b/>
      <sz val="11.0"/>
      <color rgb="FF000000"/>
      <name val="Inconsolata"/>
    </font>
    <font>
      <b/>
      <i/>
      <sz val="8.0"/>
      <color rgb="FF4C1130"/>
      <name val="Arial"/>
    </font>
    <font>
      <b/>
      <sz val="11.0"/>
      <color rgb="FF980000"/>
      <name val="Inconsolata"/>
    </font>
    <font>
      <b/>
      <sz val="9.0"/>
      <name val="Arial"/>
    </font>
    <font>
      <b/>
      <u/>
      <sz val="9.0"/>
      <color rgb="FF0000FF"/>
      <name val="Arial"/>
    </font>
    <font/>
    <font>
      <b/>
      <u/>
      <sz val="10.0"/>
      <color rgb="FF0000FF"/>
    </font>
    <font>
      <sz val="8.0"/>
      <color rgb="FF4C1130"/>
    </font>
    <font>
      <b/>
      <sz val="10.0"/>
      <color rgb="FF000000"/>
      <name val="Arial"/>
    </font>
    <font>
      <b/>
      <u/>
      <sz val="24.0"/>
      <color rgb="FF980000"/>
    </font>
    <font>
      <b/>
      <sz val="12.0"/>
      <color rgb="FF980000"/>
    </font>
    <font>
      <sz val="8.0"/>
      <color rgb="FF4C1130"/>
      <name val="Arial"/>
    </font>
    <font>
      <name val="Arial"/>
    </font>
    <font>
      <sz val="14.0"/>
      <color rgb="FF1155CC"/>
    </font>
    <font>
      <b/>
      <sz val="8.0"/>
      <color rgb="FF4C1130"/>
      <name val="Arial"/>
    </font>
    <font>
      <b/>
      <sz val="12.0"/>
      <name val="Arial"/>
    </font>
    <font>
      <i/>
      <sz val="8.0"/>
      <color rgb="FF4C1130"/>
    </font>
    <font>
      <b/>
      <sz val="24.0"/>
      <color rgb="FF980000"/>
    </font>
    <font>
      <b/>
      <sz val="10.0"/>
      <color rgb="FFFFFFFF"/>
    </font>
    <font>
      <b/>
      <sz val="11.0"/>
      <color rgb="FFFFFFFF"/>
      <name val="Arial"/>
    </font>
    <font>
      <b/>
      <u/>
      <sz val="10.0"/>
      <color rgb="FF000000"/>
    </font>
    <font>
      <b/>
      <sz val="10.0"/>
      <color rgb="FFFFFFFF"/>
      <name val="Arial"/>
    </font>
    <font>
      <b/>
      <sz val="9.0"/>
      <color rgb="FFFFFFFF"/>
      <name val="Arial"/>
    </font>
    <font>
      <sz val="8.0"/>
      <color rgb="FFFFFFFF"/>
      <name val="Arial"/>
    </font>
    <font>
      <b/>
      <i/>
      <sz val="8.0"/>
      <color rgb="FF0000FF"/>
    </font>
    <font>
      <b/>
      <sz val="10.0"/>
      <color rgb="FFFFFFFF"/>
      <name val="Inconsolata"/>
    </font>
    <font>
      <b/>
      <sz val="8.0"/>
      <color rgb="FFFFFFFF"/>
    </font>
    <font>
      <b/>
      <color rgb="FFFFFFFF"/>
      <name val="Arial"/>
    </font>
    <font>
      <b/>
    </font>
    <font>
      <b/>
      <sz val="11.0"/>
      <color rgb="FFFFFFFF"/>
    </font>
    <font>
      <b/>
      <i/>
      <sz val="8.0"/>
      <name val="Arial"/>
    </font>
    <font>
      <b/>
      <color rgb="FF666666"/>
      <name val="Arial"/>
    </font>
    <font>
      <color rgb="FF666666"/>
      <name val="Arial"/>
    </font>
    <font>
      <sz val="8.0"/>
      <color rgb="FFCCCCCC"/>
      <name val="Arial"/>
    </font>
    <font>
      <sz val="11.0"/>
      <name val="Arial"/>
    </font>
    <font>
      <b/>
      <color rgb="FF000000"/>
    </font>
    <font>
      <b/>
      <sz val="8.0"/>
      <name val="Times New Roman"/>
    </font>
    <font>
      <b/>
      <u/>
      <sz val="14.0"/>
      <color rgb="FF1155CC"/>
    </font>
    <font>
      <b/>
      <i/>
    </font>
    <font>
      <sz val="11.0"/>
      <color rgb="FF000000"/>
      <name val="Inconsolata"/>
    </font>
    <font>
      <b/>
      <sz val="11.0"/>
    </font>
    <font>
      <sz val="8.0"/>
      <color rgb="FFCCCCCC"/>
      <name val="Times New Roman"/>
    </font>
    <font>
      <sz val="7.0"/>
    </font>
    <font>
      <sz val="8.0"/>
      <color rgb="FF999999"/>
      <name val="Verdana"/>
    </font>
    <font>
      <sz val="9.0"/>
      <color rgb="FF999999"/>
      <name val="Verdana"/>
    </font>
    <font>
      <i/>
      <u/>
      <sz val="8.0"/>
      <color rgb="FF0000FF"/>
    </font>
    <font>
      <b/>
      <sz val="9.0"/>
      <color rgb="FF000000"/>
      <name val="Arial"/>
    </font>
    <font>
      <color rgb="FF666666"/>
    </font>
    <font>
      <sz val="8.0"/>
      <color rgb="FF999999"/>
      <name val="Arial"/>
    </font>
    <font>
      <i/>
    </font>
    <font>
      <sz val="8.0"/>
      <color rgb="FF999999"/>
      <name val="Times New Roman"/>
    </font>
    <font>
      <b/>
      <sz val="10.0"/>
    </font>
    <font>
      <i/>
      <sz val="8.0"/>
      <name val="Arial"/>
    </font>
    <font>
      <i/>
      <u/>
      <sz val="8.0"/>
      <color rgb="FF0000FF"/>
      <name val="Arial"/>
    </font>
    <font>
      <sz val="9.0"/>
      <color rgb="FF999999"/>
      <name val="Arial"/>
    </font>
    <font>
      <sz val="9.0"/>
      <color rgb="FF434343"/>
      <name val="Verdana"/>
    </font>
    <font>
      <i/>
      <sz val="8.0"/>
    </font>
    <font>
      <b/>
      <sz val="9.0"/>
      <color rgb="FF999999"/>
      <name val="Arial"/>
    </font>
    <font>
      <i/>
      <color rgb="FF666666"/>
      <name val="Arial"/>
    </font>
    <font>
      <sz val="11.0"/>
      <color rgb="FFFFFFFF"/>
      <name val="Arial"/>
    </font>
    <font>
      <i/>
      <u/>
      <sz val="8.0"/>
      <color rgb="FF0000FF"/>
      <name val="Arial"/>
    </font>
    <font>
      <color rgb="FF000000"/>
    </font>
    <font>
      <b/>
      <sz val="7.0"/>
      <name val="Roboto Mono"/>
    </font>
    <font>
      <sz val="7.0"/>
      <color rgb="FF666666"/>
      <name val="Roboto Mono"/>
    </font>
    <font>
      <color rgb="FF999999"/>
      <name val="Arial"/>
    </font>
    <font>
      <sz val="8.0"/>
      <name val="Arial"/>
    </font>
    <font>
      <i/>
      <u/>
      <sz val="8.0"/>
      <color rgb="FF0000FF"/>
      <name val="Arial"/>
    </font>
    <font>
      <b/>
      <strike/>
    </font>
    <font>
      <b/>
      <sz val="9.0"/>
      <color rgb="FFD9D9D9"/>
      <name val="Arial"/>
    </font>
    <font>
      <b/>
      <sz val="6.0"/>
    </font>
    <font>
      <b/>
      <sz val="9.0"/>
      <color rgb="FF666666"/>
      <name val="Arial"/>
    </font>
    <font>
      <b/>
      <sz val="14.0"/>
      <color rgb="FFFF0000"/>
      <name val="Arial"/>
    </font>
    <font>
      <sz val="14.0"/>
      <name val="Arial"/>
    </font>
    <font>
      <b/>
      <sz val="8.0"/>
    </font>
    <font>
      <b/>
      <u/>
      <sz val="9.0"/>
      <color rgb="FF0000FF"/>
      <name val="Arial"/>
    </font>
    <font>
      <b/>
      <u/>
      <sz val="9.0"/>
      <color rgb="FF0000FF"/>
      <name val="Arial"/>
    </font>
    <font>
      <i/>
      <sz val="8.0"/>
      <color rgb="FF660000"/>
      <name val="Arial"/>
    </font>
    <font>
      <b/>
      <sz val="9.0"/>
    </font>
    <font>
      <b/>
      <sz val="6.0"/>
      <color rgb="FFFFFFFF"/>
      <name val="Arial"/>
    </font>
    <font>
      <b/>
      <i/>
      <sz val="9.0"/>
    </font>
    <font>
      <sz val="9.0"/>
    </font>
    <font>
      <b/>
      <sz val="8.0"/>
      <color rgb="FFFFFFFF"/>
      <name val="Arial"/>
    </font>
    <font>
      <sz val="8.0"/>
      <color rgb="FF0000FF"/>
      <name val="Arial"/>
    </font>
    <font>
      <sz val="9.0"/>
      <color rgb="FFFFFFFF"/>
    </font>
    <font>
      <b/>
      <sz val="9.0"/>
      <color rgb="FFFFFFFF"/>
    </font>
    <font>
      <b/>
      <sz val="10.0"/>
      <color rgb="FFD9D9D9"/>
    </font>
    <font>
      <i/>
      <sz val="8.0"/>
      <color rgb="FFD9D9D9"/>
    </font>
    <font>
      <sz val="10.0"/>
    </font>
    <font>
      <i/>
      <u/>
      <sz val="8.0"/>
      <color rgb="FF0000FF"/>
    </font>
    <font>
      <sz val="8.0"/>
      <color rgb="FFFFFFFF"/>
    </font>
    <font>
      <i/>
      <sz val="9.0"/>
    </font>
    <font>
      <sz val="10.0"/>
      <color rgb="FF666666"/>
    </font>
    <font>
      <sz val="11.0"/>
      <color rgb="FF434343"/>
    </font>
    <font>
      <sz val="11.0"/>
      <color rgb="FF000000"/>
    </font>
    <font>
      <b/>
      <i/>
      <sz val="12.0"/>
    </font>
    <font>
      <sz val="11.0"/>
      <color rgb="FFFFFFFF"/>
    </font>
    <font>
      <sz val="10.0"/>
      <color rgb="FFFFFFFF"/>
    </font>
    <font>
      <b/>
      <sz val="14.0"/>
      <color rgb="FFFFFFFF"/>
    </font>
    <font>
      <i/>
      <sz val="11.0"/>
    </font>
    <font>
      <b/>
      <color rgb="FFFFFFFF"/>
    </font>
    <font>
      <color rgb="FFD9D9D9"/>
    </font>
    <font>
      <sz val="8.0"/>
      <color rgb="FFD9D9D9"/>
    </font>
    <font>
      <color rgb="FF434343"/>
    </font>
    <font>
      <sz val="10.0"/>
      <color rgb="FF434343"/>
    </font>
    <font>
      <i/>
      <u/>
      <sz val="7.0"/>
      <color rgb="FF0000FF"/>
    </font>
    <font>
      <sz val="9.0"/>
      <color rgb="FF999999"/>
    </font>
    <font>
      <i/>
      <u/>
      <sz val="7.0"/>
      <color rgb="FF0000FF"/>
    </font>
    <font>
      <i/>
      <sz val="8.0"/>
      <color rgb="FFFFFFFF"/>
    </font>
    <font>
      <b/>
      <sz val="10.0"/>
      <color rgb="FFFFFFFF"/>
      <name val="Comfortaa"/>
    </font>
    <font>
      <name val="Times New Roman"/>
    </font>
    <font>
      <b/>
      <sz val="10.0"/>
      <color rgb="FF980000"/>
      <name val="Times New Roman"/>
    </font>
    <font>
      <b/>
      <sz val="10.0"/>
      <color rgb="FF20124D"/>
      <name val="Arial"/>
    </font>
    <font>
      <b/>
      <i/>
      <sz val="9.0"/>
      <color rgb="FF000000"/>
    </font>
    <font>
      <b/>
      <u/>
      <sz val="10.0"/>
      <color rgb="FF0000FF"/>
      <name val="Arial"/>
    </font>
    <font>
      <i/>
      <sz val="7.0"/>
    </font>
    <font>
      <i/>
      <color rgb="FF000000"/>
    </font>
    <font>
      <color rgb="FF000000"/>
      <name val="Arial"/>
    </font>
    <font>
      <b/>
      <u/>
      <sz val="10.0"/>
      <color rgb="FF0000FF"/>
      <name val="Arial"/>
    </font>
    <font>
      <sz val="8.0"/>
      <color rgb="FFFFFFFF"/>
      <name val="Times New Roman"/>
    </font>
    <font>
      <b/>
      <sz val="14.0"/>
      <color rgb="FF000000"/>
      <name val="Times New Roman"/>
    </font>
    <font>
      <b/>
      <sz val="12.0"/>
      <color rgb="FF000000"/>
      <name val="Times New Roman"/>
    </font>
    <font>
      <b/>
      <u/>
      <sz val="12.0"/>
      <color rgb="FF0000FF"/>
      <name val="Times New Roman"/>
    </font>
    <font>
      <b/>
      <sz val="12.0"/>
      <color rgb="FF0000FF"/>
      <name val="Times New Roman"/>
    </font>
    <font>
      <b/>
      <sz val="18.0"/>
      <color rgb="FF980000"/>
      <name val="Times New Roman"/>
    </font>
    <font>
      <sz val="10.0"/>
      <color rgb="FFFFFFFF"/>
      <name val="Arial"/>
    </font>
    <font>
      <sz val="12.0"/>
      <color rgb="FFFFFFFF"/>
      <name val="Arial"/>
    </font>
    <font>
      <sz val="10.0"/>
      <color rgb="FFB7B7B7"/>
      <name val="Arial"/>
    </font>
    <font>
      <sz val="10.0"/>
      <name val="Arial"/>
    </font>
    <font>
      <b/>
      <sz val="10.0"/>
      <color rgb="FF4C1130"/>
      <name val="Arial"/>
    </font>
    <font>
      <sz val="10.0"/>
      <color rgb="FF20124D"/>
      <name val="Arial"/>
    </font>
    <font>
      <i/>
      <u/>
      <sz val="7.0"/>
      <color rgb="FF0000FF"/>
    </font>
    <font>
      <i/>
      <u/>
      <color rgb="FF0000FF"/>
    </font>
    <font>
      <i/>
      <u/>
      <color rgb="FF0000FF"/>
    </font>
    <font>
      <i/>
      <u/>
      <color rgb="FF0000FF"/>
      <name val="Arial"/>
    </font>
    <font>
      <sz val="10.0"/>
      <color rgb="FFFFFFFF"/>
      <name val="Times New Roman"/>
    </font>
    <font>
      <sz val="10.0"/>
      <name val="Times New Roman"/>
    </font>
    <font>
      <sz val="10.0"/>
      <color rgb="FF4C1130"/>
      <name val="Times New Roman"/>
    </font>
    <font>
      <sz val="10.0"/>
      <color rgb="FF20124D"/>
      <name val="Times New Roman"/>
    </font>
    <font>
      <b/>
      <sz val="12.0"/>
      <color rgb="FF000000"/>
      <name val="Arial"/>
    </font>
    <font>
      <b/>
      <u/>
      <sz val="14.0"/>
      <color rgb="FF0000FF"/>
      <name val="Times New Roman"/>
    </font>
    <font>
      <sz val="18.0"/>
      <name val="Times New Roman"/>
    </font>
    <font>
      <b/>
      <sz val="11.0"/>
      <color rgb="FFF3F3F3"/>
      <name val="Arial"/>
    </font>
    <font>
      <sz val="11.0"/>
      <color rgb="FFF3F3F3"/>
      <name val="Arial"/>
    </font>
    <font>
      <color rgb="FFFFFFFF"/>
      <name val="Arial"/>
    </font>
    <font>
      <b/>
      <sz val="14.0"/>
      <color rgb="FF000000"/>
      <name val="Arial"/>
    </font>
    <font>
      <b/>
      <u/>
      <sz val="14.0"/>
      <color rgb="FF0000FF"/>
      <name val="Times New Roman"/>
    </font>
    <font>
      <b/>
      <sz val="18.0"/>
      <color rgb="FF5B0F00"/>
      <name val="Times New Roman"/>
    </font>
    <font>
      <color rgb="FFFFFFFF"/>
      <name val="Times New Roman"/>
    </font>
    <font>
      <b/>
      <color rgb="FF000000"/>
      <name val="Arial"/>
    </font>
    <font>
      <sz val="11.0"/>
      <color rgb="FF000000"/>
      <name val="Arial"/>
    </font>
    <font>
      <color rgb="FFD9D9D9"/>
      <name val="Arial"/>
    </font>
    <font>
      <sz val="10.0"/>
      <color rgb="FFD9D9D9"/>
    </font>
    <font>
      <b/>
      <color rgb="FF274E13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660000"/>
        <bgColor rgb="FF660000"/>
      </patternFill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  <fill>
      <patternFill patternType="solid">
        <fgColor rgb="FFD9D9D9"/>
        <bgColor rgb="FFD9D9D9"/>
      </patternFill>
    </fill>
    <fill>
      <patternFill patternType="solid">
        <fgColor rgb="FFE9E9E9"/>
        <bgColor rgb="FFE9E9E9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F1C232"/>
        <bgColor rgb="FFF1C232"/>
      </patternFill>
    </fill>
    <fill>
      <patternFill patternType="solid">
        <fgColor rgb="FF990000"/>
        <bgColor rgb="FF990000"/>
      </patternFill>
    </fill>
    <fill>
      <patternFill patternType="solid">
        <fgColor rgb="FFCCCCCC"/>
        <bgColor rgb="FFCCCCCC"/>
      </patternFill>
    </fill>
    <fill>
      <patternFill patternType="solid">
        <fgColor rgb="FF20124D"/>
        <bgColor rgb="FF20124D"/>
      </patternFill>
    </fill>
  </fills>
  <borders count="90">
    <border/>
    <border>
      <right style="thin">
        <color rgb="FFFFFFFF"/>
      </right>
      <bottom style="thin">
        <color rgb="FFFFFFFF"/>
      </bottom>
    </border>
    <border>
      <top style="thin">
        <color rgb="FFFFFFFF"/>
      </top>
    </border>
    <border>
      <left style="thin">
        <color rgb="FFDD7E6B"/>
      </left>
      <top style="thin">
        <color rgb="FF980000"/>
      </top>
      <bottom style="thin">
        <color rgb="FF980000"/>
      </bottom>
    </border>
    <border>
      <top style="thin">
        <color rgb="FF980000"/>
      </top>
      <bottom style="thin">
        <color rgb="FF980000"/>
      </bottom>
    </border>
    <border>
      <right style="thin">
        <color rgb="FFDD7E6B"/>
      </right>
      <top style="thin">
        <color rgb="FF980000"/>
      </top>
      <bottom style="thin">
        <color rgb="FF980000"/>
      </bottom>
    </border>
    <border>
      <top style="thin">
        <color rgb="FF980000"/>
      </top>
    </border>
    <border>
      <left style="thin">
        <color rgb="FFFFFFFF"/>
      </left>
      <right style="thin">
        <color rgb="FFFFFFFF"/>
      </right>
    </border>
    <border>
      <left style="thin">
        <color rgb="FF980000"/>
      </left>
      <top style="thin">
        <color rgb="FF980000"/>
      </top>
      <bottom style="thin">
        <color rgb="FF980000"/>
      </bottom>
    </border>
    <border>
      <right style="thin">
        <color rgb="FF980000"/>
      </right>
      <top style="thin">
        <color rgb="FF980000"/>
      </top>
      <bottom style="thin">
        <color rgb="FF980000"/>
      </bottom>
    </border>
    <border>
      <left style="thin">
        <color rgb="FFEFEFEF"/>
      </left>
      <right style="thin">
        <color rgb="FFEFEFEF"/>
      </right>
      <top style="thin">
        <color rgb="FF20124D"/>
      </top>
    </border>
    <border>
      <left style="thin">
        <color rgb="FFFF0000"/>
      </left>
      <top style="thin">
        <color rgb="FF980000"/>
      </top>
      <bottom style="thin">
        <color rgb="FFFF0000"/>
      </bottom>
    </border>
    <border>
      <top style="thin">
        <color rgb="FF980000"/>
      </top>
      <bottom style="thin">
        <color rgb="FFFF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980000"/>
      </right>
      <top style="thin">
        <color rgb="FF980000"/>
      </top>
      <bottom style="thin">
        <color rgb="FFFF0000"/>
      </bottom>
    </border>
    <border>
      <right style="thin">
        <color rgb="FF980000"/>
      </right>
    </border>
    <border>
      <left style="thin">
        <color rgb="FFEFEFEF"/>
      </left>
      <right style="thin">
        <color rgb="FFEFEFEF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0124D"/>
      </left>
      <right style="thin">
        <color rgb="FF20124D"/>
      </right>
    </border>
    <border>
      <right style="medium">
        <color rgb="FF660000"/>
      </right>
    </border>
    <border>
      <left style="thin">
        <color rgb="FF20124D"/>
      </left>
    </border>
    <border>
      <left style="thin">
        <color rgb="FF980000"/>
      </left>
      <right style="thin">
        <color rgb="FF980000"/>
      </right>
    </border>
    <border>
      <left style="thin">
        <color rgb="FF000000"/>
      </left>
      <right style="thin">
        <color rgb="FF000000"/>
      </right>
    </border>
    <border>
      <right style="thin">
        <color rgb="FF660000"/>
      </right>
    </border>
    <border>
      <left style="thin">
        <color rgb="FF980000"/>
      </left>
      <right style="thin">
        <color rgb="FFEA9999"/>
      </right>
      <top style="thin">
        <color rgb="FF980000"/>
      </top>
    </border>
    <border>
      <left style="thin">
        <color rgb="FFEA9999"/>
      </left>
      <right style="thin">
        <color rgb="FFEA9999"/>
      </right>
      <top style="thin">
        <color rgb="FF980000"/>
      </top>
    </border>
    <border>
      <left style="thin">
        <color rgb="FFEA9999"/>
      </left>
      <right style="thin">
        <color rgb="FF980000"/>
      </right>
      <top style="thin">
        <color rgb="FF980000"/>
      </top>
    </border>
    <border>
      <left style="thin">
        <color rgb="FF980000"/>
      </left>
      <right style="thin">
        <color rgb="FFEA9999"/>
      </right>
    </border>
    <border>
      <left style="thin">
        <color rgb="FFEA9999"/>
      </left>
      <right style="thin">
        <color rgb="FFEA9999"/>
      </right>
    </border>
    <border>
      <left style="thin">
        <color rgb="FFEA9999"/>
      </left>
      <right style="thin">
        <color rgb="FF980000"/>
      </right>
    </border>
    <border>
      <right style="thin">
        <color rgb="FFF3F3F3"/>
      </right>
      <top style="thin">
        <color rgb="FF980000"/>
      </top>
      <bottom style="thin">
        <color rgb="FFFF0000"/>
      </bottom>
    </border>
    <border>
      <left style="thin">
        <color rgb="FF980000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EA9999"/>
      </left>
      <right style="thin">
        <color rgb="FF980000"/>
      </right>
      <top style="thin">
        <color rgb="FFEA9999"/>
      </top>
      <bottom style="thin">
        <color rgb="FFEA9999"/>
      </bottom>
    </border>
    <border>
      <right style="thin">
        <color rgb="FF20124D"/>
      </right>
    </border>
    <border>
      <left style="thin">
        <color rgb="FF351C75"/>
      </left>
      <top style="thin">
        <color rgb="FF351C75"/>
      </top>
      <bottom style="thin">
        <color rgb="FF351C75"/>
      </bottom>
    </border>
    <border>
      <right style="thin">
        <color rgb="FF351C75"/>
      </right>
      <top style="thin">
        <color rgb="FF351C75"/>
      </top>
      <bottom style="thin">
        <color rgb="FF351C75"/>
      </bottom>
    </border>
    <border>
      <left style="thin">
        <color rgb="FFFF0000"/>
      </left>
      <top style="thin">
        <color rgb="FF980000"/>
      </top>
    </border>
    <border>
      <right style="thin">
        <color rgb="FFF3F3F3"/>
      </right>
      <top style="thin">
        <color rgb="FF980000"/>
      </top>
    </border>
    <border>
      <right style="thin">
        <color rgb="FF980000"/>
      </right>
      <top style="thin">
        <color rgb="FF980000"/>
      </top>
    </border>
    <border>
      <left style="thin">
        <color rgb="FF980000"/>
      </left>
    </border>
    <border>
      <left style="thin">
        <color rgb="FF980000"/>
      </left>
      <right style="thin">
        <color rgb="FF434343"/>
      </right>
      <top style="thin">
        <color rgb="FFFF0000"/>
      </top>
      <bottom style="thin">
        <color rgb="FFFF0000"/>
      </bottom>
    </border>
    <border>
      <left style="thin">
        <color rgb="FF434343"/>
      </left>
      <right style="thin">
        <color rgb="FF434343"/>
      </right>
      <top style="thin">
        <color rgb="FFFF0000"/>
      </top>
      <bottom style="thin">
        <color rgb="FFFF0000"/>
      </bottom>
    </border>
    <border>
      <left style="thin">
        <color rgb="FF434343"/>
      </left>
      <right style="thin">
        <color rgb="FF980000"/>
      </right>
      <top style="thin">
        <color rgb="FFFF0000"/>
      </top>
      <bottom style="thin">
        <color rgb="FFFF0000"/>
      </bottom>
    </border>
    <border>
      <left style="thin">
        <color rgb="FF980000"/>
      </left>
      <right style="thin">
        <color rgb="FFEA9999"/>
      </right>
      <bottom style="thin">
        <color rgb="FF980000"/>
      </bottom>
    </border>
    <border>
      <left style="thin">
        <color rgb="FFEA9999"/>
      </left>
      <right style="thin">
        <color rgb="FFEA9999"/>
      </right>
      <bottom style="thin">
        <color rgb="FF980000"/>
      </bottom>
    </border>
    <border>
      <left style="thin">
        <color rgb="FFEA9999"/>
      </left>
      <right style="thin">
        <color rgb="FF980000"/>
      </right>
      <bottom style="thin">
        <color rgb="FF980000"/>
      </bottom>
    </border>
    <border>
      <right style="thin">
        <color rgb="FF000000"/>
      </right>
    </border>
    <border>
      <bottom style="thin">
        <color rgb="FF980000"/>
      </bottom>
    </border>
    <border>
      <left style="thin">
        <color rgb="FFFFFFFF"/>
      </left>
      <top style="thin">
        <color rgb="FFFFFFFF"/>
      </top>
    </border>
    <border>
      <left style="thin">
        <color rgb="FFD9D9D9"/>
      </left>
      <right style="thin">
        <color rgb="FFD9D9D9"/>
      </right>
      <top style="thin">
        <color rgb="FFD9D9D9"/>
      </top>
    </border>
    <border>
      <left style="thin">
        <color rgb="FF5B0F00"/>
      </left>
      <right style="thin">
        <color rgb="FF5B0F00"/>
      </right>
    </border>
    <border>
      <right/>
    </border>
    <border>
      <left style="thin">
        <color rgb="FF990000"/>
      </left>
      <right style="thin">
        <color rgb="FF990000"/>
      </right>
      <top style="thin">
        <color rgb="FF990000"/>
      </top>
      <bottom style="thin">
        <color rgb="FF990000"/>
      </bottom>
    </border>
    <border>
      <right style="thin">
        <color rgb="FFD9D9D9"/>
      </right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left style="thin">
        <color rgb="FFD9D9D9"/>
      </left>
      <bottom style="thin">
        <color rgb="FFD9D9D9"/>
      </bottom>
    </border>
    <border>
      <right style="thin">
        <color rgb="FFD9D9D9"/>
      </right>
      <top style="thin">
        <color rgb="FFD9D9D9"/>
      </top>
    </border>
    <border>
      <left style="thin">
        <color rgb="FFD9D9D9"/>
      </left>
      <top style="thin">
        <color rgb="FFD9D9D9"/>
      </top>
    </border>
    <border>
      <left style="thin">
        <color rgb="FF434343"/>
      </left>
    </border>
    <border>
      <right style="thin">
        <color rgb="FF434343"/>
      </right>
    </border>
    <border>
      <right style="thin">
        <color rgb="FFD9D9D9"/>
      </right>
      <top style="thick">
        <color rgb="FFF3F3F3"/>
      </top>
    </border>
    <border>
      <left style="thin">
        <color rgb="FFD9D9D9"/>
      </left>
      <right style="thin">
        <color rgb="FFD9D9D9"/>
      </right>
      <top style="thick">
        <color rgb="FFF3F3F3"/>
      </top>
    </border>
    <border>
      <left style="thin">
        <color rgb="FFD9D9D9"/>
      </left>
      <top style="thick">
        <color rgb="FFF3F3F3"/>
      </top>
    </border>
    <border>
      <right style="thin">
        <color rgb="FFD9D9D9"/>
      </right>
      <top style="thin">
        <color rgb="FFD9D9D9"/>
      </top>
      <bottom style="thick">
        <color rgb="FFF3F3F3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ck">
        <color rgb="FFF3F3F3"/>
      </bottom>
    </border>
    <border>
      <right style="thin">
        <color rgb="FFD9D9D9"/>
      </right>
    </border>
    <border>
      <left style="thin">
        <color rgb="FFD9D9D9"/>
      </left>
      <right style="thin">
        <color rgb="FFD9D9D9"/>
      </right>
    </border>
    <border>
      <left style="thin">
        <color rgb="FFD9D9D9"/>
      </left>
    </border>
    <border>
      <top style="thin">
        <color rgb="FF0000FF"/>
      </top>
      <bottom style="thin">
        <color rgb="FF0000FF"/>
      </bottom>
    </border>
    <border>
      <bottom style="thick">
        <color rgb="FF999999"/>
      </bottom>
    </border>
    <border>
      <bottom style="thin">
        <color rgb="FF990000"/>
      </bottom>
    </border>
    <border>
      <left style="thin">
        <color rgb="FF980000"/>
      </left>
      <bottom style="thin">
        <color rgb="FF990000"/>
      </bottom>
    </border>
    <border>
      <right style="thin">
        <color rgb="FF980000"/>
      </right>
      <bottom style="thin">
        <color rgb="FF990000"/>
      </bottom>
    </border>
    <border>
      <bottom style="thin">
        <color rgb="FF5B0F00"/>
      </bottom>
    </border>
    <border>
      <left style="thin">
        <color rgb="FF980000"/>
      </left>
      <bottom style="thin">
        <color rgb="FF5B0F00"/>
      </bottom>
    </border>
    <border>
      <right style="thin">
        <color rgb="FF980000"/>
      </right>
      <bottom style="thin">
        <color rgb="FF5B0F00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ck">
        <color rgb="FFD9D9D9"/>
      </top>
      <bottom style="thin">
        <color rgb="FF990000"/>
      </bottom>
    </border>
    <border>
      <right style="thin">
        <color rgb="FFFFFFFF"/>
      </right>
      <top style="thin">
        <color rgb="FFFFFFFF"/>
      </top>
      <bottom style="thin">
        <color rgb="FF990000"/>
      </bottom>
    </border>
    <border>
      <left style="thin">
        <color rgb="FF274E13"/>
      </left>
    </border>
    <border>
      <right style="thin">
        <color rgb="FF274E13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434343"/>
      </left>
      <bottom style="thin">
        <color rgb="FF990000"/>
      </bottom>
    </border>
    <border>
      <right style="thin">
        <color rgb="FF434343"/>
      </right>
      <bottom style="thin">
        <color rgb="FF990000"/>
      </bottom>
    </border>
  </borders>
  <cellStyleXfs count="1">
    <xf borderId="0" fillId="0" fontId="0" numFmtId="0" applyAlignment="1" applyFont="1"/>
  </cellStyleXfs>
  <cellXfs count="4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2" fontId="3" numFmtId="0" xfId="0" applyAlignment="1" applyFill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vertical="center"/>
    </xf>
    <xf borderId="2" fillId="0" fontId="6" numFmtId="0" xfId="0" applyAlignment="1" applyBorder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3" fillId="0" fontId="6" numFmtId="0" xfId="0" applyAlignment="1" applyBorder="1" applyFont="1">
      <alignment horizontal="left" readingOrder="0" shrinkToFit="0" vertical="center" wrapText="0"/>
    </xf>
    <xf borderId="4" fillId="0" fontId="8" numFmtId="0" xfId="0" applyBorder="1" applyFont="1"/>
    <xf borderId="0" fillId="0" fontId="6" numFmtId="0" xfId="0" applyAlignment="1" applyFont="1">
      <alignment horizontal="center" vertical="center"/>
    </xf>
    <xf borderId="5" fillId="0" fontId="8" numFmtId="0" xfId="0" applyBorder="1" applyFont="1"/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6" fillId="0" fontId="12" numFmtId="0" xfId="0" applyAlignment="1" applyBorder="1" applyFont="1">
      <alignment horizontal="center" readingOrder="0" vertical="center"/>
    </xf>
    <xf borderId="6" fillId="0" fontId="8" numFmtId="0" xfId="0" applyBorder="1" applyFont="1"/>
    <xf borderId="0" fillId="0" fontId="10" numFmtId="0" xfId="0" applyAlignment="1" applyFont="1">
      <alignment horizontal="left" readingOrder="0" vertical="center"/>
    </xf>
    <xf borderId="0" fillId="3" fontId="13" numFmtId="14" xfId="0" applyAlignment="1" applyFill="1" applyFont="1" applyNumberFormat="1">
      <alignment horizontal="center" readingOrder="0" vertical="center"/>
    </xf>
    <xf borderId="0" fillId="0" fontId="14" numFmtId="0" xfId="0" applyAlignment="1" applyFont="1">
      <alignment horizontal="center" vertical="center"/>
    </xf>
    <xf borderId="7" fillId="0" fontId="8" numFmtId="0" xfId="0" applyAlignment="1" applyBorder="1" applyFont="1">
      <alignment horizontal="center"/>
    </xf>
    <xf borderId="0" fillId="0" fontId="15" numFmtId="0" xfId="0" applyAlignment="1" applyFont="1">
      <alignment vertical="center"/>
    </xf>
    <xf borderId="0" fillId="4" fontId="16" numFmtId="0" xfId="0" applyAlignment="1" applyFill="1" applyFont="1">
      <alignment horizontal="center" readingOrder="0" shrinkToFit="0" vertical="center" wrapText="1"/>
    </xf>
    <xf borderId="0" fillId="5" fontId="17" numFmtId="0" xfId="0" applyAlignment="1" applyFill="1" applyFont="1">
      <alignment horizontal="center" readingOrder="0" shrinkToFit="0" vertical="center" wrapText="1"/>
    </xf>
    <xf borderId="8" fillId="0" fontId="18" numFmtId="0" xfId="0" applyAlignment="1" applyBorder="1" applyFont="1">
      <alignment horizontal="center" readingOrder="0" shrinkToFit="0" vertical="center" wrapText="0"/>
    </xf>
    <xf borderId="0" fillId="0" fontId="17" numFmtId="0" xfId="0" applyAlignment="1" applyFont="1">
      <alignment horizontal="center" shrinkToFit="0" vertical="center" wrapText="1"/>
    </xf>
    <xf borderId="9" fillId="0" fontId="8" numFmtId="0" xfId="0" applyBorder="1" applyFont="1"/>
    <xf borderId="0" fillId="0" fontId="19" numFmtId="0" xfId="0" applyAlignment="1" applyFont="1">
      <alignment horizontal="left" readingOrder="0" shrinkToFit="0" vertical="center" wrapText="0"/>
    </xf>
    <xf borderId="0" fillId="3" fontId="20" numFmtId="0" xfId="0" applyAlignment="1" applyFont="1">
      <alignment horizontal="center" readingOrder="0" vertical="center"/>
    </xf>
    <xf borderId="10" fillId="6" fontId="21" numFmtId="0" xfId="0" applyAlignment="1" applyBorder="1" applyFill="1" applyFont="1">
      <alignment horizontal="center" shrinkToFit="0" vertical="center" wrapText="1"/>
    </xf>
    <xf borderId="11" fillId="7" fontId="22" numFmtId="0" xfId="0" applyAlignment="1" applyBorder="1" applyFill="1" applyFont="1">
      <alignment horizontal="left" readingOrder="0" shrinkToFit="0" vertical="center" wrapText="0"/>
    </xf>
    <xf borderId="0" fillId="4" fontId="23" numFmtId="0" xfId="0" applyAlignment="1" applyFont="1">
      <alignment horizontal="center" readingOrder="0" shrinkToFit="0" vertical="center" wrapText="1"/>
    </xf>
    <xf borderId="12" fillId="7" fontId="22" numFmtId="0" xfId="0" applyAlignment="1" applyBorder="1" applyFont="1">
      <alignment horizontal="left" readingOrder="0" shrinkToFit="0" vertical="center" wrapText="0"/>
    </xf>
    <xf borderId="13" fillId="6" fontId="24" numFmtId="0" xfId="0" applyAlignment="1" applyBorder="1" applyFont="1">
      <alignment horizontal="center" vertical="center"/>
    </xf>
    <xf borderId="12" fillId="0" fontId="8" numFmtId="0" xfId="0" applyBorder="1" applyFont="1"/>
    <xf borderId="13" fillId="6" fontId="25" numFmtId="0" xfId="0" applyAlignment="1" applyBorder="1" applyFont="1">
      <alignment horizontal="center" shrinkToFit="0" vertical="center" wrapText="1"/>
    </xf>
    <xf borderId="14" fillId="7" fontId="22" numFmtId="0" xfId="0" applyAlignment="1" applyBorder="1" applyFont="1">
      <alignment horizontal="center" readingOrder="0" shrinkToFit="0" vertical="top" wrapText="0"/>
    </xf>
    <xf borderId="10" fillId="6" fontId="21" numFmtId="0" xfId="0" applyAlignment="1" applyBorder="1" applyFont="1">
      <alignment horizontal="center" vertical="center"/>
    </xf>
    <xf borderId="15" fillId="7" fontId="22" numFmtId="4" xfId="0" applyAlignment="1" applyBorder="1" applyFont="1" applyNumberFormat="1">
      <alignment horizontal="center" shrinkToFit="0" vertical="top" wrapText="0"/>
    </xf>
    <xf borderId="13" fillId="6" fontId="25" numFmtId="0" xfId="0" applyAlignment="1" applyBorder="1" applyFont="1">
      <alignment horizontal="center" vertical="center"/>
    </xf>
    <xf borderId="15" fillId="7" fontId="22" numFmtId="4" xfId="0" applyAlignment="1" applyBorder="1" applyFont="1" applyNumberFormat="1">
      <alignment horizontal="right" readingOrder="0" shrinkToFit="0" vertical="top" wrapText="1"/>
    </xf>
    <xf borderId="13" fillId="6" fontId="26" numFmtId="0" xfId="0" applyAlignment="1" applyBorder="1" applyFont="1">
      <alignment horizontal="center" shrinkToFit="0" vertical="center" wrapText="1"/>
    </xf>
    <xf borderId="13" fillId="6" fontId="25" numFmtId="0" xfId="0" applyAlignment="1" applyBorder="1" applyFont="1">
      <alignment horizontal="center" readingOrder="0" shrinkToFit="0" vertical="center" wrapText="1"/>
    </xf>
    <xf borderId="16" fillId="6" fontId="21" numFmtId="1" xfId="0" applyAlignment="1" applyBorder="1" applyFont="1" applyNumberFormat="1">
      <alignment horizontal="center" vertical="center"/>
    </xf>
    <xf borderId="0" fillId="6" fontId="25" numFmtId="0" xfId="0" applyAlignment="1" applyFont="1">
      <alignment horizontal="center" readingOrder="0" shrinkToFit="0" vertical="center" wrapText="1"/>
    </xf>
    <xf borderId="13" fillId="6" fontId="24" numFmtId="0" xfId="0" applyAlignment="1" applyBorder="1" applyFont="1">
      <alignment horizontal="center" readingOrder="0" shrinkToFit="0" vertical="center" wrapText="1"/>
    </xf>
    <xf borderId="0" fillId="0" fontId="27" numFmtId="0" xfId="0" applyAlignment="1" applyFont="1">
      <alignment horizontal="left" readingOrder="0" shrinkToFit="0" vertical="center" wrapText="1"/>
    </xf>
    <xf borderId="16" fillId="6" fontId="28" numFmtId="3" xfId="0" applyAlignment="1" applyBorder="1" applyFont="1" applyNumberFormat="1">
      <alignment horizontal="center" vertical="center"/>
    </xf>
    <xf borderId="0" fillId="0" fontId="15" numFmtId="0" xfId="0" applyAlignment="1" applyFont="1">
      <alignment vertical="bottom"/>
    </xf>
    <xf borderId="16" fillId="6" fontId="29" numFmtId="0" xfId="0" applyAlignment="1" applyBorder="1" applyFont="1">
      <alignment horizontal="center" vertical="center"/>
    </xf>
    <xf borderId="0" fillId="8" fontId="30" numFmtId="0" xfId="0" applyAlignment="1" applyFill="1" applyFont="1">
      <alignment vertical="bottom"/>
    </xf>
    <xf borderId="0" fillId="0" fontId="31" numFmtId="0" xfId="0" applyAlignment="1" applyFont="1">
      <alignment horizontal="center" readingOrder="0" shrinkToFit="0" vertical="center" wrapText="1"/>
    </xf>
    <xf borderId="0" fillId="8" fontId="15" numFmtId="0" xfId="0" applyAlignment="1" applyFont="1">
      <alignment vertical="bottom"/>
    </xf>
    <xf borderId="17" fillId="8" fontId="32" numFmtId="0" xfId="0" applyAlignment="1" applyBorder="1" applyFont="1">
      <alignment horizontal="center" shrinkToFit="0" wrapText="1"/>
    </xf>
    <xf borderId="0" fillId="8" fontId="15" numFmtId="0" xfId="0" applyAlignment="1" applyFont="1">
      <alignment vertical="center"/>
    </xf>
    <xf borderId="18" fillId="0" fontId="8" numFmtId="0" xfId="0" applyBorder="1" applyFont="1"/>
    <xf borderId="0" fillId="0" fontId="33" numFmtId="0" xfId="0" applyAlignment="1" applyFont="1">
      <alignment horizontal="left" readingOrder="0" shrinkToFit="0" vertical="bottom" wrapText="0"/>
    </xf>
    <xf borderId="19" fillId="0" fontId="8" numFmtId="0" xfId="0" applyBorder="1" applyFont="1"/>
    <xf borderId="0" fillId="0" fontId="34" numFmtId="0" xfId="0" applyAlignment="1" applyFont="1">
      <alignment readingOrder="0" vertical="bottom"/>
    </xf>
    <xf borderId="0" fillId="0" fontId="31" numFmtId="0" xfId="0" applyAlignment="1" applyFont="1">
      <alignment readingOrder="0"/>
    </xf>
    <xf borderId="0" fillId="0" fontId="35" numFmtId="0" xfId="0" applyAlignment="1" applyFont="1">
      <alignment vertical="bottom"/>
    </xf>
    <xf borderId="20" fillId="0" fontId="8" numFmtId="0" xfId="0" applyAlignment="1" applyBorder="1" applyFont="1">
      <alignment horizontal="center" shrinkToFit="0" wrapText="1"/>
    </xf>
    <xf borderId="0" fillId="0" fontId="36" numFmtId="0" xfId="0" applyAlignment="1" applyFont="1">
      <alignment horizontal="center" vertical="center"/>
    </xf>
    <xf borderId="20" fillId="0" fontId="8" numFmtId="0" xfId="0" applyAlignment="1" applyBorder="1" applyFont="1">
      <alignment horizontal="center"/>
    </xf>
    <xf borderId="0" fillId="0" fontId="37" numFmtId="0" xfId="0" applyAlignment="1" applyFont="1">
      <alignment vertical="center"/>
    </xf>
    <xf borderId="20" fillId="0" fontId="8" numFmtId="164" xfId="0" applyAlignment="1" applyBorder="1" applyFont="1" applyNumberFormat="1">
      <alignment horizontal="center"/>
    </xf>
    <xf borderId="0" fillId="0" fontId="2" numFmtId="0" xfId="0" applyAlignment="1" applyFont="1">
      <alignment horizontal="center" vertical="center"/>
    </xf>
    <xf borderId="20" fillId="3" fontId="38" numFmtId="3" xfId="0" applyAlignment="1" applyBorder="1" applyFont="1" applyNumberFormat="1">
      <alignment horizontal="center"/>
    </xf>
    <xf borderId="21" fillId="0" fontId="39" numFmtId="0" xfId="0" applyAlignment="1" applyBorder="1" applyFont="1">
      <alignment horizontal="center" shrinkToFit="0" vertical="center" wrapText="1"/>
    </xf>
    <xf borderId="22" fillId="3" fontId="38" numFmtId="3" xfId="0" applyAlignment="1" applyBorder="1" applyFont="1" applyNumberFormat="1">
      <alignment horizontal="center"/>
    </xf>
    <xf borderId="23" fillId="7" fontId="22" numFmtId="4" xfId="0" applyAlignment="1" applyBorder="1" applyFont="1" applyNumberFormat="1">
      <alignment horizontal="right" readingOrder="0" shrinkToFit="0" vertical="top" wrapText="1"/>
    </xf>
    <xf borderId="24" fillId="9" fontId="38" numFmtId="3" xfId="0" applyAlignment="1" applyBorder="1" applyFill="1" applyFont="1" applyNumberFormat="1">
      <alignment horizontal="center"/>
    </xf>
    <xf borderId="0" fillId="4" fontId="40" numFmtId="0" xfId="0" applyAlignment="1" applyFont="1">
      <alignment horizontal="center" readingOrder="0" shrinkToFit="0" vertical="center" wrapText="1"/>
    </xf>
    <xf borderId="0" fillId="0" fontId="41" numFmtId="0" xfId="0" applyAlignment="1" applyFont="1">
      <alignment horizontal="left" readingOrder="0" shrinkToFit="0" vertical="center" wrapText="1"/>
    </xf>
    <xf borderId="21" fillId="10" fontId="2" numFmtId="4" xfId="0" applyAlignment="1" applyBorder="1" applyFill="1" applyFont="1" applyNumberFormat="1">
      <alignment horizontal="center" vertical="center"/>
    </xf>
    <xf borderId="0" fillId="2" fontId="42" numFmtId="0" xfId="0" applyFont="1"/>
    <xf borderId="0" fillId="0" fontId="41" numFmtId="0" xfId="0" applyAlignment="1" applyFont="1">
      <alignment horizontal="left" readingOrder="0" vertical="center"/>
    </xf>
    <xf borderId="0" fillId="0" fontId="43" numFmtId="0" xfId="0" applyAlignment="1" applyFont="1">
      <alignment horizontal="center"/>
    </xf>
    <xf borderId="21" fillId="11" fontId="2" numFmtId="4" xfId="0" applyAlignment="1" applyBorder="1" applyFill="1" applyFont="1" applyNumberFormat="1">
      <alignment horizontal="center" vertical="center"/>
    </xf>
    <xf borderId="25" fillId="0" fontId="44" numFmtId="4" xfId="0" applyAlignment="1" applyBorder="1" applyFont="1" applyNumberFormat="1">
      <alignment horizontal="center" shrinkToFit="0" vertical="center" wrapText="1"/>
    </xf>
    <xf borderId="0" fillId="0" fontId="45" numFmtId="0" xfId="0" applyAlignment="1" applyFont="1">
      <alignment horizontal="center"/>
    </xf>
    <xf borderId="24" fillId="9" fontId="38" numFmtId="0" xfId="0" applyAlignment="1" applyBorder="1" applyFont="1">
      <alignment horizontal="center"/>
    </xf>
    <xf borderId="21" fillId="11" fontId="46" numFmtId="4" xfId="0" applyAlignment="1" applyBorder="1" applyFont="1" applyNumberFormat="1">
      <alignment horizontal="center" vertical="center"/>
    </xf>
    <xf borderId="0" fillId="0" fontId="31" numFmtId="0" xfId="0" applyAlignment="1" applyFont="1">
      <alignment horizontal="center"/>
    </xf>
    <xf borderId="0" fillId="11" fontId="47" numFmtId="4" xfId="0" applyAlignment="1" applyFont="1" applyNumberFormat="1">
      <alignment horizontal="center" vertical="center"/>
    </xf>
    <xf borderId="0" fillId="0" fontId="31" numFmtId="0" xfId="0" applyFont="1"/>
    <xf borderId="0" fillId="0" fontId="48" numFmtId="0" xfId="0" applyAlignment="1" applyFont="1">
      <alignment horizontal="left" readingOrder="0" shrinkToFit="0" wrapText="0"/>
    </xf>
    <xf borderId="26" fillId="9" fontId="49" numFmtId="4" xfId="0" applyAlignment="1" applyBorder="1" applyFont="1" applyNumberFormat="1">
      <alignment horizontal="right"/>
    </xf>
    <xf borderId="0" fillId="0" fontId="50" numFmtId="0" xfId="0" applyAlignment="1" applyFont="1">
      <alignment readingOrder="0"/>
    </xf>
    <xf borderId="0" fillId="0" fontId="35" numFmtId="0" xfId="0" applyAlignment="1" applyFont="1">
      <alignment readingOrder="0" vertical="center"/>
    </xf>
    <xf borderId="27" fillId="0" fontId="25" numFmtId="4" xfId="0" applyAlignment="1" applyBorder="1" applyFont="1" applyNumberFormat="1">
      <alignment horizontal="right"/>
    </xf>
    <xf borderId="0" fillId="0" fontId="2" numFmtId="0" xfId="0" applyAlignment="1" applyFont="1">
      <alignment vertical="bottom"/>
    </xf>
    <xf borderId="27" fillId="9" fontId="49" numFmtId="4" xfId="0" applyAlignment="1" applyBorder="1" applyFont="1" applyNumberFormat="1">
      <alignment horizontal="right"/>
    </xf>
    <xf borderId="0" fillId="0" fontId="35" numFmtId="0" xfId="0" applyAlignment="1" applyFont="1">
      <alignment vertical="center"/>
    </xf>
    <xf borderId="27" fillId="0" fontId="49" numFmtId="4" xfId="0" applyAlignment="1" applyBorder="1" applyFont="1" applyNumberFormat="1">
      <alignment horizontal="right"/>
    </xf>
    <xf borderId="0" fillId="0" fontId="51" numFmtId="0" xfId="0" applyAlignment="1" applyFont="1">
      <alignment vertical="center"/>
    </xf>
    <xf borderId="28" fillId="9" fontId="49" numFmtId="4" xfId="0" applyAlignment="1" applyBorder="1" applyFont="1" applyNumberFormat="1">
      <alignment horizontal="right"/>
    </xf>
    <xf borderId="0" fillId="0" fontId="46" numFmtId="0" xfId="0" applyAlignment="1" applyFont="1">
      <alignment horizontal="center" vertical="center"/>
    </xf>
    <xf borderId="0" fillId="0" fontId="52" numFmtId="0" xfId="0" applyAlignment="1" applyFont="1">
      <alignment readingOrder="0"/>
    </xf>
    <xf borderId="21" fillId="0" fontId="53" numFmtId="0" xfId="0" applyAlignment="1" applyBorder="1" applyFont="1">
      <alignment horizontal="center" shrinkToFit="0" vertical="center" wrapText="1"/>
    </xf>
    <xf borderId="0" fillId="3" fontId="52" numFmtId="0" xfId="0" applyAlignment="1" applyFont="1">
      <alignment readingOrder="0"/>
    </xf>
    <xf borderId="21" fillId="10" fontId="46" numFmtId="4" xfId="0" applyAlignment="1" applyBorder="1" applyFont="1" applyNumberFormat="1">
      <alignment horizontal="center" vertical="center"/>
    </xf>
    <xf borderId="0" fillId="0" fontId="54" numFmtId="0" xfId="0" applyAlignment="1" applyFont="1">
      <alignment horizontal="center"/>
    </xf>
    <xf borderId="0" fillId="0" fontId="55" numFmtId="0" xfId="0" applyAlignment="1" applyFont="1">
      <alignment horizontal="left" readingOrder="0" shrinkToFit="0" vertical="center" wrapText="0"/>
    </xf>
    <xf borderId="29" fillId="9" fontId="49" numFmtId="4" xfId="0" applyAlignment="1" applyBorder="1" applyFont="1" applyNumberFormat="1">
      <alignment horizontal="right"/>
    </xf>
    <xf borderId="0" fillId="0" fontId="35" numFmtId="0" xfId="0" applyAlignment="1" applyFont="1">
      <alignment horizontal="left" readingOrder="0" vertical="center"/>
    </xf>
    <xf borderId="30" fillId="0" fontId="25" numFmtId="4" xfId="0" applyAlignment="1" applyBorder="1" applyFont="1" applyNumberFormat="1">
      <alignment horizontal="right"/>
    </xf>
    <xf borderId="30" fillId="9" fontId="49" numFmtId="4" xfId="0" applyAlignment="1" applyBorder="1" applyFont="1" applyNumberFormat="1">
      <alignment horizontal="right"/>
    </xf>
    <xf borderId="0" fillId="0" fontId="56" numFmtId="0" xfId="0" applyAlignment="1" applyFont="1">
      <alignment horizontal="left" readingOrder="0" shrinkToFit="0" vertical="center" wrapText="0"/>
    </xf>
    <xf borderId="30" fillId="0" fontId="49" numFmtId="4" xfId="0" applyAlignment="1" applyBorder="1" applyFont="1" applyNumberFormat="1">
      <alignment horizontal="right"/>
    </xf>
    <xf borderId="31" fillId="9" fontId="49" numFmtId="4" xfId="0" applyAlignment="1" applyBorder="1" applyFont="1" applyNumberFormat="1">
      <alignment horizontal="right"/>
    </xf>
    <xf borderId="0" fillId="0" fontId="57" numFmtId="0" xfId="0" applyAlignment="1" applyFont="1">
      <alignment vertical="center"/>
    </xf>
    <xf borderId="0" fillId="0" fontId="47" numFmtId="0" xfId="0" applyAlignment="1" applyFont="1">
      <alignment horizontal="center" vertical="center"/>
    </xf>
    <xf borderId="21" fillId="10" fontId="58" numFmtId="4" xfId="0" applyAlignment="1" applyBorder="1" applyFont="1" applyNumberFormat="1">
      <alignment horizontal="center" vertical="center"/>
    </xf>
    <xf borderId="21" fillId="11" fontId="58" numFmtId="4" xfId="0" applyAlignment="1" applyBorder="1" applyFont="1" applyNumberFormat="1">
      <alignment horizontal="center" vertical="center"/>
    </xf>
    <xf borderId="0" fillId="0" fontId="59" numFmtId="0" xfId="0" applyAlignment="1" applyFont="1">
      <alignment horizontal="left" shrinkToFit="0" wrapText="0"/>
    </xf>
    <xf borderId="0" fillId="0" fontId="50" numFmtId="0" xfId="0" applyFont="1"/>
    <xf borderId="29" fillId="9" fontId="60" numFmtId="4" xfId="0" applyAlignment="1" applyBorder="1" applyFont="1" applyNumberFormat="1">
      <alignment horizontal="right"/>
    </xf>
    <xf borderId="21" fillId="10" fontId="51" numFmtId="4" xfId="0" applyAlignment="1" applyBorder="1" applyFont="1" applyNumberFormat="1">
      <alignment horizontal="center" vertical="center"/>
    </xf>
    <xf borderId="30" fillId="0" fontId="60" numFmtId="4" xfId="0" applyAlignment="1" applyBorder="1" applyFont="1" applyNumberFormat="1">
      <alignment horizontal="right"/>
    </xf>
    <xf borderId="0" fillId="0" fontId="8" numFmtId="0" xfId="0" applyAlignment="1" applyFont="1">
      <alignment readingOrder="0"/>
    </xf>
    <xf borderId="0" fillId="0" fontId="61" numFmtId="0" xfId="0" applyAlignment="1" applyFont="1">
      <alignment horizontal="left" readingOrder="0" vertical="center"/>
    </xf>
    <xf borderId="32" fillId="7" fontId="62" numFmtId="0" xfId="0" applyAlignment="1" applyBorder="1" applyFont="1">
      <alignment horizontal="left" readingOrder="0" shrinkToFit="0" vertical="center" wrapText="0"/>
    </xf>
    <xf borderId="0" fillId="0" fontId="61" numFmtId="0" xfId="0" applyAlignment="1" applyFont="1">
      <alignment horizontal="left" readingOrder="0" shrinkToFit="0" vertical="center" wrapText="1"/>
    </xf>
    <xf borderId="14" fillId="7" fontId="25" numFmtId="0" xfId="0" applyAlignment="1" applyBorder="1" applyFont="1">
      <alignment horizontal="center" shrinkToFit="0" vertical="top" wrapText="0"/>
    </xf>
    <xf borderId="33" fillId="7" fontId="22" numFmtId="4" xfId="0" applyAlignment="1" applyBorder="1" applyFont="1" applyNumberFormat="1">
      <alignment horizontal="center" shrinkToFit="0" vertical="top" wrapText="0"/>
    </xf>
    <xf borderId="20" fillId="0" fontId="8" numFmtId="164" xfId="0" applyAlignment="1" applyBorder="1" applyFont="1" applyNumberFormat="1">
      <alignment horizontal="right"/>
    </xf>
    <xf borderId="34" fillId="7" fontId="22" numFmtId="4" xfId="0" applyAlignment="1" applyBorder="1" applyFont="1" applyNumberFormat="1">
      <alignment horizontal="right" readingOrder="0" shrinkToFit="0" vertical="top" wrapText="1"/>
    </xf>
    <xf borderId="0" fillId="0" fontId="55" numFmtId="0" xfId="0" applyAlignment="1" applyFont="1">
      <alignment horizontal="left" shrinkToFit="0" vertical="center" wrapText="0"/>
    </xf>
    <xf borderId="35" fillId="7" fontId="22" numFmtId="4" xfId="0" applyAlignment="1" applyBorder="1" applyFont="1" applyNumberFormat="1">
      <alignment horizontal="right" readingOrder="0" shrinkToFit="0" vertical="top" wrapText="1"/>
    </xf>
    <xf borderId="22" fillId="0" fontId="8" numFmtId="0" xfId="0" applyAlignment="1" applyBorder="1" applyFont="1">
      <alignment horizontal="center"/>
    </xf>
    <xf borderId="36" fillId="0" fontId="8" numFmtId="0" xfId="0" applyBorder="1" applyFont="1"/>
    <xf borderId="37" fillId="0" fontId="38" numFmtId="3" xfId="0" applyAlignment="1" applyBorder="1" applyFont="1" applyNumberFormat="1">
      <alignment horizontal="center"/>
    </xf>
    <xf borderId="38" fillId="0" fontId="8" numFmtId="0" xfId="0" applyBorder="1" applyFont="1"/>
    <xf borderId="0" fillId="0" fontId="63" numFmtId="0" xfId="0" applyAlignment="1" applyFont="1">
      <alignment horizontal="left" shrinkToFit="0" vertical="center" wrapText="0"/>
    </xf>
    <xf borderId="39" fillId="7" fontId="22" numFmtId="0" xfId="0" applyAlignment="1" applyBorder="1" applyFont="1">
      <alignment horizontal="left" readingOrder="0" shrinkToFit="0" vertical="center" wrapText="0"/>
    </xf>
    <xf borderId="6" fillId="7" fontId="22" numFmtId="0" xfId="0" applyAlignment="1" applyBorder="1" applyFont="1">
      <alignment horizontal="left" readingOrder="0" shrinkToFit="0" vertical="center" wrapText="0"/>
    </xf>
    <xf borderId="40" fillId="7" fontId="62" numFmtId="0" xfId="0" applyAlignment="1" applyBorder="1" applyFont="1">
      <alignment horizontal="left" readingOrder="0" shrinkToFit="0" vertical="center" wrapText="0"/>
    </xf>
    <xf borderId="41" fillId="7" fontId="25" numFmtId="0" xfId="0" applyAlignment="1" applyBorder="1" applyFont="1">
      <alignment horizontal="center" shrinkToFit="0" vertical="top" wrapText="0"/>
    </xf>
    <xf borderId="42" fillId="9" fontId="49" numFmtId="4" xfId="0" applyAlignment="1" applyBorder="1" applyFont="1" applyNumberFormat="1">
      <alignment horizontal="right"/>
    </xf>
    <xf borderId="20" fillId="3" fontId="64" numFmtId="3" xfId="0" applyAlignment="1" applyBorder="1" applyFont="1" applyNumberFormat="1">
      <alignment horizontal="center"/>
    </xf>
    <xf borderId="0" fillId="0" fontId="49" numFmtId="4" xfId="0" applyAlignment="1" applyFont="1" applyNumberFormat="1">
      <alignment horizontal="right"/>
    </xf>
    <xf borderId="0" fillId="9" fontId="49" numFmtId="4" xfId="0" applyAlignment="1" applyFont="1" applyNumberFormat="1">
      <alignment horizontal="right"/>
    </xf>
    <xf borderId="15" fillId="9" fontId="49" numFmtId="4" xfId="0" applyAlignment="1" applyBorder="1" applyFont="1" applyNumberFormat="1">
      <alignment horizontal="right"/>
    </xf>
    <xf borderId="11" fillId="12" fontId="22" numFmtId="0" xfId="0" applyAlignment="1" applyBorder="1" applyFill="1" applyFont="1">
      <alignment horizontal="left" readingOrder="0" shrinkToFit="0" vertical="top" wrapText="1"/>
    </xf>
    <xf borderId="20" fillId="0" fontId="64" numFmtId="3" xfId="0" applyAlignment="1" applyBorder="1" applyFont="1" applyNumberFormat="1">
      <alignment horizontal="center"/>
    </xf>
    <xf borderId="0" fillId="0" fontId="15" numFmtId="0" xfId="0" applyAlignment="1" applyFont="1">
      <alignment horizontal="center" vertical="center"/>
    </xf>
    <xf borderId="12" fillId="12" fontId="22" numFmtId="0" xfId="0" applyAlignment="1" applyBorder="1" applyFont="1">
      <alignment horizontal="left" readingOrder="0" shrinkToFit="0" vertical="top" wrapText="0"/>
    </xf>
    <xf borderId="12" fillId="12" fontId="62" numFmtId="0" xfId="0" applyAlignment="1" applyBorder="1" applyFont="1">
      <alignment horizontal="left" readingOrder="0" shrinkToFit="0" vertical="top" wrapText="1"/>
    </xf>
    <xf borderId="12" fillId="12" fontId="22" numFmtId="0" xfId="0" applyAlignment="1" applyBorder="1" applyFont="1">
      <alignment horizontal="left" readingOrder="0" shrinkToFit="0" vertical="top" wrapText="1"/>
    </xf>
    <xf borderId="43" fillId="12" fontId="22" numFmtId="4" xfId="0" applyAlignment="1" applyBorder="1" applyFont="1" applyNumberFormat="1">
      <alignment horizontal="center" shrinkToFit="0" vertical="top" wrapText="0"/>
    </xf>
    <xf borderId="44" fillId="12" fontId="22" numFmtId="4" xfId="0" applyAlignment="1" applyBorder="1" applyFont="1" applyNumberFormat="1">
      <alignment horizontal="right" readingOrder="0" shrinkToFit="0" vertical="top" wrapText="1"/>
    </xf>
    <xf borderId="21" fillId="0" fontId="65" numFmtId="0" xfId="0" applyAlignment="1" applyBorder="1" applyFont="1">
      <alignment horizontal="center" shrinkToFit="0" vertical="center" wrapText="1"/>
    </xf>
    <xf borderId="45" fillId="12" fontId="22" numFmtId="4" xfId="0" applyAlignment="1" applyBorder="1" applyFont="1" applyNumberFormat="1">
      <alignment horizontal="right" readingOrder="0" shrinkToFit="0" vertical="top" wrapText="1"/>
    </xf>
    <xf borderId="21" fillId="0" fontId="66" numFmtId="0" xfId="0" applyAlignment="1" applyBorder="1" applyFont="1">
      <alignment horizontal="center" shrinkToFit="0" vertical="center" wrapText="1"/>
    </xf>
    <xf borderId="11" fillId="12" fontId="22" numFmtId="0" xfId="0" applyAlignment="1" applyBorder="1" applyFont="1">
      <alignment horizontal="left" readingOrder="0" shrinkToFit="0" vertical="center" wrapText="1"/>
    </xf>
    <xf borderId="0" fillId="0" fontId="36" numFmtId="0" xfId="0" applyAlignment="1" applyFont="1">
      <alignment horizontal="center" vertical="bottom"/>
    </xf>
    <xf borderId="0" fillId="0" fontId="57" numFmtId="0" xfId="0" applyAlignment="1" applyFont="1">
      <alignment vertical="bottom"/>
    </xf>
    <xf borderId="0" fillId="0" fontId="47" numFmtId="0" xfId="0" applyAlignment="1" applyFont="1">
      <alignment horizontal="center" vertical="bottom"/>
    </xf>
    <xf borderId="21" fillId="0" fontId="66" numFmtId="0" xfId="0" applyAlignment="1" applyBorder="1" applyFont="1">
      <alignment horizontal="center" shrinkToFit="0" vertical="bottom" wrapText="1"/>
    </xf>
    <xf borderId="21" fillId="11" fontId="58" numFmtId="4" xfId="0" applyAlignment="1" applyBorder="1" applyFont="1" applyNumberFormat="1">
      <alignment horizontal="center" vertical="bottom"/>
    </xf>
    <xf borderId="25" fillId="0" fontId="44" numFmtId="4" xfId="0" applyAlignment="1" applyBorder="1" applyFont="1" applyNumberFormat="1">
      <alignment horizontal="center" shrinkToFit="0" vertical="bottom" wrapText="1"/>
    </xf>
    <xf borderId="0" fillId="0" fontId="67" numFmtId="0" xfId="0" applyAlignment="1" applyFont="1">
      <alignment horizontal="center" vertical="center"/>
    </xf>
    <xf borderId="0" fillId="0" fontId="55" numFmtId="0" xfId="0" applyAlignment="1" applyFont="1">
      <alignment horizontal="left" shrinkToFit="0" vertical="bottom" wrapText="0"/>
    </xf>
    <xf borderId="0" fillId="8" fontId="68" numFmtId="0" xfId="0" applyAlignment="1" applyFont="1">
      <alignment vertical="bottom"/>
    </xf>
    <xf borderId="0" fillId="0" fontId="37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21" fillId="0" fontId="39" numFmtId="0" xfId="0" applyAlignment="1" applyBorder="1" applyFont="1">
      <alignment horizontal="center" shrinkToFit="0" vertical="bottom" wrapText="1"/>
    </xf>
    <xf borderId="46" fillId="9" fontId="60" numFmtId="4" xfId="0" applyAlignment="1" applyBorder="1" applyFont="1" applyNumberFormat="1">
      <alignment horizontal="right"/>
    </xf>
    <xf borderId="21" fillId="10" fontId="2" numFmtId="4" xfId="0" applyAlignment="1" applyBorder="1" applyFont="1" applyNumberFormat="1">
      <alignment horizontal="center" vertical="bottom"/>
    </xf>
    <xf borderId="47" fillId="0" fontId="49" numFmtId="4" xfId="0" applyAlignment="1" applyBorder="1" applyFont="1" applyNumberFormat="1">
      <alignment horizontal="right"/>
    </xf>
    <xf borderId="21" fillId="11" fontId="2" numFmtId="4" xfId="0" applyAlignment="1" applyBorder="1" applyFont="1" applyNumberFormat="1">
      <alignment horizontal="center" vertical="bottom"/>
    </xf>
    <xf borderId="47" fillId="9" fontId="49" numFmtId="4" xfId="0" applyAlignment="1" applyBorder="1" applyFont="1" applyNumberFormat="1">
      <alignment horizontal="right"/>
    </xf>
    <xf borderId="48" fillId="9" fontId="49" numFmtId="4" xfId="0" applyAlignment="1" applyBorder="1" applyFont="1" applyNumberFormat="1">
      <alignment horizontal="right"/>
    </xf>
    <xf borderId="0" fillId="0" fontId="69" numFmtId="0" xfId="0" applyAlignment="1" applyFont="1">
      <alignment horizontal="left" shrinkToFit="0" vertical="bottom" wrapText="0"/>
    </xf>
    <xf borderId="0" fillId="13" fontId="31" numFmtId="0" xfId="0" applyAlignment="1" applyFill="1" applyFont="1">
      <alignment horizontal="left" vertical="center"/>
    </xf>
    <xf borderId="0" fillId="0" fontId="15" numFmtId="0" xfId="0" applyAlignment="1" applyFont="1">
      <alignment horizontal="center" vertical="bottom"/>
    </xf>
    <xf borderId="0" fillId="13" fontId="43" numFmtId="0" xfId="0" applyAlignment="1" applyFont="1">
      <alignment horizontal="left"/>
    </xf>
    <xf borderId="0" fillId="13" fontId="8" numFmtId="0" xfId="0" applyFont="1"/>
    <xf borderId="0" fillId="13" fontId="31" numFmtId="0" xfId="0" applyAlignment="1" applyFont="1">
      <alignment horizontal="center"/>
    </xf>
    <xf borderId="0" fillId="13" fontId="6" numFmtId="4" xfId="0" applyAlignment="1" applyFont="1" applyNumberFormat="1">
      <alignment horizontal="center"/>
    </xf>
    <xf borderId="0" fillId="13" fontId="6" numFmtId="4" xfId="0" applyAlignment="1" applyFont="1" applyNumberFormat="1">
      <alignment horizontal="right"/>
    </xf>
    <xf borderId="0" fillId="13" fontId="2" numFmtId="4" xfId="0" applyFont="1" applyNumberFormat="1"/>
    <xf borderId="0" fillId="0" fontId="70" numFmtId="0" xfId="0" applyFont="1"/>
    <xf borderId="26" fillId="9" fontId="71" numFmtId="4" xfId="0" applyAlignment="1" applyBorder="1" applyFont="1" applyNumberFormat="1">
      <alignment horizontal="right"/>
    </xf>
    <xf borderId="29" fillId="9" fontId="71" numFmtId="4" xfId="0" applyAlignment="1" applyBorder="1" applyFont="1" applyNumberFormat="1">
      <alignment horizontal="right"/>
    </xf>
    <xf borderId="49" fillId="9" fontId="38" numFmtId="3" xfId="0" applyAlignment="1" applyBorder="1" applyFont="1" applyNumberFormat="1">
      <alignment horizontal="center"/>
    </xf>
    <xf borderId="0" fillId="0" fontId="72" numFmtId="0" xfId="0" applyAlignment="1" applyFont="1">
      <alignment horizontal="center"/>
    </xf>
    <xf borderId="21" fillId="0" fontId="53" numFmtId="0" xfId="0" applyAlignment="1" applyBorder="1" applyFont="1">
      <alignment horizontal="center" shrinkToFit="0" vertical="bottom" wrapText="1"/>
    </xf>
    <xf borderId="21" fillId="10" fontId="58" numFmtId="4" xfId="0" applyAlignment="1" applyBorder="1" applyFont="1" applyNumberFormat="1">
      <alignment horizontal="center" vertical="bottom"/>
    </xf>
    <xf borderId="29" fillId="9" fontId="73" numFmtId="4" xfId="0" applyAlignment="1" applyBorder="1" applyFont="1" applyNumberFormat="1">
      <alignment horizontal="right"/>
    </xf>
    <xf borderId="46" fillId="9" fontId="49" numFmtId="4" xfId="0" applyAlignment="1" applyBorder="1" applyFont="1" applyNumberFormat="1">
      <alignment horizontal="right"/>
    </xf>
    <xf borderId="47" fillId="0" fontId="73" numFmtId="4" xfId="0" applyAlignment="1" applyBorder="1" applyFont="1" applyNumberFormat="1">
      <alignment horizontal="right"/>
    </xf>
    <xf borderId="50" fillId="0" fontId="60" numFmtId="4" xfId="0" applyAlignment="1" applyBorder="1" applyFont="1" applyNumberFormat="1">
      <alignment horizontal="right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center" shrinkToFit="0" wrapText="1"/>
    </xf>
    <xf borderId="0" fillId="0" fontId="74" numFmtId="0" xfId="0" applyAlignment="1" applyFont="1">
      <alignment horizontal="center" vertical="bottom"/>
    </xf>
    <xf borderId="0" fillId="0" fontId="8" numFmtId="0" xfId="0" applyAlignment="1" applyFont="1">
      <alignment horizontal="right"/>
    </xf>
    <xf borderId="0" fillId="0" fontId="8" numFmtId="3" xfId="0" applyAlignment="1" applyFont="1" applyNumberFormat="1">
      <alignment horizontal="center"/>
    </xf>
    <xf borderId="0" fillId="0" fontId="75" numFmtId="0" xfId="0" applyAlignment="1" applyFont="1">
      <alignment horizontal="left" readingOrder="0" vertical="bottom"/>
    </xf>
    <xf borderId="0" fillId="0" fontId="8" numFmtId="0" xfId="0" applyAlignment="1" applyFont="1">
      <alignment horizontal="left"/>
    </xf>
    <xf borderId="0" fillId="0" fontId="75" numFmtId="0" xfId="0" applyAlignment="1" applyFont="1">
      <alignment horizontal="left" readingOrder="0" shrinkToFit="0" vertical="bottom" wrapText="1"/>
    </xf>
    <xf borderId="0" fillId="0" fontId="15" numFmtId="4" xfId="0" applyAlignment="1" applyFont="1" applyNumberFormat="1">
      <alignment vertical="bottom"/>
    </xf>
    <xf borderId="0" fillId="0" fontId="6" numFmtId="0" xfId="0" applyAlignment="1" applyFont="1">
      <alignment horizontal="center" readingOrder="0" shrinkToFit="0" vertical="center" wrapText="1"/>
    </xf>
    <xf borderId="0" fillId="0" fontId="76" numFmtId="0" xfId="0" applyAlignment="1" applyFont="1">
      <alignment horizontal="left" readingOrder="0" vertical="top"/>
    </xf>
    <xf borderId="0" fillId="0" fontId="77" numFmtId="0" xfId="0" applyAlignment="1" applyFont="1">
      <alignment horizontal="center" readingOrder="0" shrinkToFit="0" vertical="center" wrapText="1"/>
    </xf>
    <xf borderId="0" fillId="0" fontId="54" numFmtId="165" xfId="0" applyAlignment="1" applyFont="1" applyNumberFormat="1">
      <alignment horizontal="center" readingOrder="0" vertical="center"/>
    </xf>
    <xf borderId="0" fillId="0" fontId="15" numFmtId="0" xfId="0" applyAlignment="1" applyFont="1">
      <alignment horizontal="right" vertical="bottom"/>
    </xf>
    <xf borderId="51" fillId="0" fontId="78" numFmtId="166" xfId="0" applyAlignment="1" applyBorder="1" applyFont="1" applyNumberFormat="1">
      <alignment horizontal="center" readingOrder="0" shrinkToFit="0" vertical="center" wrapText="0"/>
    </xf>
    <xf borderId="21" fillId="0" fontId="65" numFmtId="0" xfId="0" applyAlignment="1" applyBorder="1" applyFont="1">
      <alignment horizontal="center" shrinkToFit="0" vertical="bottom" wrapText="1"/>
    </xf>
    <xf borderId="0" fillId="0" fontId="79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0"/>
    </xf>
    <xf borderId="0" fillId="0" fontId="80" numFmtId="3" xfId="0" applyAlignment="1" applyFont="1" applyNumberFormat="1">
      <alignment horizontal="center" readingOrder="0" shrinkToFit="0" vertical="center" wrapText="1"/>
    </xf>
    <xf borderId="0" fillId="0" fontId="55" numFmtId="0" xfId="0" applyAlignment="1" applyFont="1">
      <alignment horizontal="left" readingOrder="0" shrinkToFit="0" vertical="center" wrapText="0"/>
    </xf>
    <xf borderId="0" fillId="0" fontId="80" numFmtId="4" xfId="0" applyAlignment="1" applyFont="1" applyNumberFormat="1">
      <alignment horizontal="center" readingOrder="0" shrinkToFit="0" vertical="center" wrapText="1"/>
    </xf>
    <xf borderId="13" fillId="6" fontId="81" numFmtId="0" xfId="0" applyAlignment="1" applyBorder="1" applyFont="1">
      <alignment horizontal="center" shrinkToFit="0" vertical="center" wrapText="0"/>
    </xf>
    <xf borderId="0" fillId="0" fontId="82" numFmtId="4" xfId="0" applyAlignment="1" applyFont="1" applyNumberFormat="1">
      <alignment horizontal="left" readingOrder="0" shrinkToFit="0" vertical="center" wrapText="1"/>
    </xf>
    <xf borderId="52" fillId="6" fontId="25" numFmtId="0" xfId="0" applyAlignment="1" applyBorder="1" applyFont="1">
      <alignment horizontal="center" shrinkToFit="0" vertical="center" wrapText="1"/>
    </xf>
    <xf borderId="0" fillId="0" fontId="83" numFmtId="4" xfId="0" applyAlignment="1" applyFont="1" applyNumberFormat="1">
      <alignment horizontal="left" readingOrder="0" shrinkToFit="0" vertical="center" wrapText="1"/>
    </xf>
    <xf borderId="52" fillId="6" fontId="84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shrinkToFit="0" vertical="center" wrapText="0"/>
    </xf>
    <xf borderId="52" fillId="6" fontId="84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shrinkToFit="0" vertical="center" wrapText="0"/>
    </xf>
    <xf borderId="24" fillId="0" fontId="85" numFmtId="0" xfId="0" applyAlignment="1" applyBorder="1" applyFont="1">
      <alignment horizontal="left" readingOrder="0" shrinkToFit="0" vertical="center" wrapText="1"/>
    </xf>
    <xf borderId="0" fillId="0" fontId="15" numFmtId="0" xfId="0" applyAlignment="1" applyFont="1">
      <alignment vertical="bottom"/>
    </xf>
    <xf borderId="0" fillId="8" fontId="21" numFmtId="0" xfId="0" applyAlignment="1" applyFont="1">
      <alignment horizontal="center" shrinkToFit="0" wrapText="1"/>
    </xf>
    <xf borderId="0" fillId="0" fontId="8" numFmtId="0" xfId="0" applyAlignment="1" applyFont="1">
      <alignment horizontal="left" vertical="center"/>
    </xf>
    <xf borderId="0" fillId="8" fontId="21" numFmtId="4" xfId="0" applyAlignment="1" applyFont="1" applyNumberFormat="1">
      <alignment horizontal="center" shrinkToFit="0" vertical="center" wrapText="1"/>
    </xf>
    <xf borderId="52" fillId="6" fontId="86" numFmtId="0" xfId="0" applyAlignment="1" applyBorder="1" applyFont="1">
      <alignment horizontal="center" readingOrder="0" vertical="center"/>
    </xf>
    <xf borderId="0" fillId="8" fontId="21" numFmtId="0" xfId="0" applyAlignment="1" applyFont="1">
      <alignment horizontal="center" vertical="center"/>
    </xf>
    <xf borderId="52" fillId="6" fontId="87" numFmtId="165" xfId="0" applyAlignment="1" applyBorder="1" applyFont="1" applyNumberFormat="1">
      <alignment horizontal="center" readingOrder="0" shrinkToFit="0" vertical="center" wrapText="1"/>
    </xf>
    <xf borderId="0" fillId="8" fontId="88" numFmtId="4" xfId="0" applyAlignment="1" applyFont="1" applyNumberFormat="1">
      <alignment horizontal="center" shrinkToFit="0" vertical="center" wrapText="1"/>
    </xf>
    <xf borderId="52" fillId="6" fontId="87" numFmtId="3" xfId="0" applyAlignment="1" applyBorder="1" applyFont="1" applyNumberFormat="1">
      <alignment horizontal="center" readingOrder="0" shrinkToFit="0" vertical="center" wrapText="1"/>
    </xf>
    <xf borderId="0" fillId="0" fontId="89" numFmtId="4" xfId="0" applyAlignment="1" applyFont="1" applyNumberFormat="1">
      <alignment horizontal="left" shrinkToFit="0" vertical="center" wrapText="0"/>
    </xf>
    <xf borderId="52" fillId="6" fontId="87" numFmtId="4" xfId="0" applyAlignment="1" applyBorder="1" applyFont="1" applyNumberFormat="1">
      <alignment horizontal="center" readingOrder="0" shrinkToFit="0" vertical="center" wrapText="1"/>
    </xf>
    <xf borderId="0" fillId="0" fontId="90" numFmtId="0" xfId="0" applyAlignment="1" applyFont="1">
      <alignment horizontal="left" vertical="center"/>
    </xf>
    <xf borderId="0" fillId="0" fontId="8" numFmtId="4" xfId="0" applyAlignment="1" applyFont="1" applyNumberFormat="1">
      <alignment shrinkToFit="0" wrapText="1"/>
    </xf>
    <xf borderId="52" fillId="6" fontId="87" numFmtId="3" xfId="0" applyAlignment="1" applyBorder="1" applyFont="1" applyNumberFormat="1">
      <alignment horizontal="center" readingOrder="0" shrinkToFit="0" vertical="center" wrapText="1"/>
    </xf>
    <xf borderId="53" fillId="0" fontId="31" numFmtId="4" xfId="0" applyAlignment="1" applyBorder="1" applyFont="1" applyNumberFormat="1">
      <alignment horizontal="center" vertical="center"/>
    </xf>
    <xf borderId="52" fillId="6" fontId="87" numFmtId="166" xfId="0" applyAlignment="1" applyBorder="1" applyFont="1" applyNumberFormat="1">
      <alignment horizontal="center" readingOrder="0" shrinkToFit="0" vertical="center" wrapText="1"/>
    </xf>
    <xf borderId="0" fillId="0" fontId="50" numFmtId="4" xfId="0" applyAlignment="1" applyFont="1" applyNumberFormat="1">
      <alignment horizontal="center" vertical="center"/>
    </xf>
    <xf borderId="52" fillId="6" fontId="86" numFmtId="1" xfId="0" applyAlignment="1" applyBorder="1" applyFont="1" applyNumberFormat="1">
      <alignment horizontal="center" shrinkToFit="0" vertical="center" wrapText="1"/>
    </xf>
    <xf borderId="0" fillId="0" fontId="91" numFmtId="4" xfId="0" applyAlignment="1" applyFont="1" applyNumberFormat="1">
      <alignment horizontal="left" shrinkToFit="0" wrapText="0"/>
    </xf>
    <xf borderId="52" fillId="6" fontId="92" numFmtId="4" xfId="0" applyAlignment="1" applyBorder="1" applyFont="1" applyNumberFormat="1">
      <alignment horizontal="center" shrinkToFit="0" vertical="center" wrapText="0"/>
    </xf>
    <xf borderId="0" fillId="0" fontId="93" numFmtId="0" xfId="0" applyAlignment="1" applyFont="1">
      <alignment shrinkToFit="0" wrapText="0"/>
    </xf>
    <xf borderId="52" fillId="6" fontId="92" numFmtId="4" xfId="0" applyAlignment="1" applyBorder="1" applyFont="1" applyNumberFormat="1">
      <alignment horizontal="center" readingOrder="0" shrinkToFit="0" vertical="center" wrapText="0"/>
    </xf>
    <xf borderId="0" fillId="0" fontId="90" numFmtId="0" xfId="0" applyAlignment="1" applyFont="1">
      <alignment horizontal="left" shrinkToFit="0" vertical="center" wrapText="0"/>
    </xf>
    <xf borderId="52" fillId="6" fontId="92" numFmtId="0" xfId="0" applyAlignment="1" applyBorder="1" applyFont="1">
      <alignment horizontal="center" readingOrder="0" shrinkToFit="0" vertical="center" wrapText="0"/>
    </xf>
    <xf borderId="54" fillId="12" fontId="30" numFmtId="0" xfId="0" applyAlignment="1" applyBorder="1" applyFont="1">
      <alignment shrinkToFit="0" vertical="bottom" wrapText="0"/>
    </xf>
    <xf borderId="0" fillId="8" fontId="94" numFmtId="4" xfId="0" applyAlignment="1" applyFont="1" applyNumberFormat="1">
      <alignment horizontal="center" shrinkToFit="0" vertical="center" wrapText="1"/>
    </xf>
    <xf borderId="0" fillId="12" fontId="15" numFmtId="0" xfId="0" applyAlignment="1" applyFont="1">
      <alignment vertical="bottom"/>
    </xf>
    <xf borderId="52" fillId="6" fontId="92" numFmtId="0" xfId="0" applyAlignment="1" applyBorder="1" applyFont="1">
      <alignment horizontal="center" readingOrder="0" shrinkToFit="0" vertical="center" wrapText="1"/>
    </xf>
    <xf borderId="52" fillId="6" fontId="92" numFmtId="0" xfId="0" applyAlignment="1" applyBorder="1" applyFont="1">
      <alignment horizontal="center" shrinkToFit="0" vertical="center" wrapText="1"/>
    </xf>
    <xf borderId="0" fillId="12" fontId="68" numFmtId="0" xfId="0" applyAlignment="1" applyFont="1">
      <alignment vertical="bottom"/>
    </xf>
    <xf borderId="52" fillId="6" fontId="86" numFmtId="0" xfId="0" applyAlignment="1" applyBorder="1" applyFont="1">
      <alignment horizontal="left" vertical="center"/>
    </xf>
    <xf borderId="0" fillId="12" fontId="67" numFmtId="0" xfId="0" applyAlignment="1" applyFont="1">
      <alignment vertical="center"/>
    </xf>
    <xf borderId="55" fillId="14" fontId="21" numFmtId="0" xfId="0" applyAlignment="1" applyBorder="1" applyFill="1" applyFont="1">
      <alignment horizontal="center" vertical="center"/>
    </xf>
    <xf borderId="0" fillId="0" fontId="59" numFmtId="4" xfId="0" applyAlignment="1" applyFont="1" applyNumberFormat="1">
      <alignment horizontal="left" shrinkToFit="0" wrapText="0"/>
    </xf>
    <xf borderId="55" fillId="14" fontId="32" numFmtId="0" xfId="0" applyAlignment="1" applyBorder="1" applyFont="1">
      <alignment shrinkToFit="0" vertical="center" wrapText="1"/>
    </xf>
    <xf borderId="0" fillId="0" fontId="83" numFmtId="0" xfId="0" applyAlignment="1" applyFont="1">
      <alignment shrinkToFit="0" vertical="center" wrapText="0"/>
    </xf>
    <xf borderId="55" fillId="14" fontId="95" numFmtId="0" xfId="0" applyAlignment="1" applyBorder="1" applyFont="1">
      <alignment readingOrder="0" shrinkToFit="0" vertical="center" wrapText="1"/>
    </xf>
    <xf borderId="0" fillId="0" fontId="31" numFmtId="4" xfId="0" applyFont="1" applyNumberFormat="1"/>
    <xf borderId="55" fillId="14" fontId="96" numFmtId="4" xfId="0" applyAlignment="1" applyBorder="1" applyFont="1" applyNumberFormat="1">
      <alignment horizontal="center" vertical="center"/>
    </xf>
    <xf borderId="0" fillId="0" fontId="31" numFmtId="4" xfId="0" applyAlignment="1" applyFont="1" applyNumberFormat="1">
      <alignment horizontal="center" vertical="center"/>
    </xf>
    <xf borderId="0" fillId="12" fontId="30" numFmtId="0" xfId="0" applyAlignment="1" applyFont="1">
      <alignment vertical="bottom"/>
    </xf>
    <xf borderId="0" fillId="0" fontId="97" numFmtId="0" xfId="0" applyAlignment="1" applyFont="1">
      <alignment shrinkToFit="0" wrapText="1"/>
    </xf>
    <xf borderId="55" fillId="14" fontId="98" numFmtId="0" xfId="0" applyAlignment="1" applyBorder="1" applyFont="1">
      <alignment horizontal="center" vertical="center"/>
    </xf>
    <xf borderId="0" fillId="8" fontId="99" numFmtId="0" xfId="0" applyAlignment="1" applyFont="1">
      <alignment shrinkToFit="0" wrapText="1"/>
    </xf>
    <xf borderId="55" fillId="14" fontId="95" numFmtId="4" xfId="0" applyAlignment="1" applyBorder="1" applyFont="1" applyNumberFormat="1">
      <alignment horizontal="center" vertical="center"/>
    </xf>
    <xf borderId="56" fillId="8" fontId="100" numFmtId="0" xfId="0" applyAlignment="1" applyBorder="1" applyFont="1">
      <alignment shrinkToFit="0" wrapText="1"/>
    </xf>
    <xf borderId="55" fillId="14" fontId="86" numFmtId="0" xfId="0" applyAlignment="1" applyBorder="1" applyFont="1">
      <alignment horizontal="center" shrinkToFit="0" vertical="center" wrapText="0"/>
    </xf>
    <xf borderId="57" fillId="8" fontId="32" numFmtId="4" xfId="0" applyAlignment="1" applyBorder="1" applyFont="1" applyNumberFormat="1">
      <alignment horizontal="center" shrinkToFit="0" vertical="center" wrapText="1"/>
    </xf>
    <xf borderId="55" fillId="14" fontId="101" numFmtId="0" xfId="0" applyAlignment="1" applyBorder="1" applyFont="1">
      <alignment shrinkToFit="0" vertical="center" wrapText="0"/>
    </xf>
    <xf borderId="57" fillId="8" fontId="102" numFmtId="4" xfId="0" applyAlignment="1" applyBorder="1" applyFont="1" applyNumberFormat="1">
      <alignment horizontal="center" vertical="center"/>
    </xf>
    <xf borderId="55" fillId="14" fontId="98" numFmtId="0" xfId="0" applyAlignment="1" applyBorder="1" applyFont="1">
      <alignment horizontal="left" shrinkToFit="0" vertical="center" wrapText="0"/>
    </xf>
    <xf borderId="58" fillId="8" fontId="103" numFmtId="4" xfId="0" applyAlignment="1" applyBorder="1" applyFont="1" applyNumberFormat="1">
      <alignment horizontal="center" shrinkToFit="0" vertical="center" wrapText="1"/>
    </xf>
    <xf borderId="55" fillId="14" fontId="98" numFmtId="0" xfId="0" applyAlignment="1" applyBorder="1" applyFont="1">
      <alignment horizontal="center" shrinkToFit="0" vertical="center" wrapText="0"/>
    </xf>
    <xf borderId="59" fillId="8" fontId="100" numFmtId="0" xfId="0" applyAlignment="1" applyBorder="1" applyFont="1">
      <alignment shrinkToFit="0" wrapText="1"/>
    </xf>
    <xf borderId="55" fillId="14" fontId="98" numFmtId="0" xfId="0" applyAlignment="1" applyBorder="1" applyFont="1">
      <alignment horizontal="left" vertical="center"/>
    </xf>
    <xf borderId="52" fillId="8" fontId="32" numFmtId="4" xfId="0" applyAlignment="1" applyBorder="1" applyFont="1" applyNumberFormat="1">
      <alignment horizontal="center" shrinkToFit="0" vertical="center" wrapText="1"/>
    </xf>
    <xf borderId="0" fillId="2" fontId="104" numFmtId="0" xfId="0" applyAlignment="1" applyFont="1">
      <alignment horizontal="left" vertical="center"/>
    </xf>
    <xf borderId="52" fillId="8" fontId="102" numFmtId="4" xfId="0" applyAlignment="1" applyBorder="1" applyFont="1" applyNumberFormat="1">
      <alignment horizontal="center" vertical="center"/>
    </xf>
    <xf borderId="0" fillId="0" fontId="64" numFmtId="0" xfId="0" applyAlignment="1" applyFont="1">
      <alignment horizontal="left" shrinkToFit="0" vertical="center" wrapText="1"/>
    </xf>
    <xf borderId="60" fillId="8" fontId="103" numFmtId="4" xfId="0" applyAlignment="1" applyBorder="1" applyFont="1" applyNumberFormat="1">
      <alignment horizontal="center" shrinkToFit="0" vertical="center" wrapText="1"/>
    </xf>
    <xf borderId="0" fillId="2" fontId="105" numFmtId="3" xfId="0" applyAlignment="1" applyFont="1" applyNumberFormat="1">
      <alignment shrinkToFit="0" vertical="center" wrapText="1"/>
    </xf>
    <xf borderId="0" fillId="0" fontId="8" numFmtId="0" xfId="0" applyAlignment="1" applyFont="1">
      <alignment shrinkToFit="0" wrapText="1"/>
    </xf>
    <xf borderId="61" fillId="2" fontId="38" numFmtId="4" xfId="0" applyAlignment="1" applyBorder="1" applyFont="1" applyNumberFormat="1">
      <alignment horizontal="center" vertical="center"/>
    </xf>
    <xf borderId="0" fillId="0" fontId="97" numFmtId="0" xfId="0" applyAlignment="1" applyFont="1">
      <alignment horizontal="center"/>
    </xf>
    <xf borderId="62" fillId="2" fontId="90" numFmtId="4" xfId="0" applyAlignment="1" applyBorder="1" applyFont="1" applyNumberFormat="1">
      <alignment horizontal="center" vertical="center"/>
    </xf>
    <xf borderId="0" fillId="0" fontId="8" numFmtId="4" xfId="0" applyFont="1" applyNumberFormat="1"/>
    <xf borderId="0" fillId="0" fontId="8" numFmtId="4" xfId="0" applyAlignment="1" applyFont="1" applyNumberFormat="1">
      <alignment horizontal="center" vertical="center"/>
    </xf>
    <xf borderId="0" fillId="0" fontId="106" numFmtId="4" xfId="0" applyAlignment="1" applyFont="1" applyNumberFormat="1">
      <alignment horizontal="center" readingOrder="0" vertical="center"/>
    </xf>
    <xf borderId="0" fillId="2" fontId="83" numFmtId="4" xfId="0" applyAlignment="1" applyFont="1" applyNumberFormat="1">
      <alignment horizontal="center" readingOrder="0" shrinkToFit="0" vertical="center" wrapText="0"/>
    </xf>
    <xf borderId="0" fillId="2" fontId="107" numFmtId="2" xfId="0" applyAlignment="1" applyFont="1" applyNumberFormat="1">
      <alignment shrinkToFit="0" vertical="center" wrapText="0"/>
    </xf>
    <xf borderId="63" fillId="8" fontId="100" numFmtId="0" xfId="0" applyAlignment="1" applyBorder="1" applyFont="1">
      <alignment shrinkToFit="0" wrapText="1"/>
    </xf>
    <xf borderId="0" fillId="2" fontId="108" numFmtId="4" xfId="0" applyAlignment="1" applyFont="1" applyNumberFormat="1">
      <alignment horizontal="left" shrinkToFit="0" vertical="center" wrapText="0"/>
    </xf>
    <xf borderId="64" fillId="8" fontId="32" numFmtId="4" xfId="0" applyAlignment="1" applyBorder="1" applyFont="1" applyNumberFormat="1">
      <alignment horizontal="center" shrinkToFit="0" vertical="center" wrapText="1"/>
    </xf>
    <xf borderId="64" fillId="8" fontId="102" numFmtId="4" xfId="0" applyAlignment="1" applyBorder="1" applyFont="1" applyNumberFormat="1">
      <alignment horizontal="center" vertical="center"/>
    </xf>
    <xf borderId="0" fillId="2" fontId="108" numFmtId="0" xfId="0" applyAlignment="1" applyFont="1">
      <alignment horizontal="center" shrinkToFit="0" vertical="center" wrapText="0"/>
    </xf>
    <xf borderId="65" fillId="8" fontId="103" numFmtId="4" xfId="0" applyAlignment="1" applyBorder="1" applyFont="1" applyNumberFormat="1">
      <alignment horizontal="center" shrinkToFit="0" vertical="center" wrapText="1"/>
    </xf>
    <xf borderId="0" fillId="0" fontId="15" numFmtId="0" xfId="0" applyFont="1"/>
    <xf borderId="66" fillId="8" fontId="100" numFmtId="0" xfId="0" applyAlignment="1" applyBorder="1" applyFont="1">
      <alignment shrinkToFit="0" wrapText="1"/>
    </xf>
    <xf borderId="0" fillId="2" fontId="108" numFmtId="0" xfId="0" applyAlignment="1" applyFont="1">
      <alignment horizontal="left" shrinkToFit="0" vertical="center" wrapText="0"/>
    </xf>
    <xf borderId="67" fillId="8" fontId="32" numFmtId="4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vertical="center"/>
    </xf>
    <xf borderId="67" fillId="8" fontId="102" numFmtId="4" xfId="0" applyAlignment="1" applyBorder="1" applyFont="1" applyNumberFormat="1">
      <alignment horizontal="center" vertical="center"/>
    </xf>
    <xf borderId="0" fillId="2" fontId="108" numFmtId="0" xfId="0" applyAlignment="1" applyFont="1">
      <alignment horizontal="left" vertical="center"/>
    </xf>
    <xf borderId="68" fillId="8" fontId="100" numFmtId="0" xfId="0" applyAlignment="1" applyBorder="1" applyFont="1">
      <alignment shrinkToFit="0" wrapText="1"/>
    </xf>
    <xf borderId="69" fillId="8" fontId="32" numFmtId="4" xfId="0" applyAlignment="1" applyBorder="1" applyFont="1" applyNumberFormat="1">
      <alignment horizontal="center" shrinkToFit="0" vertical="center" wrapText="1"/>
    </xf>
    <xf borderId="69" fillId="8" fontId="102" numFmtId="4" xfId="0" applyAlignment="1" applyBorder="1" applyFont="1" applyNumberFormat="1">
      <alignment horizontal="center" vertical="center"/>
    </xf>
    <xf borderId="0" fillId="2" fontId="83" numFmtId="4" xfId="0" applyAlignment="1" applyFont="1" applyNumberFormat="1">
      <alignment horizontal="center" shrinkToFit="0" vertical="center" wrapText="0"/>
    </xf>
    <xf borderId="70" fillId="8" fontId="103" numFmtId="4" xfId="0" applyAlignment="1" applyBorder="1" applyFont="1" applyNumberFormat="1">
      <alignment horizontal="center" shrinkToFit="0" vertical="center" wrapText="1"/>
    </xf>
    <xf borderId="0" fillId="5" fontId="8" numFmtId="0" xfId="0" applyAlignment="1" applyFont="1">
      <alignment shrinkToFit="0" vertical="center" wrapText="1"/>
    </xf>
    <xf borderId="0" fillId="2" fontId="105" numFmtId="3" xfId="0" applyAlignment="1" applyFont="1" applyNumberFormat="1">
      <alignment readingOrder="0" shrinkToFit="0" vertical="center" wrapText="1"/>
    </xf>
    <xf borderId="0" fillId="15" fontId="99" numFmtId="0" xfId="0" applyAlignment="1" applyFill="1" applyFont="1">
      <alignment shrinkToFit="0" wrapText="1"/>
    </xf>
    <xf borderId="0" fillId="15" fontId="97" numFmtId="0" xfId="0" applyAlignment="1" applyFont="1">
      <alignment horizontal="center"/>
    </xf>
    <xf borderId="0" fillId="2" fontId="109" numFmtId="0" xfId="0" applyAlignment="1" applyFont="1">
      <alignment shrinkToFit="0" vertical="center" wrapText="0"/>
    </xf>
    <xf borderId="52" fillId="15" fontId="102" numFmtId="4" xfId="0" applyAlignment="1" applyBorder="1" applyFont="1" applyNumberFormat="1">
      <alignment horizontal="center" shrinkToFit="0" vertical="center" wrapText="0"/>
    </xf>
    <xf borderId="60" fillId="15" fontId="103" numFmtId="4" xfId="0" applyAlignment="1" applyBorder="1" applyFont="1" applyNumberFormat="1">
      <alignment horizontal="center" shrinkToFit="0" vertical="center" wrapText="1"/>
    </xf>
    <xf borderId="0" fillId="8" fontId="102" numFmtId="0" xfId="0" applyAlignment="1" applyFont="1">
      <alignment shrinkToFit="0" wrapText="0"/>
    </xf>
    <xf borderId="0" fillId="8" fontId="102" numFmtId="0" xfId="0" applyAlignment="1" applyFont="1">
      <alignment shrinkToFit="0" wrapText="1"/>
    </xf>
    <xf borderId="0" fillId="8" fontId="102" numFmtId="4" xfId="0" applyAlignment="1" applyFont="1" applyNumberFormat="1">
      <alignment horizontal="center" vertical="center"/>
    </xf>
    <xf borderId="0" fillId="0" fontId="110" numFmtId="4" xfId="0" applyAlignment="1" applyFont="1" applyNumberFormat="1">
      <alignment horizontal="left" shrinkToFit="0" wrapText="0"/>
    </xf>
    <xf borderId="0" fillId="0" fontId="8" numFmtId="0" xfId="0" applyAlignment="1" applyFont="1">
      <alignment shrinkToFit="0" wrapText="0"/>
    </xf>
    <xf borderId="71" fillId="16" fontId="111" numFmtId="0" xfId="0" applyAlignment="1" applyBorder="1" applyFill="1" applyFont="1">
      <alignment horizontal="center" readingOrder="0" vertical="top"/>
    </xf>
    <xf borderId="71" fillId="0" fontId="8" numFmtId="0" xfId="0" applyBorder="1" applyFont="1"/>
    <xf borderId="0" fillId="0" fontId="112" numFmtId="0" xfId="0" applyFont="1"/>
    <xf borderId="0" fillId="0" fontId="113" numFmtId="0" xfId="0" applyAlignment="1" applyFont="1">
      <alignment horizontal="center" readingOrder="0" shrinkToFit="0" vertical="top" wrapText="1"/>
    </xf>
    <xf borderId="0" fillId="0" fontId="11" numFmtId="0" xfId="0" applyAlignment="1" applyFont="1">
      <alignment horizontal="right" readingOrder="0" shrinkToFit="0" vertical="center" wrapText="1"/>
    </xf>
    <xf borderId="0" fillId="0" fontId="114" numFmtId="0" xfId="0" applyAlignment="1" applyFont="1">
      <alignment horizontal="right" readingOrder="0" shrinkToFit="0" vertical="center" wrapText="1"/>
    </xf>
    <xf borderId="0" fillId="0" fontId="115" numFmtId="0" xfId="0" applyAlignment="1" applyFont="1">
      <alignment horizontal="center" shrinkToFit="0" vertical="center" wrapText="1"/>
    </xf>
    <xf borderId="0" fillId="0" fontId="116" numFmtId="0" xfId="0" applyAlignment="1" applyFont="1">
      <alignment horizontal="right" readingOrder="0" shrinkToFit="0" vertical="center" wrapText="1"/>
    </xf>
    <xf borderId="62" fillId="2" fontId="90" numFmtId="0" xfId="0" applyAlignment="1" applyBorder="1" applyFont="1">
      <alignment horizontal="center" vertical="center"/>
    </xf>
    <xf borderId="72" fillId="0" fontId="113" numFmtId="0" xfId="0" applyAlignment="1" applyBorder="1" applyFont="1">
      <alignment horizontal="center" readingOrder="0" shrinkToFit="0" vertical="top" wrapText="1"/>
    </xf>
    <xf borderId="0" fillId="2" fontId="117" numFmtId="0" xfId="0" applyAlignment="1" applyFont="1">
      <alignment shrinkToFit="0" vertical="center" wrapText="0"/>
    </xf>
    <xf borderId="72" fillId="0" fontId="11" numFmtId="0" xfId="0" applyAlignment="1" applyBorder="1" applyFont="1">
      <alignment horizontal="right" readingOrder="0" shrinkToFit="0" vertical="center" wrapText="1"/>
    </xf>
    <xf borderId="72" fillId="0" fontId="114" numFmtId="0" xfId="0" applyAlignment="1" applyBorder="1" applyFont="1">
      <alignment horizontal="right" readingOrder="0" shrinkToFit="0" vertical="center" wrapText="1"/>
    </xf>
    <xf borderId="0" fillId="2" fontId="118" numFmtId="0" xfId="0" applyAlignment="1" applyFont="1">
      <alignment horizontal="right" shrinkToFit="0" vertical="center" wrapText="1"/>
    </xf>
    <xf borderId="72" fillId="0" fontId="119" numFmtId="0" xfId="0" applyAlignment="1" applyBorder="1" applyFont="1">
      <alignment vertical="center"/>
    </xf>
    <xf borderId="62" fillId="2" fontId="90" numFmtId="4" xfId="0" applyAlignment="1" applyBorder="1" applyFont="1" applyNumberFormat="1">
      <alignment horizontal="center" readingOrder="0" vertical="center"/>
    </xf>
    <xf borderId="72" fillId="0" fontId="120" numFmtId="0" xfId="0" applyAlignment="1" applyBorder="1" applyFont="1">
      <alignment horizontal="right" readingOrder="0" shrinkToFit="0" vertical="center" wrapText="1"/>
    </xf>
    <xf borderId="0" fillId="0" fontId="121" numFmtId="0" xfId="0" applyAlignment="1" applyFont="1">
      <alignment horizontal="center" vertical="bottom"/>
    </xf>
    <xf borderId="0" fillId="0" fontId="122" numFmtId="0" xfId="0" applyAlignment="1" applyFont="1">
      <alignment horizontal="center" readingOrder="0" vertical="center"/>
    </xf>
    <xf borderId="0" fillId="0" fontId="123" numFmtId="0" xfId="0" applyAlignment="1" applyFont="1">
      <alignment horizontal="center" readingOrder="0" vertical="center"/>
    </xf>
    <xf borderId="0" fillId="0" fontId="124" numFmtId="0" xfId="0" applyAlignment="1" applyFont="1">
      <alignment horizontal="center" readingOrder="0" vertical="center"/>
    </xf>
    <xf borderId="0" fillId="0" fontId="125" numFmtId="0" xfId="0" applyAlignment="1" applyFont="1">
      <alignment horizontal="center" readingOrder="0" vertical="center"/>
    </xf>
    <xf borderId="0" fillId="0" fontId="126" numFmtId="0" xfId="0" applyAlignment="1" applyFont="1">
      <alignment readingOrder="0"/>
    </xf>
    <xf borderId="0" fillId="6" fontId="62" numFmtId="0" xfId="0" applyAlignment="1" applyFont="1">
      <alignment horizontal="center" vertical="center"/>
    </xf>
    <xf borderId="0" fillId="6" fontId="62" numFmtId="0" xfId="0" applyAlignment="1" applyFont="1">
      <alignment horizontal="center" shrinkToFit="0" vertical="center" wrapText="1"/>
    </xf>
    <xf borderId="0" fillId="6" fontId="127" numFmtId="3" xfId="0" applyAlignment="1" applyFont="1" applyNumberFormat="1">
      <alignment horizontal="center" readingOrder="0" shrinkToFit="0" vertical="center" wrapText="1"/>
    </xf>
    <xf borderId="0" fillId="0" fontId="128" numFmtId="0" xfId="0" applyFont="1"/>
    <xf borderId="0" fillId="8" fontId="129" numFmtId="0" xfId="0" applyAlignment="1" applyFont="1">
      <alignment horizontal="center" vertical="center"/>
    </xf>
    <xf borderId="0" fillId="0" fontId="129" numFmtId="0" xfId="0" applyAlignment="1" applyFont="1">
      <alignment horizontal="center" vertical="center"/>
    </xf>
    <xf borderId="0" fillId="0" fontId="130" numFmtId="0" xfId="0" applyAlignment="1" applyFont="1">
      <alignment horizontal="left" vertical="center"/>
    </xf>
    <xf borderId="0" fillId="0" fontId="130" numFmtId="0" xfId="0" applyAlignment="1" applyFont="1">
      <alignment horizontal="center" vertical="center"/>
    </xf>
    <xf borderId="42" fillId="0" fontId="131" numFmtId="4" xfId="0" applyAlignment="1" applyBorder="1" applyFont="1" applyNumberFormat="1">
      <alignment horizontal="center" readingOrder="0" vertical="bottom"/>
    </xf>
    <xf borderId="15" fillId="0" fontId="132" numFmtId="4" xfId="0" applyAlignment="1" applyBorder="1" applyFont="1" applyNumberFormat="1">
      <alignment horizontal="right" readingOrder="0" vertical="bottom"/>
    </xf>
    <xf borderId="0" fillId="0" fontId="112" numFmtId="0" xfId="0" applyAlignment="1" applyFont="1">
      <alignment horizontal="center"/>
    </xf>
    <xf borderId="0" fillId="2" fontId="64" numFmtId="0" xfId="0" applyAlignment="1" applyFont="1">
      <alignment horizontal="right" shrinkToFit="0" vertical="center" wrapText="1"/>
    </xf>
    <xf borderId="0" fillId="2" fontId="117" numFmtId="4" xfId="0" applyAlignment="1" applyFont="1" applyNumberFormat="1">
      <alignment shrinkToFit="0" vertical="center" wrapText="0"/>
    </xf>
    <xf borderId="0" fillId="2" fontId="8" numFmtId="0" xfId="0" applyAlignment="1" applyFont="1">
      <alignment shrinkToFit="0" vertical="center" wrapText="1"/>
    </xf>
    <xf borderId="0" fillId="8" fontId="2" numFmtId="0" xfId="0" applyAlignment="1" applyFont="1">
      <alignment horizontal="center" vertical="bottom"/>
    </xf>
    <xf borderId="0" fillId="2" fontId="8" numFmtId="0" xfId="0" applyAlignment="1" applyFont="1">
      <alignment horizontal="right" shrinkToFit="0" vertical="center" wrapText="1"/>
    </xf>
    <xf borderId="0" fillId="2" fontId="133" numFmtId="4" xfId="0" applyAlignment="1" applyFont="1" applyNumberFormat="1">
      <alignment shrinkToFit="0" vertical="center" wrapText="0"/>
    </xf>
    <xf borderId="0" fillId="0" fontId="8" numFmtId="0" xfId="0" applyAlignment="1" applyFont="1">
      <alignment shrinkToFit="0" vertical="center" wrapText="1"/>
    </xf>
    <xf borderId="62" fillId="2" fontId="8" numFmtId="4" xfId="0" applyAlignment="1" applyBorder="1" applyFont="1" applyNumberFormat="1">
      <alignment horizontal="center" vertical="center"/>
    </xf>
    <xf borderId="0" fillId="2" fontId="134" numFmtId="0" xfId="0" applyAlignment="1" applyFont="1">
      <alignment shrinkToFit="0" vertical="center" wrapText="0"/>
    </xf>
    <xf borderId="0" fillId="2" fontId="135" numFmtId="4" xfId="0" applyAlignment="1" applyFont="1" applyNumberFormat="1">
      <alignment shrinkToFit="0" vertical="center" wrapText="0"/>
    </xf>
    <xf borderId="0" fillId="12" fontId="129" numFmtId="0" xfId="0" applyAlignment="1" applyFont="1">
      <alignment horizontal="center" vertical="center"/>
    </xf>
    <xf borderId="0" fillId="12" fontId="2" numFmtId="0" xfId="0" applyAlignment="1" applyFont="1">
      <alignment horizontal="center" vertical="bottom"/>
    </xf>
    <xf borderId="0" fillId="0" fontId="136" numFmtId="4" xfId="0" applyAlignment="1" applyFont="1" applyNumberFormat="1">
      <alignment shrinkToFit="0" vertical="center" wrapText="0"/>
    </xf>
    <xf borderId="0" fillId="0" fontId="57" numFmtId="4" xfId="0" applyAlignment="1" applyFont="1" applyNumberFormat="1">
      <alignment horizontal="left" shrinkToFit="0" vertical="center" wrapText="0"/>
    </xf>
    <xf borderId="0" fillId="0" fontId="57" numFmtId="0" xfId="0" applyAlignment="1" applyFont="1">
      <alignment horizontal="center" shrinkToFit="0" vertical="center" wrapText="0"/>
    </xf>
    <xf borderId="0" fillId="0" fontId="57" numFmtId="0" xfId="0" applyAlignment="1" applyFont="1">
      <alignment horizontal="left" shrinkToFit="0" vertical="center" wrapText="0"/>
    </xf>
    <xf borderId="73" fillId="0" fontId="129" numFmtId="0" xfId="0" applyAlignment="1" applyBorder="1" applyFont="1">
      <alignment horizontal="center" vertical="center"/>
    </xf>
    <xf borderId="73" fillId="0" fontId="130" numFmtId="0" xfId="0" applyAlignment="1" applyBorder="1" applyFont="1">
      <alignment horizontal="left" vertical="center"/>
    </xf>
    <xf borderId="73" fillId="0" fontId="130" numFmtId="0" xfId="0" applyAlignment="1" applyBorder="1" applyFont="1">
      <alignment horizontal="center" vertical="center"/>
    </xf>
    <xf borderId="74" fillId="0" fontId="131" numFmtId="4" xfId="0" applyAlignment="1" applyBorder="1" applyFont="1" applyNumberFormat="1">
      <alignment horizontal="center" readingOrder="0" vertical="bottom"/>
    </xf>
    <xf borderId="75" fillId="0" fontId="132" numFmtId="4" xfId="0" applyAlignment="1" applyBorder="1" applyFont="1" applyNumberFormat="1">
      <alignment horizontal="right" readingOrder="0" vertical="bottom"/>
    </xf>
    <xf borderId="0" fillId="2" fontId="104" numFmtId="0" xfId="0" applyAlignment="1" applyFont="1">
      <alignment horizontal="left"/>
    </xf>
    <xf borderId="0" fillId="0" fontId="137" numFmtId="0" xfId="0" applyAlignment="1" applyFont="1">
      <alignment horizontal="center" vertical="center"/>
    </xf>
    <xf borderId="0" fillId="0" fontId="112" numFmtId="0" xfId="0" applyFont="1"/>
    <xf borderId="0" fillId="0" fontId="138" numFmtId="0" xfId="0" applyAlignment="1" applyFont="1">
      <alignment horizontal="center" readingOrder="0" vertical="bottom"/>
    </xf>
    <xf borderId="0" fillId="0" fontId="139" numFmtId="4" xfId="0" applyAlignment="1" applyFont="1" applyNumberFormat="1">
      <alignment horizontal="right" readingOrder="0" vertical="bottom"/>
    </xf>
    <xf borderId="0" fillId="2" fontId="8" numFmtId="0" xfId="0" applyAlignment="1" applyFont="1">
      <alignment shrinkToFit="0" wrapText="1"/>
    </xf>
    <xf borderId="0" fillId="0" fontId="140" numFmtId="4" xfId="0" applyAlignment="1" applyFont="1" applyNumberFormat="1">
      <alignment horizontal="right" readingOrder="0" vertical="bottom"/>
    </xf>
    <xf borderId="0" fillId="2" fontId="105" numFmtId="3" xfId="0" applyAlignment="1" applyFont="1" applyNumberFormat="1">
      <alignment shrinkToFit="0" wrapText="1"/>
    </xf>
    <xf borderId="0" fillId="0" fontId="141" numFmtId="0" xfId="0" applyAlignment="1" applyFont="1">
      <alignment horizontal="center" readingOrder="0" vertical="center"/>
    </xf>
    <xf borderId="61" fillId="2" fontId="38" numFmtId="4" xfId="0" applyAlignment="1" applyBorder="1" applyFont="1" applyNumberFormat="1">
      <alignment horizontal="center"/>
    </xf>
    <xf borderId="62" fillId="2" fontId="8" numFmtId="4" xfId="0" applyAlignment="1" applyBorder="1" applyFont="1" applyNumberFormat="1">
      <alignment horizontal="center"/>
    </xf>
    <xf borderId="0" fillId="0" fontId="106" numFmtId="4" xfId="0" applyAlignment="1" applyFont="1" applyNumberFormat="1">
      <alignment horizontal="center" readingOrder="0" vertical="bottom"/>
    </xf>
    <xf borderId="0" fillId="14" fontId="62" numFmtId="0" xfId="0" applyAlignment="1" applyFont="1">
      <alignment horizontal="center" vertical="center"/>
    </xf>
    <xf borderId="0" fillId="2" fontId="83" numFmtId="0" xfId="0" applyAlignment="1" applyFont="1">
      <alignment horizontal="center" shrinkToFit="0" vertical="center" wrapText="0"/>
    </xf>
    <xf borderId="0" fillId="2" fontId="52" numFmtId="0" xfId="0" applyAlignment="1" applyFont="1">
      <alignment shrinkToFit="0" vertical="center" wrapText="0"/>
    </xf>
    <xf borderId="0" fillId="14" fontId="62" numFmtId="0" xfId="0" applyAlignment="1" applyFont="1">
      <alignment horizontal="center" shrinkToFit="0" vertical="center" wrapText="1"/>
    </xf>
    <xf borderId="0" fillId="14" fontId="127" numFmtId="3" xfId="0" applyAlignment="1" applyFont="1" applyNumberFormat="1">
      <alignment horizontal="center" readingOrder="0" shrinkToFit="0" vertical="center" wrapText="1"/>
    </xf>
    <xf borderId="0" fillId="2" fontId="50" numFmtId="0" xfId="0" applyAlignment="1" applyFont="1">
      <alignment horizontal="left" shrinkToFit="0" vertical="center" wrapText="0"/>
    </xf>
    <xf borderId="0" fillId="2" fontId="94" numFmtId="0" xfId="0" applyAlignment="1" applyFont="1">
      <alignment horizontal="left" shrinkToFit="0" vertical="center" wrapText="0"/>
    </xf>
    <xf borderId="0" fillId="2" fontId="50" numFmtId="0" xfId="0" applyAlignment="1" applyFont="1">
      <alignment horizontal="center" shrinkToFit="0" vertical="center" wrapText="0"/>
    </xf>
    <xf borderId="0" fillId="2" fontId="8" numFmtId="0" xfId="0" applyAlignment="1" applyFont="1">
      <alignment horizontal="left" vertical="center"/>
    </xf>
    <xf borderId="0" fillId="2" fontId="8" numFmtId="165" xfId="0" applyAlignment="1" applyFont="1" applyNumberFormat="1">
      <alignment shrinkToFit="0" wrapText="1"/>
    </xf>
    <xf borderId="0" fillId="0" fontId="83" numFmtId="4" xfId="0" applyAlignment="1" applyFont="1" applyNumberFormat="1">
      <alignment shrinkToFit="0" wrapText="1"/>
    </xf>
    <xf borderId="42" fillId="0" fontId="131" numFmtId="4" xfId="0" applyAlignment="1" applyBorder="1" applyFont="1" applyNumberFormat="1">
      <alignment horizontal="center" readingOrder="0" vertical="center"/>
    </xf>
    <xf borderId="15" fillId="0" fontId="132" numFmtId="4" xfId="0" applyAlignment="1" applyBorder="1" applyFont="1" applyNumberFormat="1">
      <alignment horizontal="right" readingOrder="0" vertical="center"/>
    </xf>
    <xf borderId="0" fillId="8" fontId="87" numFmtId="4" xfId="0" applyAlignment="1" applyFont="1" applyNumberFormat="1">
      <alignment horizontal="center" shrinkToFit="0" vertical="center" wrapText="1"/>
    </xf>
    <xf borderId="76" fillId="0" fontId="93" numFmtId="0" xfId="0" applyAlignment="1" applyBorder="1" applyFont="1">
      <alignment shrinkToFit="0" wrapText="0"/>
    </xf>
    <xf borderId="76" fillId="0" fontId="93" numFmtId="0" xfId="0" applyAlignment="1" applyBorder="1" applyFont="1">
      <alignment shrinkToFit="0" vertical="center" wrapText="0"/>
    </xf>
    <xf borderId="76" fillId="0" fontId="31" numFmtId="4" xfId="0" applyBorder="1" applyFont="1" applyNumberFormat="1"/>
    <xf borderId="77" fillId="0" fontId="131" numFmtId="4" xfId="0" applyAlignment="1" applyBorder="1" applyFont="1" applyNumberFormat="1">
      <alignment horizontal="center" readingOrder="0" vertical="center"/>
    </xf>
    <xf borderId="78" fillId="0" fontId="132" numFmtId="4" xfId="0" applyAlignment="1" applyBorder="1" applyFont="1" applyNumberFormat="1">
      <alignment horizontal="right" readingOrder="0" vertical="center"/>
    </xf>
    <xf borderId="0" fillId="0" fontId="122" numFmtId="0" xfId="0" applyAlignment="1" applyFont="1">
      <alignment horizontal="right" readingOrder="0" vertical="center"/>
    </xf>
    <xf borderId="0" fillId="0" fontId="142" numFmtId="0" xfId="0" applyAlignment="1" applyFont="1">
      <alignment horizontal="center" readingOrder="0" vertical="center"/>
    </xf>
    <xf borderId="0" fillId="0" fontId="126" numFmtId="0" xfId="0" applyAlignment="1" applyFont="1">
      <alignment horizontal="center" readingOrder="0" vertical="center"/>
    </xf>
    <xf borderId="0" fillId="0" fontId="143" numFmtId="0" xfId="0" applyAlignment="1" applyFont="1">
      <alignment horizontal="center" readingOrder="0" vertical="center"/>
    </xf>
    <xf borderId="13" fillId="6" fontId="62" numFmtId="0" xfId="0" applyAlignment="1" applyBorder="1" applyFont="1">
      <alignment horizontal="center" vertical="center"/>
    </xf>
    <xf borderId="13" fillId="6" fontId="22" numFmtId="0" xfId="0" applyAlignment="1" applyBorder="1" applyFont="1">
      <alignment horizontal="center" readingOrder="0" shrinkToFit="0" vertical="center" wrapText="1"/>
    </xf>
    <xf borderId="13" fillId="6" fontId="22" numFmtId="0" xfId="0" applyAlignment="1" applyBorder="1" applyFont="1">
      <alignment horizontal="center" readingOrder="0" vertical="center"/>
    </xf>
    <xf borderId="13" fillId="6" fontId="127" numFmtId="3" xfId="0" applyAlignment="1" applyBorder="1" applyFont="1" applyNumberFormat="1">
      <alignment horizontal="center" readingOrder="0" shrinkToFit="0" vertical="center" wrapText="1"/>
    </xf>
    <xf borderId="0" fillId="8" fontId="144" numFmtId="0" xfId="0" applyAlignment="1" applyFont="1">
      <alignment horizontal="center" vertical="center"/>
    </xf>
    <xf borderId="42" fillId="8" fontId="145" numFmtId="4" xfId="0" applyAlignment="1" applyBorder="1" applyFont="1" applyNumberFormat="1">
      <alignment horizontal="right" readingOrder="0" vertical="bottom"/>
    </xf>
    <xf borderId="15" fillId="8" fontId="145" numFmtId="4" xfId="0" applyAlignment="1" applyBorder="1" applyFont="1" applyNumberFormat="1">
      <alignment horizontal="right" readingOrder="0" vertical="bottom"/>
    </xf>
    <xf borderId="0" fillId="0" fontId="127" numFmtId="0" xfId="0" applyAlignment="1" applyFont="1">
      <alignment horizontal="center" vertical="center"/>
    </xf>
    <xf borderId="0" fillId="0" fontId="130" numFmtId="164" xfId="0" applyAlignment="1" applyFont="1" applyNumberFormat="1">
      <alignment horizontal="left" readingOrder="0" shrinkToFit="0" vertical="bottom" wrapText="0"/>
    </xf>
    <xf borderId="0" fillId="0" fontId="130" numFmtId="0" xfId="0" applyAlignment="1" applyFont="1">
      <alignment horizontal="center" readingOrder="0" vertical="bottom"/>
    </xf>
    <xf borderId="0" fillId="0" fontId="24" numFmtId="0" xfId="0" applyAlignment="1" applyFont="1">
      <alignment horizontal="center" readingOrder="0" vertical="center"/>
    </xf>
    <xf borderId="0" fillId="8" fontId="144" numFmtId="164" xfId="0" applyAlignment="1" applyFont="1" applyNumberFormat="1">
      <alignment horizontal="center" vertical="center"/>
    </xf>
    <xf borderId="42" fillId="8" fontId="144" numFmtId="4" xfId="0" applyAlignment="1" applyBorder="1" applyFont="1" applyNumberFormat="1">
      <alignment horizontal="center" readingOrder="0" vertical="bottom"/>
    </xf>
    <xf borderId="0" fillId="0" fontId="146" numFmtId="0" xfId="0" applyAlignment="1" applyFont="1">
      <alignment horizontal="center" vertical="center"/>
    </xf>
    <xf borderId="0" fillId="0" fontId="147" numFmtId="0" xfId="0" applyAlignment="1" applyFont="1">
      <alignment horizontal="center" readingOrder="0" vertical="center"/>
    </xf>
    <xf borderId="0" fillId="0" fontId="130" numFmtId="9" xfId="0" applyAlignment="1" applyFont="1" applyNumberFormat="1">
      <alignment horizontal="center" readingOrder="0" vertical="bottom"/>
    </xf>
    <xf borderId="73" fillId="0" fontId="147" numFmtId="0" xfId="0" applyAlignment="1" applyBorder="1" applyFont="1">
      <alignment horizontal="center" readingOrder="0" vertical="center"/>
    </xf>
    <xf borderId="73" fillId="0" fontId="130" numFmtId="164" xfId="0" applyAlignment="1" applyBorder="1" applyFont="1" applyNumberFormat="1">
      <alignment horizontal="left" readingOrder="0" shrinkToFit="0" vertical="bottom" wrapText="0"/>
    </xf>
    <xf borderId="73" fillId="0" fontId="130" numFmtId="9" xfId="0" applyAlignment="1" applyBorder="1" applyFont="1" applyNumberFormat="1">
      <alignment horizontal="center" readingOrder="0" vertical="bottom"/>
    </xf>
    <xf borderId="0" fillId="0" fontId="138" numFmtId="164" xfId="0" applyAlignment="1" applyFont="1" applyNumberFormat="1">
      <alignment horizontal="center" readingOrder="0" shrinkToFit="0" vertical="bottom" wrapText="0"/>
    </xf>
    <xf borderId="0" fillId="0" fontId="138" numFmtId="164" xfId="0" applyAlignment="1" applyFont="1" applyNumberFormat="1">
      <alignment horizontal="left" readingOrder="0" shrinkToFit="0" vertical="bottom" wrapText="0"/>
    </xf>
    <xf borderId="79" fillId="0" fontId="122" numFmtId="0" xfId="0" applyAlignment="1" applyBorder="1" applyFont="1">
      <alignment horizontal="center" readingOrder="0" vertical="center"/>
    </xf>
    <xf borderId="80" fillId="0" fontId="148" numFmtId="0" xfId="0" applyAlignment="1" applyBorder="1" applyFont="1">
      <alignment horizontal="center" readingOrder="0" vertical="center"/>
    </xf>
    <xf borderId="79" fillId="0" fontId="149" numFmtId="0" xfId="0" applyAlignment="1" applyBorder="1" applyFont="1">
      <alignment horizontal="center" readingOrder="0" vertical="center"/>
    </xf>
    <xf borderId="80" fillId="0" fontId="149" numFmtId="0" xfId="0" applyAlignment="1" applyBorder="1" applyFont="1">
      <alignment horizontal="center" readingOrder="0" vertical="center"/>
    </xf>
    <xf borderId="81" fillId="0" fontId="112" numFmtId="0" xfId="0" applyBorder="1" applyFont="1"/>
    <xf borderId="52" fillId="6" fontId="62" numFmtId="0" xfId="0" applyAlignment="1" applyBorder="1" applyFont="1">
      <alignment horizontal="center" vertical="center"/>
    </xf>
    <xf borderId="52" fillId="6" fontId="62" numFmtId="165" xfId="0" applyAlignment="1" applyBorder="1" applyFont="1" applyNumberFormat="1">
      <alignment horizontal="center" shrinkToFit="0" vertical="center" wrapText="1"/>
    </xf>
    <xf borderId="52" fillId="6" fontId="62" numFmtId="3" xfId="0" applyAlignment="1" applyBorder="1" applyFont="1" applyNumberFormat="1">
      <alignment horizontal="center" readingOrder="0" shrinkToFit="0" vertical="center" wrapText="1"/>
    </xf>
    <xf borderId="52" fillId="6" fontId="127" numFmtId="4" xfId="0" applyAlignment="1" applyBorder="1" applyFont="1" applyNumberFormat="1">
      <alignment horizontal="center" shrinkToFit="0" vertical="center" wrapText="1"/>
    </xf>
    <xf borderId="52" fillId="6" fontId="127" numFmtId="3" xfId="0" applyAlignment="1" applyBorder="1" applyFont="1" applyNumberFormat="1">
      <alignment horizontal="center" shrinkToFit="0" vertical="center" wrapText="1"/>
    </xf>
    <xf borderId="82" fillId="0" fontId="112" numFmtId="0" xfId="0" applyAlignment="1" applyBorder="1" applyFont="1">
      <alignment vertical="center"/>
    </xf>
    <xf borderId="0" fillId="14" fontId="24" numFmtId="0" xfId="0" applyAlignment="1" applyFont="1">
      <alignment horizontal="center" vertical="center"/>
    </xf>
    <xf borderId="83" fillId="14" fontId="22" numFmtId="0" xfId="0" applyAlignment="1" applyBorder="1" applyFont="1">
      <alignment shrinkToFit="0" vertical="center" wrapText="1"/>
    </xf>
    <xf borderId="83" fillId="14" fontId="62" numFmtId="0" xfId="0" applyAlignment="1" applyBorder="1" applyFont="1">
      <alignment readingOrder="0" shrinkToFit="0" vertical="center" wrapText="1"/>
    </xf>
    <xf borderId="83" fillId="14" fontId="62" numFmtId="4" xfId="0" applyAlignment="1" applyBorder="1" applyFont="1" applyNumberFormat="1">
      <alignment vertical="center"/>
    </xf>
    <xf borderId="83" fillId="14" fontId="62" numFmtId="0" xfId="0" applyAlignment="1" applyBorder="1" applyFont="1">
      <alignment vertical="center"/>
    </xf>
    <xf borderId="84" fillId="14" fontId="150" numFmtId="0" xfId="0" applyAlignment="1" applyBorder="1" applyFont="1">
      <alignment vertical="center"/>
    </xf>
    <xf borderId="0" fillId="2" fontId="15" numFmtId="0" xfId="0" applyAlignment="1" applyFont="1">
      <alignment horizontal="center" vertical="center"/>
    </xf>
    <xf borderId="0" fillId="0" fontId="119" numFmtId="0" xfId="0" applyAlignment="1" applyFont="1">
      <alignment horizontal="left" shrinkToFit="0" vertical="center" wrapText="1"/>
    </xf>
    <xf borderId="0" fillId="2" fontId="35" numFmtId="3" xfId="0" applyAlignment="1" applyFont="1" applyNumberFormat="1">
      <alignment shrinkToFit="0" vertical="center" wrapText="1"/>
    </xf>
    <xf borderId="85" fillId="2" fontId="151" numFmtId="4" xfId="0" applyAlignment="1" applyBorder="1" applyFont="1" applyNumberFormat="1">
      <alignment horizontal="center" vertical="center"/>
    </xf>
    <xf borderId="86" fillId="2" fontId="130" numFmtId="4" xfId="0" applyAlignment="1" applyBorder="1" applyFont="1" applyNumberFormat="1">
      <alignment vertical="center"/>
    </xf>
    <xf borderId="87" fillId="0" fontId="112" numFmtId="0" xfId="0" applyBorder="1" applyFont="1"/>
    <xf borderId="0" fillId="14" fontId="22" numFmtId="0" xfId="0" applyAlignment="1" applyFont="1">
      <alignment shrinkToFit="0" vertical="center" wrapText="1"/>
    </xf>
    <xf borderId="0" fillId="14" fontId="62" numFmtId="0" xfId="0" applyAlignment="1" applyFont="1">
      <alignment readingOrder="0" shrinkToFit="0" vertical="center" wrapText="1"/>
    </xf>
    <xf borderId="85" fillId="14" fontId="152" numFmtId="4" xfId="0" applyAlignment="1" applyBorder="1" applyFont="1" applyNumberFormat="1">
      <alignment vertical="center"/>
    </xf>
    <xf borderId="86" fillId="14" fontId="62" numFmtId="0" xfId="0" applyAlignment="1" applyBorder="1" applyFont="1">
      <alignment vertical="center"/>
    </xf>
    <xf borderId="81" fillId="14" fontId="150" numFmtId="0" xfId="0" applyAlignment="1" applyBorder="1" applyFont="1">
      <alignment vertical="center"/>
    </xf>
    <xf borderId="0" fillId="0" fontId="153" numFmtId="0" xfId="0" applyAlignment="1" applyFont="1">
      <alignment horizontal="center" vertical="center"/>
    </xf>
    <xf borderId="0" fillId="5" fontId="15" numFmtId="0" xfId="0" applyAlignment="1" applyFont="1">
      <alignment shrinkToFit="0" vertical="center" wrapText="1"/>
    </xf>
    <xf borderId="0" fillId="2" fontId="35" numFmtId="4" xfId="0" applyAlignment="1" applyFont="1" applyNumberFormat="1">
      <alignment readingOrder="0" shrinkToFit="0" vertical="center" wrapText="1"/>
    </xf>
    <xf borderId="0" fillId="2" fontId="154" numFmtId="0" xfId="0" applyAlignment="1" applyFont="1">
      <alignment horizontal="center" vertical="center"/>
    </xf>
    <xf borderId="55" fillId="14" fontId="32" numFmtId="0" xfId="0" applyAlignment="1" applyBorder="1" applyFont="1">
      <alignment shrinkToFit="0" vertical="center" wrapText="0"/>
    </xf>
    <xf borderId="0" fillId="2" fontId="104" numFmtId="0" xfId="0" applyAlignment="1" applyFont="1">
      <alignment horizontal="center" vertical="center"/>
    </xf>
    <xf borderId="73" fillId="2" fontId="154" numFmtId="0" xfId="0" applyAlignment="1" applyBorder="1" applyFont="1">
      <alignment horizontal="center" vertical="center"/>
    </xf>
    <xf borderId="73" fillId="2" fontId="8" numFmtId="0" xfId="0" applyAlignment="1" applyBorder="1" applyFont="1">
      <alignment shrinkToFit="0" vertical="center" wrapText="1"/>
    </xf>
    <xf borderId="73" fillId="2" fontId="105" numFmtId="3" xfId="0" applyAlignment="1" applyBorder="1" applyFont="1" applyNumberFormat="1">
      <alignment shrinkToFit="0" vertical="center" wrapText="1"/>
    </xf>
    <xf borderId="88" fillId="2" fontId="38" numFmtId="4" xfId="0" applyAlignment="1" applyBorder="1" applyFont="1" applyNumberFormat="1">
      <alignment horizontal="center" vertical="center"/>
    </xf>
    <xf borderId="89" fillId="2" fontId="8" numFmtId="4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0" fillId="0" fontId="105" numFmtId="3" xfId="0" applyAlignment="1" applyFont="1" applyNumberFormat="1">
      <alignment shrinkToFit="0" vertical="center" wrapText="1"/>
    </xf>
    <xf borderId="0" fillId="0" fontId="38" numFmtId="4" xfId="0" applyAlignment="1" applyFont="1" applyNumberFormat="1">
      <alignment horizontal="center" vertical="center"/>
    </xf>
    <xf borderId="0" fillId="0" fontId="90" numFmtId="4" xfId="0" applyAlignment="1" applyFont="1" applyNumberFormat="1">
      <alignment horizontal="center" readingOrder="0" vertical="center"/>
    </xf>
    <xf borderId="82" fillId="0" fontId="112" numFmtId="0" xfId="0" applyBorder="1" applyFont="1"/>
    <xf borderId="82" fillId="2" fontId="150" numFmtId="0" xfId="0" applyBorder="1" applyFont="1"/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shrinkToFit="0" vertical="center" wrapText="1"/>
    </xf>
    <xf borderId="0" fillId="0" fontId="35" numFmtId="3" xfId="0" applyAlignment="1" applyFont="1" applyNumberFormat="1">
      <alignment shrinkToFit="0" vertical="center" wrapText="1"/>
    </xf>
    <xf borderId="0" fillId="0" fontId="155" numFmtId="4" xfId="0" applyAlignment="1" applyFont="1" applyNumberFormat="1">
      <alignment horizontal="center" vertical="center"/>
    </xf>
    <xf borderId="0" fillId="0" fontId="15" numFmtId="4" xfId="0" applyAlignment="1" applyFont="1" applyNumberFormat="1">
      <alignment vertical="center"/>
    </xf>
    <xf borderId="87" fillId="0" fontId="112" numFmtId="0" xfId="0" applyAlignment="1" applyBorder="1" applyFont="1">
      <alignment horizontal="center"/>
    </xf>
    <xf borderId="81" fillId="0" fontId="112" numFmtId="0" xfId="0" applyAlignment="1" applyBorder="1" applyFont="1">
      <alignment horizontal="center"/>
    </xf>
  </cellXfs>
  <cellStyles count="1">
    <cellStyle xfId="0" name="Normal" builtinId="0"/>
  </cellStyles>
  <dxfs count="5">
    <dxf>
      <font>
        <color rgb="FF999999"/>
      </font>
      <fill>
        <patternFill patternType="none"/>
      </fill>
      <border/>
    </dxf>
    <dxf>
      <font>
        <color rgb="FF434343"/>
      </font>
      <fill>
        <patternFill patternType="none"/>
      </fill>
      <border/>
    </dxf>
    <dxf>
      <font>
        <color rgb="FFCCCCCC"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>
        <color rgb="FFB7B7B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1447800</xdr:colOff>
      <xdr:row>0</xdr:row>
      <xdr:rowOff>95250</xdr:rowOff>
    </xdr:from>
    <xdr:ext cx="619125" cy="1038225"/>
    <xdr:sp>
      <xdr:nvSpPr>
        <xdr:cNvPr id="3" name="Shape 3"/>
        <xdr:cNvSpPr txBox="1"/>
      </xdr:nvSpPr>
      <xdr:spPr>
        <a:xfrm>
          <a:off x="2790825" y="1181100"/>
          <a:ext cx="723900" cy="12573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7349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9600">
              <a:solidFill>
                <a:srgbClr val="CC0000"/>
              </a:solidFill>
            </a:rPr>
            <a:t>!</a:t>
          </a:r>
          <a:endParaRPr b="1" sz="9600">
            <a:solidFill>
              <a:srgbClr val="CC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266825" cy="4381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66675</xdr:colOff>
      <xdr:row>1</xdr:row>
      <xdr:rowOff>9525</xdr:rowOff>
    </xdr:from>
    <xdr:ext cx="1238250" cy="390525"/>
    <xdr:grpSp>
      <xdr:nvGrpSpPr>
        <xdr:cNvPr id="2" name="Shape 2" title="Рисунок"/>
        <xdr:cNvGrpSpPr/>
      </xdr:nvGrpSpPr>
      <xdr:grpSpPr>
        <a:xfrm>
          <a:off x="152400" y="152400"/>
          <a:ext cx="7315198" cy="2282024"/>
          <a:chOff x="152400" y="152400"/>
          <a:chExt cx="7315198" cy="2282024"/>
        </a:xfrm>
      </xdr:grpSpPr>
      <xdr:pic>
        <xdr:nvPicPr>
          <xdr:cNvPr id="4" name="Shape 4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7315198" cy="2282024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fogo.by/index.pl?act=PRODUCT&amp;id=250" TargetMode="External"/><Relationship Id="rId22" Type="http://schemas.openxmlformats.org/officeDocument/2006/relationships/hyperlink" Target="http://fogo.by/index.pl?act=PRODUCT&amp;id=62" TargetMode="External"/><Relationship Id="rId21" Type="http://schemas.openxmlformats.org/officeDocument/2006/relationships/hyperlink" Target="http://fogo.by/index.pl?act=PRODUCT&amp;id=59" TargetMode="External"/><Relationship Id="rId24" Type="http://schemas.openxmlformats.org/officeDocument/2006/relationships/hyperlink" Target="http://isell.by/index.pl?act=PRODUCT&amp;id=295" TargetMode="External"/><Relationship Id="rId23" Type="http://schemas.openxmlformats.org/officeDocument/2006/relationships/hyperlink" Target="http://fogo.by/index.pl?act=PRODUCT&amp;id=236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fogo.by" TargetMode="External"/><Relationship Id="rId3" Type="http://schemas.openxmlformats.org/officeDocument/2006/relationships/hyperlink" Target="http://isell.by/index.pl?act=PRODUCT&amp;id=53" TargetMode="External"/><Relationship Id="rId4" Type="http://schemas.openxmlformats.org/officeDocument/2006/relationships/hyperlink" Target="http://fogo.by/index.pl?act=PRODUCT&amp;id=188" TargetMode="External"/><Relationship Id="rId9" Type="http://schemas.openxmlformats.org/officeDocument/2006/relationships/hyperlink" Target="http://fogo.by/index.pl?act=PRODUCT&amp;id=196" TargetMode="External"/><Relationship Id="rId26" Type="http://schemas.openxmlformats.org/officeDocument/2006/relationships/hyperlink" Target="http://fogo.by/index.pl?act=PRODUCT&amp;id=256" TargetMode="External"/><Relationship Id="rId25" Type="http://schemas.openxmlformats.org/officeDocument/2006/relationships/hyperlink" Target="http://isell.by/index.pl?act=PRODUCT&amp;id=63" TargetMode="External"/><Relationship Id="rId28" Type="http://schemas.openxmlformats.org/officeDocument/2006/relationships/hyperlink" Target="http://fogo.by/index.pl?act=PRODUCT&amp;id=153" TargetMode="External"/><Relationship Id="rId27" Type="http://schemas.openxmlformats.org/officeDocument/2006/relationships/hyperlink" Target="http://fogo.by/index.pl?act=PRODUCT&amp;id=152" TargetMode="External"/><Relationship Id="rId5" Type="http://schemas.openxmlformats.org/officeDocument/2006/relationships/hyperlink" Target="http://fogo.by/index.pl?act=PRODUCT&amp;id=201" TargetMode="External"/><Relationship Id="rId6" Type="http://schemas.openxmlformats.org/officeDocument/2006/relationships/hyperlink" Target="http://fogo.by/index.pl?act=SUBJ&amp;subj=odnofaznye+benzogeneratory&amp;section=benzogeneratory" TargetMode="External"/><Relationship Id="rId29" Type="http://schemas.openxmlformats.org/officeDocument/2006/relationships/hyperlink" Target="http://fogo.by/index.pl?act=PRODUCT&amp;id=239" TargetMode="External"/><Relationship Id="rId7" Type="http://schemas.openxmlformats.org/officeDocument/2006/relationships/hyperlink" Target="http://fogo.by/index.pl?act=PRODUCT&amp;id=189" TargetMode="External"/><Relationship Id="rId8" Type="http://schemas.openxmlformats.org/officeDocument/2006/relationships/hyperlink" Target="http://fogo.by/index.pl?act=PRODUCT&amp;id=234" TargetMode="External"/><Relationship Id="rId31" Type="http://schemas.openxmlformats.org/officeDocument/2006/relationships/hyperlink" Target="http://fogo.by/index.pl?act=PRODUCT&amp;id=242" TargetMode="External"/><Relationship Id="rId30" Type="http://schemas.openxmlformats.org/officeDocument/2006/relationships/hyperlink" Target="http://fogo.by/index.pl?act=PRODUCT&amp;id=240" TargetMode="External"/><Relationship Id="rId11" Type="http://schemas.openxmlformats.org/officeDocument/2006/relationships/hyperlink" Target="http://fogo.by/index.pl?act=PRODUCT&amp;id=214" TargetMode="External"/><Relationship Id="rId33" Type="http://schemas.openxmlformats.org/officeDocument/2006/relationships/hyperlink" Target="http://fogo.by/index.pl?act=PRODUCT&amp;id=210" TargetMode="External"/><Relationship Id="rId10" Type="http://schemas.openxmlformats.org/officeDocument/2006/relationships/hyperlink" Target="http://fogo.by/index.pl?act=PRODUCT&amp;id=191" TargetMode="External"/><Relationship Id="rId32" Type="http://schemas.openxmlformats.org/officeDocument/2006/relationships/hyperlink" Target="http://fogo.by/index.pl?act=PRODUCT&amp;id=241" TargetMode="External"/><Relationship Id="rId13" Type="http://schemas.openxmlformats.org/officeDocument/2006/relationships/hyperlink" Target="http://fogo.by/index.pl?act=PRODUCT&amp;id=194" TargetMode="External"/><Relationship Id="rId35" Type="http://schemas.openxmlformats.org/officeDocument/2006/relationships/hyperlink" Target="http://fogo.by/index.pl?act=PRODUCT&amp;id=212" TargetMode="External"/><Relationship Id="rId12" Type="http://schemas.openxmlformats.org/officeDocument/2006/relationships/hyperlink" Target="http://fogo.by/index.pl?act=PRODUCT&amp;id=193" TargetMode="External"/><Relationship Id="rId34" Type="http://schemas.openxmlformats.org/officeDocument/2006/relationships/hyperlink" Target="http://fogo.by/index.pl?act=PRODUCT&amp;id=211" TargetMode="External"/><Relationship Id="rId15" Type="http://schemas.openxmlformats.org/officeDocument/2006/relationships/hyperlink" Target="http://isell.by/index.pl?act=PRODUCT&amp;id=229" TargetMode="External"/><Relationship Id="rId37" Type="http://schemas.openxmlformats.org/officeDocument/2006/relationships/hyperlink" Target="http://fogo.by/index.pl?act=PRODUCT&amp;id=200" TargetMode="External"/><Relationship Id="rId14" Type="http://schemas.openxmlformats.org/officeDocument/2006/relationships/hyperlink" Target="http://fogo.by/index.pl?act=PRODUCT&amp;id=235" TargetMode="External"/><Relationship Id="rId36" Type="http://schemas.openxmlformats.org/officeDocument/2006/relationships/hyperlink" Target="http://fogo.by/index.pl?act=PRODUCT&amp;id=199" TargetMode="External"/><Relationship Id="rId17" Type="http://schemas.openxmlformats.org/officeDocument/2006/relationships/hyperlink" Target="http://fogo.by/index.pl?act=PRODUCT&amp;id=145" TargetMode="External"/><Relationship Id="rId39" Type="http://schemas.openxmlformats.org/officeDocument/2006/relationships/vmlDrawing" Target="../drawings/vmlDrawing1.vml"/><Relationship Id="rId16" Type="http://schemas.openxmlformats.org/officeDocument/2006/relationships/hyperlink" Target="http://fogo.by/index.pl?act=PRODUCT&amp;id=230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://fogo.by/index.pl?act=PRODUCT&amp;id=237" TargetMode="External"/><Relationship Id="rId18" Type="http://schemas.openxmlformats.org/officeDocument/2006/relationships/hyperlink" Target="http://fogo.by/index.pl?act=PRODUCT&amp;id=14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isell.by/index.pl?act=PRODUCT&amp;id=287" TargetMode="External"/><Relationship Id="rId20" Type="http://schemas.openxmlformats.org/officeDocument/2006/relationships/hyperlink" Target="http://isell.by/index.pl?act=PRODUCT&amp;id=329" TargetMode="External"/><Relationship Id="rId42" Type="http://schemas.openxmlformats.org/officeDocument/2006/relationships/hyperlink" Target="http://isell.by/index.pl?act=PRODUCT&amp;id=302" TargetMode="External"/><Relationship Id="rId41" Type="http://schemas.openxmlformats.org/officeDocument/2006/relationships/hyperlink" Target="http://isell.by/index.pl?act=PRODUCT&amp;id=288" TargetMode="External"/><Relationship Id="rId22" Type="http://schemas.openxmlformats.org/officeDocument/2006/relationships/hyperlink" Target="http://isell.by/index.pl?act=PRODUCT&amp;id=329" TargetMode="External"/><Relationship Id="rId21" Type="http://schemas.openxmlformats.org/officeDocument/2006/relationships/hyperlink" Target="http://isell.by/index.pl?act=PRODUCT&amp;id=347" TargetMode="External"/><Relationship Id="rId43" Type="http://schemas.openxmlformats.org/officeDocument/2006/relationships/drawing" Target="../drawings/drawing4.xml"/><Relationship Id="rId24" Type="http://schemas.openxmlformats.org/officeDocument/2006/relationships/hyperlink" Target="http://isell.by/index.pl?act=PRODUCT&amp;id=328" TargetMode="External"/><Relationship Id="rId23" Type="http://schemas.openxmlformats.org/officeDocument/2006/relationships/hyperlink" Target="http://isell.by/index.pl?act=PRODUCT&amp;id=234" TargetMode="External"/><Relationship Id="rId1" Type="http://schemas.openxmlformats.org/officeDocument/2006/relationships/hyperlink" Target="http://www.isell.by" TargetMode="External"/><Relationship Id="rId2" Type="http://schemas.openxmlformats.org/officeDocument/2006/relationships/hyperlink" Target="http://isell.by/index.pl?act=PRODUCT&amp;id=252" TargetMode="External"/><Relationship Id="rId3" Type="http://schemas.openxmlformats.org/officeDocument/2006/relationships/hyperlink" Target="http://isell.by/index.pl?act=PRODUCT&amp;id=252" TargetMode="External"/><Relationship Id="rId4" Type="http://schemas.openxmlformats.org/officeDocument/2006/relationships/hyperlink" Target="http://isell.by/index.pl?act=PRODUCT&amp;id=353" TargetMode="External"/><Relationship Id="rId9" Type="http://schemas.openxmlformats.org/officeDocument/2006/relationships/hyperlink" Target="http://isell.by/index.pl?act=PRODUCT&amp;id=42" TargetMode="External"/><Relationship Id="rId26" Type="http://schemas.openxmlformats.org/officeDocument/2006/relationships/hyperlink" Target="http://isell.by/index.pl?act=PRODUCT&amp;id=498" TargetMode="External"/><Relationship Id="rId25" Type="http://schemas.openxmlformats.org/officeDocument/2006/relationships/hyperlink" Target="http://isell.by/index.pl?act=PRODUCT&amp;id=198" TargetMode="External"/><Relationship Id="rId28" Type="http://schemas.openxmlformats.org/officeDocument/2006/relationships/hyperlink" Target="http://isell.by/index.pl?act=PRODUCT&amp;id=355" TargetMode="External"/><Relationship Id="rId27" Type="http://schemas.openxmlformats.org/officeDocument/2006/relationships/hyperlink" Target="http://isell.by/index.pl?act=PRODUCT&amp;id=236" TargetMode="External"/><Relationship Id="rId5" Type="http://schemas.openxmlformats.org/officeDocument/2006/relationships/hyperlink" Target="http://isell.by/index.pl?act=PRODUCT&amp;id=353" TargetMode="External"/><Relationship Id="rId6" Type="http://schemas.openxmlformats.org/officeDocument/2006/relationships/hyperlink" Target="http://isell.by/index.pl?act=PRODUCT&amp;id=353" TargetMode="External"/><Relationship Id="rId29" Type="http://schemas.openxmlformats.org/officeDocument/2006/relationships/hyperlink" Target="http://isell.by/index.pl?act=PRODUCT&amp;id=330" TargetMode="External"/><Relationship Id="rId7" Type="http://schemas.openxmlformats.org/officeDocument/2006/relationships/hyperlink" Target="http://isell.by/index.pl?act=PRODUCT&amp;id=353" TargetMode="External"/><Relationship Id="rId8" Type="http://schemas.openxmlformats.org/officeDocument/2006/relationships/hyperlink" Target="http://isell.by/index.pl?act=PRODUCT&amp;id=336" TargetMode="External"/><Relationship Id="rId31" Type="http://schemas.openxmlformats.org/officeDocument/2006/relationships/hyperlink" Target="http://isell.by/index.pl?act=PRODUCT&amp;id=332" TargetMode="External"/><Relationship Id="rId30" Type="http://schemas.openxmlformats.org/officeDocument/2006/relationships/hyperlink" Target="http://isell.by/index.pl?act=PRODUCT&amp;id=331" TargetMode="External"/><Relationship Id="rId11" Type="http://schemas.openxmlformats.org/officeDocument/2006/relationships/hyperlink" Target="http://isell.by/index.pl?act=PRODUCT&amp;id=297" TargetMode="External"/><Relationship Id="rId33" Type="http://schemas.openxmlformats.org/officeDocument/2006/relationships/hyperlink" Target="http://isell.by/index.pl?act=PRODUCT&amp;id=502" TargetMode="External"/><Relationship Id="rId10" Type="http://schemas.openxmlformats.org/officeDocument/2006/relationships/hyperlink" Target="http://isell.by/index.pl?act=PRODUCT&amp;id=312" TargetMode="External"/><Relationship Id="rId32" Type="http://schemas.openxmlformats.org/officeDocument/2006/relationships/hyperlink" Target="http://isell.by/index.pl?act=PRODUCT&amp;id=333" TargetMode="External"/><Relationship Id="rId13" Type="http://schemas.openxmlformats.org/officeDocument/2006/relationships/hyperlink" Target="http://isell.by/index.pl?act=PRODUCT&amp;id=230" TargetMode="External"/><Relationship Id="rId35" Type="http://schemas.openxmlformats.org/officeDocument/2006/relationships/hyperlink" Target="http://isell.by/index.pl?act=PRODUCT&amp;id=502" TargetMode="External"/><Relationship Id="rId12" Type="http://schemas.openxmlformats.org/officeDocument/2006/relationships/hyperlink" Target="http://isell.by/index.pl?act=PRODUCT&amp;id=230" TargetMode="External"/><Relationship Id="rId34" Type="http://schemas.openxmlformats.org/officeDocument/2006/relationships/hyperlink" Target="http://isell.by/index.pl?act=PRODUCT&amp;id=502" TargetMode="External"/><Relationship Id="rId15" Type="http://schemas.openxmlformats.org/officeDocument/2006/relationships/hyperlink" Target="http://isell.by/index.pl?act=PRODUCT&amp;id=137" TargetMode="External"/><Relationship Id="rId37" Type="http://schemas.openxmlformats.org/officeDocument/2006/relationships/hyperlink" Target="http://isell.by/index.pl?act=PRODUCT&amp;id=499" TargetMode="External"/><Relationship Id="rId14" Type="http://schemas.openxmlformats.org/officeDocument/2006/relationships/hyperlink" Target="http://isell.by/index.pl?act=PRODUCT&amp;id=299" TargetMode="External"/><Relationship Id="rId36" Type="http://schemas.openxmlformats.org/officeDocument/2006/relationships/hyperlink" Target="http://isell.by/index.pl?act=PRODUCT&amp;id=502" TargetMode="External"/><Relationship Id="rId17" Type="http://schemas.openxmlformats.org/officeDocument/2006/relationships/hyperlink" Target="http://isell.by/index.pl?act=PRODUCT&amp;id=138" TargetMode="External"/><Relationship Id="rId39" Type="http://schemas.openxmlformats.org/officeDocument/2006/relationships/hyperlink" Target="http://isell.by/index.pl?act=PRODUCT&amp;id=100" TargetMode="External"/><Relationship Id="rId16" Type="http://schemas.openxmlformats.org/officeDocument/2006/relationships/hyperlink" Target="http://isell.by/index.pl?act=PRODUCT&amp;id=497" TargetMode="External"/><Relationship Id="rId38" Type="http://schemas.openxmlformats.org/officeDocument/2006/relationships/hyperlink" Target="http://isell.by/index.pl?act=PRODUCT&amp;id=99" TargetMode="External"/><Relationship Id="rId19" Type="http://schemas.openxmlformats.org/officeDocument/2006/relationships/hyperlink" Target="http://isell.by/index.pl?act=PRODUCT&amp;id=190" TargetMode="External"/><Relationship Id="rId18" Type="http://schemas.openxmlformats.org/officeDocument/2006/relationships/hyperlink" Target="http://isell.by/index.pl?act=PRODUCT&amp;id=232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://www.fogo.by" TargetMode="External"/><Relationship Id="rId3" Type="http://schemas.openxmlformats.org/officeDocument/2006/relationships/hyperlink" Target="http://fogo.by/index.pl?act=PRODUCT&amp;id=231" TargetMode="External"/><Relationship Id="rId4" Type="http://schemas.openxmlformats.org/officeDocument/2006/relationships/hyperlink" Target="http://fogo.by/index.pl?act=PRODUCT&amp;id=231" TargetMode="External"/><Relationship Id="rId5" Type="http://schemas.openxmlformats.org/officeDocument/2006/relationships/hyperlink" Target="http://fogo.by/index.pl?act=PRODUCT&amp;id=232" TargetMode="External"/><Relationship Id="rId6" Type="http://schemas.openxmlformats.org/officeDocument/2006/relationships/hyperlink" Target="http://fogo.by/index.pl?act=PRODUCT&amp;id=232" TargetMode="External"/><Relationship Id="rId7" Type="http://schemas.openxmlformats.org/officeDocument/2006/relationships/drawing" Target="../drawings/drawing5.xml"/><Relationship Id="rId8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go.by" TargetMode="External"/><Relationship Id="rId2" Type="http://schemas.openxmlformats.org/officeDocument/2006/relationships/hyperlink" Target="http://www.isell.by" TargetMode="External"/><Relationship Id="rId3" Type="http://schemas.openxmlformats.org/officeDocument/2006/relationships/hyperlink" Target="http://www.fogo.by" TargetMode="External"/><Relationship Id="rId4" Type="http://schemas.openxmlformats.org/officeDocument/2006/relationships/hyperlink" Target="http://www.fogo.by" TargetMode="External"/><Relationship Id="rId5" Type="http://schemas.openxmlformats.org/officeDocument/2006/relationships/hyperlink" Target="http://www.fogo.by" TargetMode="External"/><Relationship Id="rId6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 outlineLevelRow="1"/>
  <cols>
    <col customWidth="1" min="1" max="1" width="3.0"/>
    <col customWidth="1" min="2" max="2" width="36.14"/>
    <col customWidth="1" min="3" max="3" width="14.14"/>
    <col customWidth="1" min="4" max="4" width="13.29"/>
    <col customWidth="1" min="5" max="6" width="14.86"/>
    <col customWidth="1" hidden="1" min="7" max="7" width="6.71"/>
    <col customWidth="1" min="8" max="8" width="9.57"/>
    <col customWidth="1" min="9" max="9" width="11.29"/>
    <col customWidth="1" min="10" max="10" width="8.14"/>
    <col customWidth="1" min="11" max="11" width="21.71"/>
    <col customWidth="1" min="12" max="12" width="22.29"/>
  </cols>
  <sheetData>
    <row r="1">
      <c r="A1" s="2" t="str">
        <f>IFERROR(__xludf.DUMMYFUNCTION("ImportRange(""https://docs.google.com/spreadsheets/d/1r0lhijDIYDre7zcEkHlxmuKQpLLpFtwEumVe6Xh0n3Q/edit#gid=1404195784"", ""Бензиновые генераторы!A1:e105"")"),"")</f>
        <v/>
      </c>
      <c r="B1" s="7" t="str">
        <f>IFERROR(__xludf.DUMMYFUNCTION("""COMPUTED_VALUE"""),"8 029 666-55-93;           8 033 333-55-96")</f>
        <v>8 029 666-55-93;           8 033 333-55-96</v>
      </c>
      <c r="C1" s="9" t="str">
        <f>IFERROR(__xludf.DUMMYFUNCTION("""COMPUTED_VALUE"""),"www.fogo.by")</f>
        <v>www.fogo.by</v>
      </c>
      <c r="D1" s="13" t="str">
        <f>IFERROR(__xludf.DUMMYFUNCTION("""COMPUTED_VALUE"""),"skype:  isell.by")</f>
        <v>skype:  isell.by</v>
      </c>
      <c r="E1" s="16" t="str">
        <f>IFERROR(__xludf.DUMMYFUNCTION("""COMPUTED_VALUE"""),"Производитель (изготовитель): ")</f>
        <v>Производитель (изготовитель): </v>
      </c>
      <c r="F1" s="22" t="str">
        <f>IFERROR(__xludf.DUMMYFUNCTION("ImportRange(""https://docs.google.com/spreadsheets/d/1r0lhijDIYDre7zcEkHlxmuKQpLLpFtwEumVe6Xh0n3Q/edit#gid=1404195784"", ""Бензиновые генераторы!G1:G105"")"),"Импортер (Сервис):")</f>
        <v>Импортер (Сервис):</v>
      </c>
      <c r="G1" s="24"/>
      <c r="H1" s="26" t="s">
        <v>3</v>
      </c>
      <c r="I1" s="28" t="str">
        <f>IFERROR(__xludf.DUMMYFUNCTION("ImportRange(""https://docs.google.com/spreadsheets/d/1r0lhijDIYDre7zcEkHlxmuKQpLLpFtwEumVe6Xh0n3Q/edit#gid=1404195784"", ""Бензиновые генераторы!i1:i105"")"),"")</f>
        <v/>
      </c>
      <c r="J1" s="30" t="str">
        <f>IFERROR(__xludf.DUMMYFUNCTION("ImportRange(""https://docs.google.com/spreadsheets/d/1r0lhijDIYDre7zcEkHlxmuKQpLLpFtwEumVe6Xh0n3Q/edit#gid=1404195784"", ""Бензиновые генераторы!K1:K105"")"),"")</f>
        <v/>
      </c>
      <c r="K1" s="34" t="str">
        <f>HYPERLINK("https://drive.google.com/drive/folders/0B2JBEVPSDCTuLWJ0dDlqYXNiTG8?usp=sharing","Ссылка на скачивание фотографий генераторов")</f>
        <v>Ссылка на скачивание фотографий генераторов</v>
      </c>
    </row>
    <row r="2">
      <c r="A2" s="24" t="str">
        <f>IFERROR(__xludf.DUMMYFUNCTION("""COMPUTED_VALUE"""),"Арт.")</f>
        <v>Арт.</v>
      </c>
      <c r="B2" s="36" t="str">
        <f>IFERROR(__xludf.DUMMYFUNCTION("""COMPUTED_VALUE"""),"Наименование ")</f>
        <v>Наименование </v>
      </c>
      <c r="C2" s="38" t="str">
        <f>IFERROR(__xludf.DUMMYFUNCTION("""COMPUTED_VALUE"""),"Мощность номинальная")</f>
        <v>Мощность номинальная</v>
      </c>
      <c r="D2" s="42" t="str">
        <f>IFERROR(__xludf.DUMMYFUNCTION("""COMPUTED_VALUE"""),"Двигатель")</f>
        <v>Двигатель</v>
      </c>
      <c r="E2" s="38" t="str">
        <f>IFERROR(__xludf.DUMMYFUNCTION("""COMPUTED_VALUE"""),"Розничная цена с НДС, BYN")</f>
        <v>Розничная цена с НДС, BYN</v>
      </c>
      <c r="F2" s="38" t="str">
        <f>IFERROR(__xludf.DUMMYFUNCTION("""COMPUTED_VALUE"""),"Дилерская цена с НДС, BYN")</f>
        <v>Дилерская цена с НДС, BYN</v>
      </c>
      <c r="G2" s="44"/>
      <c r="H2" s="45" t="s">
        <v>12</v>
      </c>
      <c r="I2" s="47" t="str">
        <f>IFERROR(__xludf.DUMMYFUNCTION("""COMPUTED_VALUE"""),"Наличие")</f>
        <v>Наличие</v>
      </c>
      <c r="J2" s="49" t="str">
        <f>IFERROR(__xludf.DUMMYFUNCTION("""COMPUTED_VALUE"""),"ссылка на сайт")</f>
        <v>ссылка на сайт</v>
      </c>
    </row>
    <row r="3">
      <c r="A3" s="51" t="str">
        <f>IFERROR(__xludf.DUMMYFUNCTION("""COMPUTED_VALUE"""),"")</f>
        <v/>
      </c>
      <c r="B3" s="53" t="str">
        <f>IFERROR(__xludf.DUMMYFUNCTION("""COMPUTED_VALUE"""),"Однофазный генератор 230V IP23")</f>
        <v>Однофазный генератор 230V IP23</v>
      </c>
      <c r="C3" s="55" t="str">
        <f>IFERROR(__xludf.DUMMYFUNCTION("""COMPUTED_VALUE"""),"")</f>
        <v/>
      </c>
      <c r="D3" s="55" t="str">
        <f>IFERROR(__xludf.DUMMYFUNCTION("""COMPUTED_VALUE"""),"")</f>
        <v/>
      </c>
      <c r="E3" s="55" t="str">
        <f>IFERROR(__xludf.DUMMYFUNCTION("""COMPUTED_VALUE"""),"")</f>
        <v/>
      </c>
      <c r="F3" s="55" t="str">
        <f>IFERROR(__xludf.DUMMYFUNCTION("""COMPUTED_VALUE"""),"")</f>
        <v/>
      </c>
      <c r="G3" s="55"/>
      <c r="H3" s="57"/>
      <c r="I3" s="57" t="str">
        <f>IFERROR(__xludf.DUMMYFUNCTION("""COMPUTED_VALUE"""),"")</f>
        <v/>
      </c>
      <c r="J3" s="59" t="str">
        <f>IFERROR(__xludf.DUMMYFUNCTION("""COMPUTED_VALUE"""),"")</f>
        <v/>
      </c>
      <c r="K3" s="61" t="s">
        <v>15</v>
      </c>
      <c r="L3" s="63"/>
    </row>
    <row r="4">
      <c r="A4" s="65" t="str">
        <f>IFERROR(__xludf.DUMMYFUNCTION("""COMPUTED_VALUE"""),"")</f>
        <v/>
      </c>
      <c r="B4" s="67" t="str">
        <f>IFERROR(__xludf.DUMMYFUNCTION("""COMPUTED_VALUE"""),"Бензогенератор Firman SPG 5000")</f>
        <v>Бензогенератор Firman SPG 5000</v>
      </c>
      <c r="C4" s="69" t="str">
        <f>IFERROR(__xludf.DUMMYFUNCTION("""COMPUTED_VALUE"""),"4,0 кВт")</f>
        <v>4,0 кВт</v>
      </c>
      <c r="D4" s="71" t="str">
        <f>IFERROR(__xludf.DUMMYFUNCTION("""COMPUTED_VALUE"""),"SPE 340")</f>
        <v>SPE 340</v>
      </c>
      <c r="E4" s="77">
        <f>IFERROR(__xludf.DUMMYFUNCTION("""COMPUTED_VALUE"""),909.0)</f>
        <v>909</v>
      </c>
      <c r="F4" s="81">
        <f>IFERROR(__xludf.DUMMYFUNCTION("""COMPUTED_VALUE"""),772.65)</f>
        <v>772.65</v>
      </c>
      <c r="G4" s="82"/>
      <c r="H4" s="85">
        <f t="shared" ref="H4:H33" si="1">E4-F4</f>
        <v>136.35</v>
      </c>
      <c r="I4" s="87" t="str">
        <f>IFERROR(__xludf.DUMMYFUNCTION("""COMPUTED_VALUE"""),"под заказ")</f>
        <v>под заказ</v>
      </c>
      <c r="J4" s="89" t="str">
        <f>IFERROR(__xludf.DUMMYFUNCTION("""COMPUTED_VALUE"""),"http://isell.by/index.pl?act=PRODUCT&amp;id=53")</f>
        <v>http://isell.by/index.pl?act=PRODUCT&amp;id=53</v>
      </c>
      <c r="K4" s="91" t="s">
        <v>18</v>
      </c>
      <c r="L4" s="92"/>
    </row>
    <row r="5" ht="15.0" customHeight="1">
      <c r="A5" s="65">
        <f>IFERROR(__xludf.DUMMYFUNCTION("""COMPUTED_VALUE"""),3460.0)</f>
        <v>3460</v>
      </c>
      <c r="B5" s="94" t="str">
        <f>IFERROR(__xludf.DUMMYFUNCTION("""COMPUTED_VALUE"""),"Бензогенератор FOGO FH 2001")</f>
        <v>Бензогенератор FOGO FH 2001</v>
      </c>
      <c r="C5" s="69" t="str">
        <f>IFERROR(__xludf.DUMMYFUNCTION("""COMPUTED_VALUE"""),"2,3 кВт")</f>
        <v>2,3 кВт</v>
      </c>
      <c r="D5" s="71" t="str">
        <f>IFERROR(__xludf.DUMMYFUNCTION("""COMPUTED_VALUE"""),"GX160 HONDA")</f>
        <v>GX160 HONDA</v>
      </c>
      <c r="E5" s="77">
        <f>IFERROR(__xludf.DUMMYFUNCTION("""COMPUTED_VALUE"""),1242.0)</f>
        <v>1242</v>
      </c>
      <c r="F5" s="81">
        <f>IFERROR(__xludf.DUMMYFUNCTION("""COMPUTED_VALUE"""),1055.7)</f>
        <v>1055.7</v>
      </c>
      <c r="G5" s="82"/>
      <c r="H5" s="85">
        <f t="shared" si="1"/>
        <v>186.3</v>
      </c>
      <c r="I5" s="87" t="str">
        <f>IFERROR(__xludf.DUMMYFUNCTION("""COMPUTED_VALUE"""),"в наличии")</f>
        <v>в наличии</v>
      </c>
      <c r="J5" s="89" t="str">
        <f>IFERROR(__xludf.DUMMYFUNCTION("""COMPUTED_VALUE"""),"http://fogo.by/index.pl?act=PRODUCT&amp;id=188")</f>
        <v>http://fogo.by/index.pl?act=PRODUCT&amp;id=188</v>
      </c>
      <c r="K5" s="91" t="s">
        <v>19</v>
      </c>
      <c r="L5" s="96"/>
    </row>
    <row r="6" ht="14.25" customHeight="1">
      <c r="A6" s="65">
        <f>IFERROR(__xludf.DUMMYFUNCTION("""COMPUTED_VALUE"""),4537.0)</f>
        <v>4537</v>
      </c>
      <c r="B6" s="98" t="str">
        <f>IFERROR(__xludf.DUMMYFUNCTION("""COMPUTED_VALUE"""),"Бензогенератор FOGO FH 2001 R")</f>
        <v>Бензогенератор FOGO FH 2001 R</v>
      </c>
      <c r="C6" s="100" t="str">
        <f>IFERROR(__xludf.DUMMYFUNCTION("""COMPUTED_VALUE"""),"2,3 кВт")</f>
        <v>2,3 кВт</v>
      </c>
      <c r="D6" s="102" t="str">
        <f>IFERROR(__xludf.DUMMYFUNCTION("""COMPUTED_VALUE"""),"GX160 HONDA")</f>
        <v>GX160 HONDA</v>
      </c>
      <c r="E6" s="104">
        <f>IFERROR(__xludf.DUMMYFUNCTION("""COMPUTED_VALUE"""),1427.0)</f>
        <v>1427</v>
      </c>
      <c r="F6" s="85">
        <f>IFERROR(__xludf.DUMMYFUNCTION("""COMPUTED_VALUE"""),1212.95)</f>
        <v>1212.95</v>
      </c>
      <c r="G6" s="82"/>
      <c r="H6" s="85">
        <f t="shared" si="1"/>
        <v>214.05</v>
      </c>
      <c r="I6" s="87" t="str">
        <f>IFERROR(__xludf.DUMMYFUNCTION("""COMPUTED_VALUE"""),"под заказ")</f>
        <v>под заказ</v>
      </c>
      <c r="J6" s="106" t="str">
        <f>IFERROR(__xludf.DUMMYFUNCTION("""COMPUTED_VALUE"""),"")</f>
        <v/>
      </c>
      <c r="K6" s="108" t="s">
        <v>21</v>
      </c>
      <c r="L6" s="96"/>
    </row>
    <row r="7">
      <c r="A7" s="65">
        <f>IFERROR(__xludf.DUMMYFUNCTION("""COMPUTED_VALUE"""),3842.0)</f>
        <v>3842</v>
      </c>
      <c r="B7" s="94" t="str">
        <f>IFERROR(__xludf.DUMMYFUNCTION("""COMPUTED_VALUE"""),"Бензогенератор FOGO F 3001")</f>
        <v>Бензогенератор FOGO F 3001</v>
      </c>
      <c r="C7" s="69" t="str">
        <f>IFERROR(__xludf.DUMMYFUNCTION("""COMPUTED_VALUE"""),"2,5 кВт")</f>
        <v>2,5 кВт</v>
      </c>
      <c r="D7" s="71" t="str">
        <f>IFERROR(__xludf.DUMMYFUNCTION("""COMPUTED_VALUE"""),"TMH T210")</f>
        <v>TMH T210</v>
      </c>
      <c r="E7" s="77">
        <f>IFERROR(__xludf.DUMMYFUNCTION("""COMPUTED_VALUE"""),912.0)</f>
        <v>912</v>
      </c>
      <c r="F7" s="81">
        <f>IFERROR(__xludf.DUMMYFUNCTION("""COMPUTED_VALUE"""),775.1999999999999)</f>
        <v>775.2</v>
      </c>
      <c r="G7" s="82"/>
      <c r="H7" s="85">
        <f t="shared" si="1"/>
        <v>136.8</v>
      </c>
      <c r="I7" s="87" t="str">
        <f>IFERROR(__xludf.DUMMYFUNCTION("""COMPUTED_VALUE"""),"в наличии")</f>
        <v>в наличии</v>
      </c>
      <c r="J7" s="111" t="str">
        <f>IFERROR(__xludf.DUMMYFUNCTION("""COMPUTED_VALUE"""),"http://fogo.by/index.pl?act=PRODUCT&amp;id=201")</f>
        <v>http://fogo.by/index.pl?act=PRODUCT&amp;id=201</v>
      </c>
      <c r="K7" s="108" t="s">
        <v>22</v>
      </c>
      <c r="L7" s="96"/>
    </row>
    <row r="8" ht="12.75" customHeight="1" collapsed="1">
      <c r="A8" s="65">
        <f>IFERROR(__xludf.DUMMYFUNCTION("""COMPUTED_VALUE"""),4538.0)</f>
        <v>4538</v>
      </c>
      <c r="B8" s="98" t="str">
        <f>IFERROR(__xludf.DUMMYFUNCTION("""COMPUTED_VALUE"""),"Бензогенератор FOGO F 3001 R ")</f>
        <v>Бензогенератор FOGO F 3001 R </v>
      </c>
      <c r="C8" s="100" t="str">
        <f>IFERROR(__xludf.DUMMYFUNCTION("""COMPUTED_VALUE"""),"2,5 кВт")</f>
        <v>2,5 кВт</v>
      </c>
      <c r="D8" s="102" t="str">
        <f>IFERROR(__xludf.DUMMYFUNCTION("""COMPUTED_VALUE"""),"TMH T210")</f>
        <v>TMH T210</v>
      </c>
      <c r="E8" s="104">
        <f>IFERROR(__xludf.DUMMYFUNCTION("""COMPUTED_VALUE"""),1096.0)</f>
        <v>1096</v>
      </c>
      <c r="F8" s="85">
        <f>IFERROR(__xludf.DUMMYFUNCTION("""COMPUTED_VALUE"""),931.6)</f>
        <v>931.6</v>
      </c>
      <c r="G8" s="82"/>
      <c r="H8" s="85">
        <f t="shared" si="1"/>
        <v>164.4</v>
      </c>
      <c r="I8" s="87" t="str">
        <f>IFERROR(__xludf.DUMMYFUNCTION("""COMPUTED_VALUE"""),"под заказ")</f>
        <v>под заказ</v>
      </c>
      <c r="J8" s="106" t="str">
        <f>IFERROR(__xludf.DUMMYFUNCTION("""COMPUTED_VALUE"""),"")</f>
        <v/>
      </c>
      <c r="K8" s="92" t="s">
        <v>24</v>
      </c>
      <c r="L8" s="96"/>
    </row>
    <row r="9" ht="5.25" hidden="1" customHeight="1" outlineLevel="1">
      <c r="A9" s="65" t="str">
        <f>IFERROR(__xludf.DUMMYFUNCTION("""COMPUTED_VALUE"""),"")</f>
        <v/>
      </c>
      <c r="B9" s="114" t="str">
        <f>IFERROR(__xludf.DUMMYFUNCTION("""COMPUTED_VALUE"""),"Бензогенератор FOGO F 3001 RE ")</f>
        <v>Бензогенератор FOGO F 3001 RE </v>
      </c>
      <c r="C9" s="115" t="str">
        <f>IFERROR(__xludf.DUMMYFUNCTION("""COMPUTED_VALUE"""),"2,5 кВт")</f>
        <v>2,5 кВт</v>
      </c>
      <c r="D9" s="102" t="str">
        <f>IFERROR(__xludf.DUMMYFUNCTION("""COMPUTED_VALUE"""),"TMH T210")</f>
        <v>TMH T210</v>
      </c>
      <c r="E9" s="116">
        <f>IFERROR(__xludf.DUMMYFUNCTION("""COMPUTED_VALUE"""),1401.0)</f>
        <v>1401</v>
      </c>
      <c r="F9" s="117">
        <f>IFERROR(__xludf.DUMMYFUNCTION("""COMPUTED_VALUE"""),1190.85)</f>
        <v>1190.85</v>
      </c>
      <c r="G9" s="82"/>
      <c r="H9" s="85">
        <f t="shared" si="1"/>
        <v>210.15</v>
      </c>
      <c r="I9" s="87" t="str">
        <f>IFERROR(__xludf.DUMMYFUNCTION("""COMPUTED_VALUE"""),"под заказ")</f>
        <v>под заказ</v>
      </c>
      <c r="J9" s="118" t="str">
        <f>IFERROR(__xludf.DUMMYFUNCTION("""COMPUTED_VALUE"""),"")</f>
        <v/>
      </c>
      <c r="K9" s="119"/>
      <c r="L9" s="96"/>
    </row>
    <row r="10">
      <c r="A10" s="65">
        <f>IFERROR(__xludf.DUMMYFUNCTION("""COMPUTED_VALUE"""),3477.0)</f>
        <v>3477</v>
      </c>
      <c r="B10" s="94" t="str">
        <f>IFERROR(__xludf.DUMMYFUNCTION("""COMPUTED_VALUE"""),"Бензогенератор FOGO FH 3001 ")</f>
        <v>Бензогенератор FOGO FH 3001 </v>
      </c>
      <c r="C10" s="69" t="str">
        <f>IFERROR(__xludf.DUMMYFUNCTION("""COMPUTED_VALUE"""),"2,7 кВт")</f>
        <v>2,7 кВт</v>
      </c>
      <c r="D10" s="71" t="str">
        <f>IFERROR(__xludf.DUMMYFUNCTION("""COMPUTED_VALUE"""),"GX200 HONDA")</f>
        <v>GX200 HONDA</v>
      </c>
      <c r="E10" s="77">
        <f>IFERROR(__xludf.DUMMYFUNCTION("""COMPUTED_VALUE"""),1413.0)</f>
        <v>1413</v>
      </c>
      <c r="F10" s="81">
        <f>IFERROR(__xludf.DUMMYFUNCTION("""COMPUTED_VALUE"""),1201.05)</f>
        <v>1201.05</v>
      </c>
      <c r="G10" s="82"/>
      <c r="H10" s="85">
        <f t="shared" si="1"/>
        <v>211.95</v>
      </c>
      <c r="I10" s="87" t="str">
        <f>IFERROR(__xludf.DUMMYFUNCTION("""COMPUTED_VALUE"""),"под заказ")</f>
        <v>под заказ</v>
      </c>
      <c r="J10" s="111" t="str">
        <f>IFERROR(__xludf.DUMMYFUNCTION("""COMPUTED_VALUE"""),"http://fogo.by/index.pl?act=SUBJ&amp;subj=odnofaznye+benzogeneratory&amp;section=benzogeneratory")</f>
        <v>http://fogo.by/index.pl?act=SUBJ&amp;subj=odnofaznye+benzogeneratory&amp;section=benzogeneratory</v>
      </c>
      <c r="K10" s="92" t="s">
        <v>29</v>
      </c>
      <c r="L10" s="96"/>
    </row>
    <row r="11" ht="12.75" customHeight="1">
      <c r="A11" s="65">
        <f>IFERROR(__xludf.DUMMYFUNCTION("""COMPUTED_VALUE"""),2408.0)</f>
        <v>2408</v>
      </c>
      <c r="B11" s="98" t="str">
        <f>IFERROR(__xludf.DUMMYFUNCTION("""COMPUTED_VALUE"""),"Бензогенератор FOGO FH 3001 R ")</f>
        <v>Бензогенератор FOGO FH 3001 R </v>
      </c>
      <c r="C11" s="100" t="str">
        <f>IFERROR(__xludf.DUMMYFUNCTION("""COMPUTED_VALUE"""),"2,7 кВт")</f>
        <v>2,7 кВт</v>
      </c>
      <c r="D11" s="102" t="str">
        <f>IFERROR(__xludf.DUMMYFUNCTION("""COMPUTED_VALUE"""),"GX200 HONDA")</f>
        <v>GX200 HONDA</v>
      </c>
      <c r="E11" s="121">
        <f>IFERROR(__xludf.DUMMYFUNCTION("""COMPUTED_VALUE"""),1623.0)</f>
        <v>1623</v>
      </c>
      <c r="F11" s="85">
        <f>IFERROR(__xludf.DUMMYFUNCTION("""COMPUTED_VALUE"""),1379.55)</f>
        <v>1379.55</v>
      </c>
      <c r="G11" s="82"/>
      <c r="H11" s="85">
        <f t="shared" si="1"/>
        <v>243.45</v>
      </c>
      <c r="I11" s="87" t="str">
        <f>IFERROR(__xludf.DUMMYFUNCTION("""COMPUTED_VALUE"""),"под заказ")</f>
        <v>под заказ</v>
      </c>
      <c r="J11" s="118" t="str">
        <f>IFERROR(__xludf.DUMMYFUNCTION("""COMPUTED_VALUE"""),"")</f>
        <v/>
      </c>
      <c r="K11" s="119"/>
      <c r="L11" s="96"/>
    </row>
    <row r="12">
      <c r="A12" s="65">
        <f>IFERROR(__xludf.DUMMYFUNCTION("""COMPUTED_VALUE"""),4301.0)</f>
        <v>4301</v>
      </c>
      <c r="B12" s="94" t="str">
        <f>IFERROR(__xludf.DUMMYFUNCTION("""COMPUTED_VALUE"""),"Бензогенератор FOGO FP 3001")</f>
        <v>Бензогенератор FOGO FP 3001</v>
      </c>
      <c r="C12" s="69" t="str">
        <f>IFERROR(__xludf.DUMMYFUNCTION("""COMPUTED_VALUE"""),"2,7 кВт")</f>
        <v>2,7 кВт</v>
      </c>
      <c r="D12" s="71" t="str">
        <f>IFERROR(__xludf.DUMMYFUNCTION("""COMPUTED_VALUE"""),"GP200 HONDA")</f>
        <v>GP200 HONDA</v>
      </c>
      <c r="E12" s="77">
        <f>IFERROR(__xludf.DUMMYFUNCTION("""COMPUTED_VALUE"""),1163.0)</f>
        <v>1163</v>
      </c>
      <c r="F12" s="81">
        <f>IFERROR(__xludf.DUMMYFUNCTION("""COMPUTED_VALUE"""),988.55)</f>
        <v>988.55</v>
      </c>
      <c r="G12" s="82"/>
      <c r="H12" s="85">
        <f t="shared" si="1"/>
        <v>174.45</v>
      </c>
      <c r="I12" s="87" t="str">
        <f>IFERROR(__xludf.DUMMYFUNCTION("""COMPUTED_VALUE"""),"под заказ")</f>
        <v>под заказ</v>
      </c>
      <c r="J12" s="111" t="str">
        <f>IFERROR(__xludf.DUMMYFUNCTION("""COMPUTED_VALUE"""),"http://fogo.by/index.pl?act=PRODUCT&amp;id=189")</f>
        <v>http://fogo.by/index.pl?act=PRODUCT&amp;id=189</v>
      </c>
      <c r="K12" s="124" t="s">
        <v>30</v>
      </c>
      <c r="L12" s="96"/>
    </row>
    <row r="13" ht="13.5" customHeight="1">
      <c r="A13" s="65">
        <f>IFERROR(__xludf.DUMMYFUNCTION("""COMPUTED_VALUE"""),4539.0)</f>
        <v>4539</v>
      </c>
      <c r="B13" s="98" t="str">
        <f>IFERROR(__xludf.DUMMYFUNCTION("""COMPUTED_VALUE"""),"Бензогенератор FOGO FP 3001 R")</f>
        <v>Бензогенератор FOGO FP 3001 R</v>
      </c>
      <c r="C13" s="100" t="str">
        <f>IFERROR(__xludf.DUMMYFUNCTION("""COMPUTED_VALUE"""),"2,7 кВт")</f>
        <v>2,7 кВт</v>
      </c>
      <c r="D13" s="102" t="str">
        <f>IFERROR(__xludf.DUMMYFUNCTION("""COMPUTED_VALUE"""),"GP200 HONDA")</f>
        <v>GP200 HONDA</v>
      </c>
      <c r="E13" s="104">
        <f>IFERROR(__xludf.DUMMYFUNCTION("""COMPUTED_VALUE"""),1343.0)</f>
        <v>1343</v>
      </c>
      <c r="F13" s="85">
        <f>IFERROR(__xludf.DUMMYFUNCTION("""COMPUTED_VALUE"""),1141.55)</f>
        <v>1141.55</v>
      </c>
      <c r="G13" s="82"/>
      <c r="H13" s="85">
        <f t="shared" si="1"/>
        <v>201.45</v>
      </c>
      <c r="I13" s="87" t="str">
        <f>IFERROR(__xludf.DUMMYFUNCTION("""COMPUTED_VALUE"""),"под заказ")</f>
        <v>под заказ</v>
      </c>
      <c r="J13" s="106" t="str">
        <f>IFERROR(__xludf.DUMMYFUNCTION("""COMPUTED_VALUE"""),"")</f>
        <v/>
      </c>
      <c r="K13" s="126" t="s">
        <v>31</v>
      </c>
    </row>
    <row r="14">
      <c r="A14" s="65">
        <f>IFERROR(__xludf.DUMMYFUNCTION("""COMPUTED_VALUE"""),4540.0)</f>
        <v>4540</v>
      </c>
      <c r="B14" s="94" t="str">
        <f>IFERROR(__xludf.DUMMYFUNCTION("""COMPUTED_VALUE"""),"Бензогенератор FOGO FH 4001")</f>
        <v>Бензогенератор FOGO FH 4001</v>
      </c>
      <c r="C14" s="69" t="str">
        <f>IFERROR(__xludf.DUMMYFUNCTION("""COMPUTED_VALUE"""),"3,8 кВт")</f>
        <v>3,8 кВт</v>
      </c>
      <c r="D14" s="71" t="str">
        <f>IFERROR(__xludf.DUMMYFUNCTION("""COMPUTED_VALUE"""),"GX270 HONDA")</f>
        <v>GX270 HONDA</v>
      </c>
      <c r="E14" s="77">
        <f>IFERROR(__xludf.DUMMYFUNCTION("""COMPUTED_VALUE"""),2238.0)</f>
        <v>2238</v>
      </c>
      <c r="F14" s="81">
        <f>IFERROR(__xludf.DUMMYFUNCTION("""COMPUTED_VALUE"""),1902.3)</f>
        <v>1902.3</v>
      </c>
      <c r="G14" s="82"/>
      <c r="H14" s="85">
        <f t="shared" si="1"/>
        <v>335.7</v>
      </c>
      <c r="I14" s="87" t="str">
        <f>IFERROR(__xludf.DUMMYFUNCTION("""COMPUTED_VALUE"""),"в наличии")</f>
        <v>в наличии</v>
      </c>
      <c r="J14" s="111" t="str">
        <f>IFERROR(__xludf.DUMMYFUNCTION("""COMPUTED_VALUE"""),"http://fogo.by/index.pl?act=PRODUCT&amp;id=234")</f>
        <v>http://fogo.by/index.pl?act=PRODUCT&amp;id=234</v>
      </c>
    </row>
    <row r="15" ht="12.75" customHeight="1">
      <c r="A15" s="65" t="str">
        <f>IFERROR(__xludf.DUMMYFUNCTION("""COMPUTED_VALUE"""),"")</f>
        <v/>
      </c>
      <c r="B15" s="98" t="str">
        <f>IFERROR(__xludf.DUMMYFUNCTION("""COMPUTED_VALUE"""),"Бензогенератор FOGO FH 4001 E ")</f>
        <v>Бензогенератор FOGO FH 4001 E </v>
      </c>
      <c r="C15" s="100" t="str">
        <f>IFERROR(__xludf.DUMMYFUNCTION("""COMPUTED_VALUE"""),"3,8 кВт")</f>
        <v>3,8 кВт</v>
      </c>
      <c r="D15" s="102" t="str">
        <f>IFERROR(__xludf.DUMMYFUNCTION("""COMPUTED_VALUE"""),"GX270 HONDA")</f>
        <v>GX270 HONDA</v>
      </c>
      <c r="E15" s="104">
        <f>IFERROR(__xludf.DUMMYFUNCTION("""COMPUTED_VALUE"""),2912.0)</f>
        <v>2912</v>
      </c>
      <c r="F15" s="85">
        <f>IFERROR(__xludf.DUMMYFUNCTION("""COMPUTED_VALUE"""),2475.2)</f>
        <v>2475.2</v>
      </c>
      <c r="G15" s="82"/>
      <c r="H15" s="85">
        <f t="shared" si="1"/>
        <v>436.8</v>
      </c>
      <c r="I15" s="87" t="str">
        <f>IFERROR(__xludf.DUMMYFUNCTION("""COMPUTED_VALUE"""),"в наличии")</f>
        <v>в наличии</v>
      </c>
      <c r="J15" s="106" t="str">
        <f>IFERROR(__xludf.DUMMYFUNCTION("""COMPUTED_VALUE"""),"")</f>
        <v/>
      </c>
    </row>
    <row r="16" ht="12.75" customHeight="1" collapsed="1">
      <c r="A16" s="65">
        <f>IFERROR(__xludf.DUMMYFUNCTION("""COMPUTED_VALUE"""),4541.0)</f>
        <v>4541</v>
      </c>
      <c r="B16" s="98" t="str">
        <f>IFERROR(__xludf.DUMMYFUNCTION("""COMPUTED_VALUE"""),"Бензогенератор FOGO FH 4001 R")</f>
        <v>Бензогенератор FOGO FH 4001 R</v>
      </c>
      <c r="C16" s="100" t="str">
        <f>IFERROR(__xludf.DUMMYFUNCTION("""COMPUTED_VALUE"""),"3,8 кВт")</f>
        <v>3,8 кВт</v>
      </c>
      <c r="D16" s="102" t="str">
        <f>IFERROR(__xludf.DUMMYFUNCTION("""COMPUTED_VALUE"""),"GX270 HONDA")</f>
        <v>GX270 HONDA</v>
      </c>
      <c r="E16" s="104">
        <f>IFERROR(__xludf.DUMMYFUNCTION("""COMPUTED_VALUE"""),2518.0)</f>
        <v>2518</v>
      </c>
      <c r="F16" s="85">
        <f>IFERROR(__xludf.DUMMYFUNCTION("""COMPUTED_VALUE"""),2140.2999999999997)</f>
        <v>2140.3</v>
      </c>
      <c r="G16" s="82"/>
      <c r="H16" s="85">
        <f t="shared" si="1"/>
        <v>377.7</v>
      </c>
      <c r="I16" s="87" t="str">
        <f>IFERROR(__xludf.DUMMYFUNCTION("""COMPUTED_VALUE"""),"под заказ")</f>
        <v>под заказ</v>
      </c>
      <c r="J16" s="131" t="str">
        <f>IFERROR(__xludf.DUMMYFUNCTION("""COMPUTED_VALUE"""),"")</f>
        <v/>
      </c>
      <c r="K16" s="124" t="s">
        <v>32</v>
      </c>
      <c r="L16" s="96"/>
    </row>
    <row r="17" hidden="1" outlineLevel="1">
      <c r="A17" s="65">
        <f>IFERROR(__xludf.DUMMYFUNCTION("""COMPUTED_VALUE"""),4542.0)</f>
        <v>4542</v>
      </c>
      <c r="B17" s="114" t="str">
        <f>IFERROR(__xludf.DUMMYFUNCTION("""COMPUTED_VALUE"""),"Бензогенератор FOGO FH 4001 RE")</f>
        <v>Бензогенератор FOGO FH 4001 RE</v>
      </c>
      <c r="C17" s="115" t="str">
        <f>IFERROR(__xludf.DUMMYFUNCTION("""COMPUTED_VALUE"""),"3,8 кВт")</f>
        <v>3,8 кВт</v>
      </c>
      <c r="D17" s="102" t="str">
        <f>IFERROR(__xludf.DUMMYFUNCTION("""COMPUTED_VALUE"""),"GX270 HONDA")</f>
        <v>GX270 HONDA</v>
      </c>
      <c r="E17" s="116">
        <f>IFERROR(__xludf.DUMMYFUNCTION("""COMPUTED_VALUE"""),3732.0)</f>
        <v>3732</v>
      </c>
      <c r="F17" s="117">
        <f>IFERROR(__xludf.DUMMYFUNCTION("""COMPUTED_VALUE"""),3172.2)</f>
        <v>3172.2</v>
      </c>
      <c r="G17" s="82"/>
      <c r="H17" s="85">
        <f t="shared" si="1"/>
        <v>559.8</v>
      </c>
      <c r="I17" s="87" t="str">
        <f>IFERROR(__xludf.DUMMYFUNCTION("""COMPUTED_VALUE"""),"под заказ")</f>
        <v>под заказ</v>
      </c>
      <c r="J17" s="131" t="str">
        <f>IFERROR(__xludf.DUMMYFUNCTION("""COMPUTED_VALUE"""),"")</f>
        <v/>
      </c>
      <c r="K17" s="96"/>
      <c r="L17" s="96"/>
    </row>
    <row r="18">
      <c r="A18" s="65">
        <f>IFERROR(__xludf.DUMMYFUNCTION("""COMPUTED_VALUE"""),4424.0)</f>
        <v>4424</v>
      </c>
      <c r="B18" s="94" t="str">
        <f>IFERROR(__xludf.DUMMYFUNCTION("""COMPUTED_VALUE"""),"Бензогенератор FOGO FH 5001")</f>
        <v>Бензогенератор FOGO FH 5001</v>
      </c>
      <c r="C18" s="69" t="str">
        <f>IFERROR(__xludf.DUMMYFUNCTION("""COMPUTED_VALUE"""),"4,5 кВт")</f>
        <v>4,5 кВт</v>
      </c>
      <c r="D18" s="71" t="str">
        <f>IFERROR(__xludf.DUMMYFUNCTION("""COMPUTED_VALUE"""),"GX390 HONDA")</f>
        <v>GX390 HONDA</v>
      </c>
      <c r="E18" s="77">
        <f>IFERROR(__xludf.DUMMYFUNCTION("""COMPUTED_VALUE"""),2376.0)</f>
        <v>2376</v>
      </c>
      <c r="F18" s="81">
        <f>IFERROR(__xludf.DUMMYFUNCTION("""COMPUTED_VALUE"""),2019.6)</f>
        <v>2019.6</v>
      </c>
      <c r="G18" s="82"/>
      <c r="H18" s="85">
        <f t="shared" si="1"/>
        <v>356.4</v>
      </c>
      <c r="I18" s="87" t="str">
        <f>IFERROR(__xludf.DUMMYFUNCTION("""COMPUTED_VALUE"""),"в наличии")</f>
        <v>в наличии</v>
      </c>
      <c r="J18" s="137" t="str">
        <f>IFERROR(__xludf.DUMMYFUNCTION("""COMPUTED_VALUE"""),"http://fogo.by/index.pl?act=PRODUCT&amp;id=196")</f>
        <v>http://fogo.by/index.pl?act=PRODUCT&amp;id=196</v>
      </c>
      <c r="K18" s="126" t="s">
        <v>33</v>
      </c>
    </row>
    <row r="19" ht="12.75" customHeight="1">
      <c r="A19" s="65">
        <f>IFERROR(__xludf.DUMMYFUNCTION("""COMPUTED_VALUE"""),2403.0)</f>
        <v>2403</v>
      </c>
      <c r="B19" s="98" t="str">
        <f>IFERROR(__xludf.DUMMYFUNCTION("""COMPUTED_VALUE"""),"Бензогенератор FOGO FH 5001 E ")</f>
        <v>Бензогенератор FOGO FH 5001 E </v>
      </c>
      <c r="C19" s="100" t="str">
        <f>IFERROR(__xludf.DUMMYFUNCTION("""COMPUTED_VALUE"""),"4,5 кВт")</f>
        <v>4,5 кВт</v>
      </c>
      <c r="D19" s="102" t="str">
        <f>IFERROR(__xludf.DUMMYFUNCTION("""COMPUTED_VALUE"""),"GX390 HONDA")</f>
        <v>GX390 HONDA</v>
      </c>
      <c r="E19" s="104">
        <f>IFERROR(__xludf.DUMMYFUNCTION("""COMPUTED_VALUE"""),2970.0)</f>
        <v>2970</v>
      </c>
      <c r="F19" s="85">
        <f>IFERROR(__xludf.DUMMYFUNCTION("""COMPUTED_VALUE"""),2524.5)</f>
        <v>2524.5</v>
      </c>
      <c r="G19" s="82"/>
      <c r="H19" s="85">
        <f t="shared" si="1"/>
        <v>445.5</v>
      </c>
      <c r="I19" s="87" t="str">
        <f>IFERROR(__xludf.DUMMYFUNCTION("""COMPUTED_VALUE"""),"в наличии")</f>
        <v>в наличии</v>
      </c>
      <c r="J19" s="131" t="str">
        <f>IFERROR(__xludf.DUMMYFUNCTION("""COMPUTED_VALUE"""),"")</f>
        <v/>
      </c>
    </row>
    <row r="20" ht="12.75" customHeight="1" collapsed="1">
      <c r="A20" s="65">
        <f>IFERROR(__xludf.DUMMYFUNCTION("""COMPUTED_VALUE"""),2409.0)</f>
        <v>2409</v>
      </c>
      <c r="B20" s="98" t="str">
        <f>IFERROR(__xludf.DUMMYFUNCTION("""COMPUTED_VALUE"""),"Бензогенератор FOGO FH 5001 R ")</f>
        <v>Бензогенератор FOGO FH 5001 R </v>
      </c>
      <c r="C20" s="100" t="str">
        <f>IFERROR(__xludf.DUMMYFUNCTION("""COMPUTED_VALUE"""),"4,5 кВт")</f>
        <v>4,5 кВт</v>
      </c>
      <c r="D20" s="102" t="str">
        <f>IFERROR(__xludf.DUMMYFUNCTION("""COMPUTED_VALUE"""),"GX390 HONDA")</f>
        <v>GX390 HONDA</v>
      </c>
      <c r="E20" s="104">
        <f>IFERROR(__xludf.DUMMYFUNCTION("""COMPUTED_VALUE"""),2711.0)</f>
        <v>2711</v>
      </c>
      <c r="F20" s="85">
        <f>IFERROR(__xludf.DUMMYFUNCTION("""COMPUTED_VALUE"""),2304.35)</f>
        <v>2304.35</v>
      </c>
      <c r="G20" s="82"/>
      <c r="H20" s="85">
        <f t="shared" si="1"/>
        <v>406.65</v>
      </c>
      <c r="I20" s="87" t="str">
        <f>IFERROR(__xludf.DUMMYFUNCTION("""COMPUTED_VALUE"""),"под заказ")</f>
        <v>под заказ</v>
      </c>
      <c r="J20" s="131" t="str">
        <f>IFERROR(__xludf.DUMMYFUNCTION("""COMPUTED_VALUE"""),"")</f>
        <v/>
      </c>
    </row>
    <row r="21" hidden="1" outlineLevel="1">
      <c r="A21" s="65">
        <f>IFERROR(__xludf.DUMMYFUNCTION("""COMPUTED_VALUE"""),2410.0)</f>
        <v>2410</v>
      </c>
      <c r="B21" s="114" t="str">
        <f>IFERROR(__xludf.DUMMYFUNCTION("""COMPUTED_VALUE"""),"Бензогенератор FOGO FH 5001 RE ")</f>
        <v>Бензогенератор FOGO FH 5001 RE </v>
      </c>
      <c r="C21" s="115" t="str">
        <f>IFERROR(__xludf.DUMMYFUNCTION("""COMPUTED_VALUE"""),"4,5 кВт")</f>
        <v>4,5 кВт</v>
      </c>
      <c r="D21" s="102" t="str">
        <f>IFERROR(__xludf.DUMMYFUNCTION("""COMPUTED_VALUE"""),"GX390 HONDA")</f>
        <v>GX390 HONDA</v>
      </c>
      <c r="E21" s="116">
        <f>IFERROR(__xludf.DUMMYFUNCTION("""COMPUTED_VALUE"""),4192.0)</f>
        <v>4192</v>
      </c>
      <c r="F21" s="117">
        <f>IFERROR(__xludf.DUMMYFUNCTION("""COMPUTED_VALUE"""),3563.2)</f>
        <v>3563.2</v>
      </c>
      <c r="G21" s="82"/>
      <c r="H21" s="85">
        <f t="shared" si="1"/>
        <v>628.8</v>
      </c>
      <c r="I21" s="87" t="str">
        <f>IFERROR(__xludf.DUMMYFUNCTION("""COMPUTED_VALUE"""),"под заказ")</f>
        <v>под заказ</v>
      </c>
      <c r="J21" s="131" t="str">
        <f>IFERROR(__xludf.DUMMYFUNCTION("""COMPUTED_VALUE"""),"")</f>
        <v/>
      </c>
    </row>
    <row r="22">
      <c r="A22" s="65">
        <f>IFERROR(__xludf.DUMMYFUNCTION("""COMPUTED_VALUE"""),3719.0)</f>
        <v>3719</v>
      </c>
      <c r="B22" s="94" t="str">
        <f>IFERROR(__xludf.DUMMYFUNCTION("""COMPUTED_VALUE"""),"Бензогенератор FOGO FH 6001")</f>
        <v>Бензогенератор FOGO FH 6001</v>
      </c>
      <c r="C22" s="69" t="str">
        <f>IFERROR(__xludf.DUMMYFUNCTION("""COMPUTED_VALUE"""),"5,6 кВт")</f>
        <v>5,6 кВт</v>
      </c>
      <c r="D22" s="71" t="str">
        <f>IFERROR(__xludf.DUMMYFUNCTION("""COMPUTED_VALUE"""),"GX390 HONDA")</f>
        <v>GX390 HONDA</v>
      </c>
      <c r="E22" s="77">
        <f>IFERROR(__xludf.DUMMYFUNCTION("""COMPUTED_VALUE"""),2472.0)</f>
        <v>2472</v>
      </c>
      <c r="F22" s="81">
        <f>IFERROR(__xludf.DUMMYFUNCTION("""COMPUTED_VALUE"""),2101.2)</f>
        <v>2101.2</v>
      </c>
      <c r="G22" s="82"/>
      <c r="H22" s="85">
        <f t="shared" si="1"/>
        <v>370.8</v>
      </c>
      <c r="I22" s="87" t="str">
        <f>IFERROR(__xludf.DUMMYFUNCTION("""COMPUTED_VALUE"""),"в наличии")</f>
        <v>в наличии</v>
      </c>
      <c r="J22" s="137" t="str">
        <f>IFERROR(__xludf.DUMMYFUNCTION("""COMPUTED_VALUE"""),"http://fogo.by/index.pl?act=PRODUCT&amp;id=191")</f>
        <v>http://fogo.by/index.pl?act=PRODUCT&amp;id=191</v>
      </c>
    </row>
    <row r="23" ht="12.0" customHeight="1">
      <c r="A23" s="65">
        <f>IFERROR(__xludf.DUMMYFUNCTION("""COMPUTED_VALUE"""),3867.0)</f>
        <v>3867</v>
      </c>
      <c r="B23" s="98" t="str">
        <f>IFERROR(__xludf.DUMMYFUNCTION("""COMPUTED_VALUE"""),"Бензогенератор FOGO FH 6001 E ")</f>
        <v>Бензогенератор FOGO FH 6001 E </v>
      </c>
      <c r="C23" s="100" t="str">
        <f>IFERROR(__xludf.DUMMYFUNCTION("""COMPUTED_VALUE"""),"5,6 кВт")</f>
        <v>5,6 кВт</v>
      </c>
      <c r="D23" s="102" t="str">
        <f>IFERROR(__xludf.DUMMYFUNCTION("""COMPUTED_VALUE"""),"GX390 HONDA")</f>
        <v>GX390 HONDA</v>
      </c>
      <c r="E23" s="104">
        <f>IFERROR(__xludf.DUMMYFUNCTION("""COMPUTED_VALUE"""),3071.0)</f>
        <v>3071</v>
      </c>
      <c r="F23" s="85">
        <f>IFERROR(__xludf.DUMMYFUNCTION("""COMPUTED_VALUE"""),2610.35)</f>
        <v>2610.35</v>
      </c>
      <c r="G23" s="82"/>
      <c r="H23" s="85">
        <f t="shared" si="1"/>
        <v>460.65</v>
      </c>
      <c r="I23" s="87" t="str">
        <f>IFERROR(__xludf.DUMMYFUNCTION("""COMPUTED_VALUE"""),"в наличии")</f>
        <v>в наличии</v>
      </c>
      <c r="J23" s="131" t="str">
        <f>IFERROR(__xludf.DUMMYFUNCTION("""COMPUTED_VALUE"""),"")</f>
        <v/>
      </c>
      <c r="K23" s="24"/>
      <c r="L23" s="24"/>
    </row>
    <row r="24" ht="12.0" customHeight="1" collapsed="1">
      <c r="A24" s="65">
        <f>IFERROR(__xludf.DUMMYFUNCTION("""COMPUTED_VALUE"""),4543.0)</f>
        <v>4543</v>
      </c>
      <c r="B24" s="98" t="str">
        <f>IFERROR(__xludf.DUMMYFUNCTION("""COMPUTED_VALUE"""),"Бензогенератор FOGO FH 6001 R ")</f>
        <v>Бензогенератор FOGO FH 6001 R </v>
      </c>
      <c r="C24" s="100" t="str">
        <f>IFERROR(__xludf.DUMMYFUNCTION("""COMPUTED_VALUE"""),"5,6 кВт")</f>
        <v>5,6 кВт</v>
      </c>
      <c r="D24" s="102" t="str">
        <f>IFERROR(__xludf.DUMMYFUNCTION("""COMPUTED_VALUE"""),"GX390 HONDA")</f>
        <v>GX390 HONDA</v>
      </c>
      <c r="E24" s="104">
        <f>IFERROR(__xludf.DUMMYFUNCTION("""COMPUTED_VALUE"""),2782.0)</f>
        <v>2782</v>
      </c>
      <c r="F24" s="85">
        <f>IFERROR(__xludf.DUMMYFUNCTION("""COMPUTED_VALUE"""),2364.7)</f>
        <v>2364.7</v>
      </c>
      <c r="G24" s="82"/>
      <c r="H24" s="85">
        <f t="shared" si="1"/>
        <v>417.3</v>
      </c>
      <c r="I24" s="87" t="str">
        <f>IFERROR(__xludf.DUMMYFUNCTION("""COMPUTED_VALUE"""),"под заказ")</f>
        <v>под заказ</v>
      </c>
      <c r="J24" s="131" t="str">
        <f>IFERROR(__xludf.DUMMYFUNCTION("""COMPUTED_VALUE"""),"")</f>
        <v/>
      </c>
      <c r="K24" s="24"/>
      <c r="L24" s="24"/>
    </row>
    <row r="25" hidden="1" outlineLevel="1">
      <c r="A25" s="65">
        <f>IFERROR(__xludf.DUMMYFUNCTION("""COMPUTED_VALUE"""),4544.0)</f>
        <v>4544</v>
      </c>
      <c r="B25" s="114" t="str">
        <f>IFERROR(__xludf.DUMMYFUNCTION("""COMPUTED_VALUE"""),"Бензогенератор FOGO FH 6001 RE")</f>
        <v>Бензогенератор FOGO FH 6001 RE</v>
      </c>
      <c r="C25" s="115" t="str">
        <f>IFERROR(__xludf.DUMMYFUNCTION("""COMPUTED_VALUE"""),"5,6 кВт")</f>
        <v>5,6 кВт</v>
      </c>
      <c r="D25" s="102" t="str">
        <f>IFERROR(__xludf.DUMMYFUNCTION("""COMPUTED_VALUE"""),"GX390 HONDA")</f>
        <v>GX390 HONDA</v>
      </c>
      <c r="E25" s="116">
        <f>IFERROR(__xludf.DUMMYFUNCTION("""COMPUTED_VALUE"""),4263.0)</f>
        <v>4263</v>
      </c>
      <c r="F25" s="117">
        <f>IFERROR(__xludf.DUMMYFUNCTION("""COMPUTED_VALUE"""),3623.5499999999997)</f>
        <v>3623.55</v>
      </c>
      <c r="G25" s="82"/>
      <c r="H25" s="85">
        <f t="shared" si="1"/>
        <v>639.45</v>
      </c>
      <c r="I25" s="87" t="str">
        <f>IFERROR(__xludf.DUMMYFUNCTION("""COMPUTED_VALUE"""),"под заказ")</f>
        <v>под заказ</v>
      </c>
      <c r="J25" s="131" t="str">
        <f>IFERROR(__xludf.DUMMYFUNCTION("""COMPUTED_VALUE"""),"")</f>
        <v/>
      </c>
      <c r="K25" s="24"/>
      <c r="L25" s="24"/>
    </row>
    <row r="26">
      <c r="A26" s="65">
        <f>IFERROR(__xludf.DUMMYFUNCTION("""COMPUTED_VALUE"""),3844.0)</f>
        <v>3844</v>
      </c>
      <c r="B26" s="94" t="str">
        <f>IFERROR(__xludf.DUMMYFUNCTION("""COMPUTED_VALUE"""),"Бензогенератор FOGO FH 6001 T")</f>
        <v>Бензогенератор FOGO FH 6001 T</v>
      </c>
      <c r="C26" s="69" t="str">
        <f>IFERROR(__xludf.DUMMYFUNCTION("""COMPUTED_VALUE"""),"5,6 кВт")</f>
        <v>5,6 кВт</v>
      </c>
      <c r="D26" s="71" t="str">
        <f>IFERROR(__xludf.DUMMYFUNCTION("""COMPUTED_VALUE"""),"GX390 HONDA")</f>
        <v>GX390 HONDA</v>
      </c>
      <c r="E26" s="77">
        <f>IFERROR(__xludf.DUMMYFUNCTION("""COMPUTED_VALUE"""),3192.0)</f>
        <v>3192</v>
      </c>
      <c r="F26" s="81">
        <f>IFERROR(__xludf.DUMMYFUNCTION("""COMPUTED_VALUE"""),2713.2)</f>
        <v>2713.2</v>
      </c>
      <c r="G26" s="82"/>
      <c r="H26" s="85">
        <f t="shared" si="1"/>
        <v>478.8</v>
      </c>
      <c r="I26" s="87" t="str">
        <f>IFERROR(__xludf.DUMMYFUNCTION("""COMPUTED_VALUE"""),"под заказ")</f>
        <v>под заказ</v>
      </c>
      <c r="J26" s="137" t="str">
        <f>IFERROR(__xludf.DUMMYFUNCTION("""COMPUTED_VALUE"""),"http://fogo.by/index.pl?act=PRODUCT&amp;id=214")</f>
        <v>http://fogo.by/index.pl?act=PRODUCT&amp;id=214</v>
      </c>
      <c r="K26" s="149"/>
      <c r="L26" s="24"/>
    </row>
    <row r="27" ht="12.0" customHeight="1" collapsed="1">
      <c r="A27" s="65">
        <f>IFERROR(__xludf.DUMMYFUNCTION("""COMPUTED_VALUE"""),4545.0)</f>
        <v>4545</v>
      </c>
      <c r="B27" s="98" t="str">
        <f>IFERROR(__xludf.DUMMYFUNCTION("""COMPUTED_VALUE"""),"Бензогенератор FOGO FH 6001 TE")</f>
        <v>Бензогенератор FOGO FH 6001 TE</v>
      </c>
      <c r="C27" s="100" t="str">
        <f>IFERROR(__xludf.DUMMYFUNCTION("""COMPUTED_VALUE"""),"5,6 кВт")</f>
        <v>5,6 кВт</v>
      </c>
      <c r="D27" s="102" t="str">
        <f>IFERROR(__xludf.DUMMYFUNCTION("""COMPUTED_VALUE"""),"GX390 HONDA")</f>
        <v>GX390 HONDA</v>
      </c>
      <c r="E27" s="104">
        <f>IFERROR(__xludf.DUMMYFUNCTION("""COMPUTED_VALUE"""),3831.0)</f>
        <v>3831</v>
      </c>
      <c r="F27" s="85">
        <f>IFERROR(__xludf.DUMMYFUNCTION("""COMPUTED_VALUE"""),3256.35)</f>
        <v>3256.35</v>
      </c>
      <c r="G27" s="82"/>
      <c r="H27" s="85">
        <f t="shared" si="1"/>
        <v>574.65</v>
      </c>
      <c r="I27" s="87" t="str">
        <f>IFERROR(__xludf.DUMMYFUNCTION("""COMPUTED_VALUE"""),"в наличии")</f>
        <v>в наличии</v>
      </c>
      <c r="J27" s="131" t="str">
        <f>IFERROR(__xludf.DUMMYFUNCTION("""COMPUTED_VALUE"""),"")</f>
        <v/>
      </c>
      <c r="K27" s="24"/>
      <c r="L27" s="24"/>
    </row>
    <row r="28" hidden="1" outlineLevel="1">
      <c r="A28" s="65">
        <f>IFERROR(__xludf.DUMMYFUNCTION("""COMPUTED_VALUE"""),4546.0)</f>
        <v>4546</v>
      </c>
      <c r="B28" s="114" t="str">
        <f>IFERROR(__xludf.DUMMYFUNCTION("""COMPUTED_VALUE"""),"Бензогенератор FOGO FH 6001 RTE ")</f>
        <v>Бензогенератор FOGO FH 6001 RTE </v>
      </c>
      <c r="C28" s="115" t="str">
        <f>IFERROR(__xludf.DUMMYFUNCTION("""COMPUTED_VALUE"""),"5,6 кВт")</f>
        <v>5,6 кВт</v>
      </c>
      <c r="D28" s="102" t="str">
        <f>IFERROR(__xludf.DUMMYFUNCTION("""COMPUTED_VALUE"""),"GX390 HONDA")</f>
        <v>GX390 HONDA</v>
      </c>
      <c r="E28" s="116">
        <f>IFERROR(__xludf.DUMMYFUNCTION("""COMPUTED_VALUE"""),4729.0)</f>
        <v>4729</v>
      </c>
      <c r="F28" s="117">
        <f>IFERROR(__xludf.DUMMYFUNCTION("""COMPUTED_VALUE"""),4019.65)</f>
        <v>4019.65</v>
      </c>
      <c r="G28" s="82"/>
      <c r="H28" s="85">
        <f t="shared" si="1"/>
        <v>709.35</v>
      </c>
      <c r="I28" s="87" t="str">
        <f>IFERROR(__xludf.DUMMYFUNCTION("""COMPUTED_VALUE"""),"под заказ")</f>
        <v>под заказ</v>
      </c>
      <c r="J28" s="131" t="str">
        <f>IFERROR(__xludf.DUMMYFUNCTION("""COMPUTED_VALUE"""),"")</f>
        <v/>
      </c>
      <c r="K28" s="24"/>
      <c r="L28" s="24"/>
    </row>
    <row r="29" ht="18.75" customHeight="1" collapsed="1">
      <c r="A29" s="65">
        <f>IFERROR(__xludf.DUMMYFUNCTION("""COMPUTED_VALUE"""),4302.0)</f>
        <v>4302</v>
      </c>
      <c r="B29" s="94" t="str">
        <f>IFERROR(__xludf.DUMMYFUNCTION("""COMPUTED_VALUE"""),"Бензогенератор FOGO FV 10001 RTE")</f>
        <v>Бензогенератор FOGO FV 10001 RTE</v>
      </c>
      <c r="C29" s="69" t="str">
        <f>IFERROR(__xludf.DUMMYFUNCTION("""COMPUTED_VALUE"""),"8,6 кВт")</f>
        <v>8,6 кВт</v>
      </c>
      <c r="D29" s="155" t="str">
        <f>IFERROR(__xludf.DUMMYFUNCTION("""COMPUTED_VALUE"""),"Briggs&amp;Stratton 
VNG 18 HP")</f>
        <v>Briggs&amp;Stratton 
VNG 18 HP</v>
      </c>
      <c r="E29" s="77">
        <f>IFERROR(__xludf.DUMMYFUNCTION("""COMPUTED_VALUE"""),6590.0)</f>
        <v>6590</v>
      </c>
      <c r="F29" s="81">
        <f>IFERROR(__xludf.DUMMYFUNCTION("""COMPUTED_VALUE"""),5601.5)</f>
        <v>5601.5</v>
      </c>
      <c r="G29" s="82"/>
      <c r="H29" s="85">
        <f t="shared" si="1"/>
        <v>988.5</v>
      </c>
      <c r="I29" s="87" t="str">
        <f>IFERROR(__xludf.DUMMYFUNCTION("""COMPUTED_VALUE"""),"в наличии")</f>
        <v>в наличии</v>
      </c>
      <c r="J29" s="137" t="str">
        <f>IFERROR(__xludf.DUMMYFUNCTION("""COMPUTED_VALUE"""),"http://fogo.by/index.pl?act=PRODUCT&amp;id=193")</f>
        <v>http://fogo.by/index.pl?act=PRODUCT&amp;id=193</v>
      </c>
      <c r="K29" s="149"/>
      <c r="L29" s="24"/>
    </row>
    <row r="30" hidden="1" outlineLevel="1">
      <c r="A30" s="65" t="str">
        <f>IFERROR(__xludf.DUMMYFUNCTION("""COMPUTED_VALUE"""),"")</f>
        <v/>
      </c>
      <c r="B30" s="114" t="str">
        <f>IFERROR(__xludf.DUMMYFUNCTION("""COMPUTED_VALUE"""),"Бензогенератор FOGO FV 10001 RCEA")</f>
        <v>Бензогенератор FOGO FV 10001 RCEA</v>
      </c>
      <c r="C30" s="115" t="str">
        <f>IFERROR(__xludf.DUMMYFUNCTION("""COMPUTED_VALUE"""),"8,6 кВт")</f>
        <v>8,6 кВт</v>
      </c>
      <c r="D30" s="157" t="str">
        <f>IFERROR(__xludf.DUMMYFUNCTION("""COMPUTED_VALUE"""),"Briggs&amp;Stratton 
VNG 18 HP")</f>
        <v>Briggs&amp;Stratton 
VNG 18 HP</v>
      </c>
      <c r="E30" s="116">
        <f>IFERROR(__xludf.DUMMYFUNCTION("""COMPUTED_VALUE"""),11317.0)</f>
        <v>11317</v>
      </c>
      <c r="F30" s="117">
        <f>IFERROR(__xludf.DUMMYFUNCTION("""COMPUTED_VALUE"""),9619.449999999999)</f>
        <v>9619.45</v>
      </c>
      <c r="G30" s="82"/>
      <c r="H30" s="85">
        <f t="shared" si="1"/>
        <v>1697.55</v>
      </c>
      <c r="I30" s="87" t="str">
        <f>IFERROR(__xludf.DUMMYFUNCTION("""COMPUTED_VALUE"""),"под заказ")</f>
        <v>под заказ</v>
      </c>
      <c r="J30" s="131" t="str">
        <f>IFERROR(__xludf.DUMMYFUNCTION("""COMPUTED_VALUE"""),"")</f>
        <v/>
      </c>
      <c r="K30" s="24"/>
      <c r="L30" s="24"/>
    </row>
    <row r="31" ht="17.25" customHeight="1" collapsed="1">
      <c r="A31" s="65">
        <f>IFERROR(__xludf.DUMMYFUNCTION("""COMPUTED_VALUE"""),4303.0)</f>
        <v>4303</v>
      </c>
      <c r="B31" s="94" t="str">
        <f>IFERROR(__xludf.DUMMYFUNCTION("""COMPUTED_VALUE"""),"Бензогенератор FOGO FV 11001 RTE")</f>
        <v>Бензогенератор FOGO FV 11001 RTE</v>
      </c>
      <c r="C31" s="69" t="str">
        <f>IFERROR(__xludf.DUMMYFUNCTION("""COMPUTED_VALUE"""),"9,9 кВт")</f>
        <v>9,9 кВт</v>
      </c>
      <c r="D31" s="155" t="str">
        <f>IFERROR(__xludf.DUMMYFUNCTION("""COMPUTED_VALUE"""),"Briggs&amp;Stratton 
VNG 21 HP")</f>
        <v>Briggs&amp;Stratton 
VNG 21 HP</v>
      </c>
      <c r="E31" s="77">
        <f>IFERROR(__xludf.DUMMYFUNCTION("""COMPUTED_VALUE"""),7022.0)</f>
        <v>7022</v>
      </c>
      <c r="F31" s="81">
        <f>IFERROR(__xludf.DUMMYFUNCTION("""COMPUTED_VALUE"""),5968.7)</f>
        <v>5968.7</v>
      </c>
      <c r="G31" s="82"/>
      <c r="H31" s="85">
        <f t="shared" si="1"/>
        <v>1053.3</v>
      </c>
      <c r="I31" s="87" t="str">
        <f>IFERROR(__xludf.DUMMYFUNCTION("""COMPUTED_VALUE"""),"в наличии")</f>
        <v>в наличии</v>
      </c>
      <c r="J31" s="137" t="str">
        <f>IFERROR(__xludf.DUMMYFUNCTION("""COMPUTED_VALUE"""),"http://fogo.by/index.pl?act=PRODUCT&amp;id=194")</f>
        <v>http://fogo.by/index.pl?act=PRODUCT&amp;id=194</v>
      </c>
      <c r="K31" s="149"/>
      <c r="L31" s="24"/>
    </row>
    <row r="32" hidden="1" outlineLevel="1">
      <c r="A32" s="65" t="str">
        <f>IFERROR(__xludf.DUMMYFUNCTION("""COMPUTED_VALUE"""),"")</f>
        <v/>
      </c>
      <c r="B32" s="114" t="str">
        <f>IFERROR(__xludf.DUMMYFUNCTION("""COMPUTED_VALUE"""),"Бензогенератор FOGO FV 11001 RCEA")</f>
        <v>Бензогенератор FOGO FV 11001 RCEA</v>
      </c>
      <c r="C32" s="115" t="str">
        <f>IFERROR(__xludf.DUMMYFUNCTION("""COMPUTED_VALUE"""),"9,9 кВт")</f>
        <v>9,9 кВт</v>
      </c>
      <c r="D32" s="157" t="str">
        <f>IFERROR(__xludf.DUMMYFUNCTION("""COMPUTED_VALUE"""),"Briggs&amp;Stratton 
VNG 21 HP")</f>
        <v>Briggs&amp;Stratton 
VNG 21 HP</v>
      </c>
      <c r="E32" s="116">
        <f>IFERROR(__xludf.DUMMYFUNCTION("""COMPUTED_VALUE"""),11427.0)</f>
        <v>11427</v>
      </c>
      <c r="F32" s="117">
        <f>IFERROR(__xludf.DUMMYFUNCTION("""COMPUTED_VALUE"""),9712.949999999999)</f>
        <v>9712.95</v>
      </c>
      <c r="G32" s="82"/>
      <c r="H32" s="85">
        <f t="shared" si="1"/>
        <v>1714.05</v>
      </c>
      <c r="I32" s="87" t="str">
        <f>IFERROR(__xludf.DUMMYFUNCTION("""COMPUTED_VALUE"""),"под заказ")</f>
        <v>под заказ</v>
      </c>
      <c r="J32" s="131" t="str">
        <f>IFERROR(__xludf.DUMMYFUNCTION("""COMPUTED_VALUE"""),"")</f>
        <v/>
      </c>
      <c r="K32" s="24"/>
      <c r="L32" s="24"/>
    </row>
    <row r="33" ht="17.25" customHeight="1" collapsed="1">
      <c r="A33" s="65">
        <f>IFERROR(__xludf.DUMMYFUNCTION("""COMPUTED_VALUE"""),4068.0)</f>
        <v>4068</v>
      </c>
      <c r="B33" s="94" t="str">
        <f>IFERROR(__xludf.DUMMYFUNCTION("""COMPUTED_VALUE"""),"Бензогенератор FOGO FV 17001 RTE")</f>
        <v>Бензогенератор FOGO FV 17001 RTE</v>
      </c>
      <c r="C33" s="69" t="str">
        <f>IFERROR(__xludf.DUMMYFUNCTION("""COMPUTED_VALUE"""),"14,9 кВт")</f>
        <v>14,9 кВт</v>
      </c>
      <c r="D33" s="155" t="str">
        <f>IFERROR(__xludf.DUMMYFUNCTION("""COMPUTED_VALUE"""),"Briggs&amp;Stratton 
VNG 31 HP")</f>
        <v>Briggs&amp;Stratton 
VNG 31 HP</v>
      </c>
      <c r="E33" s="77">
        <f>IFERROR(__xludf.DUMMYFUNCTION("""COMPUTED_VALUE"""),10320.0)</f>
        <v>10320</v>
      </c>
      <c r="F33" s="81">
        <f>IFERROR(__xludf.DUMMYFUNCTION("""COMPUTED_VALUE"""),8772.0)</f>
        <v>8772</v>
      </c>
      <c r="G33" s="82"/>
      <c r="H33" s="85">
        <f t="shared" si="1"/>
        <v>1548</v>
      </c>
      <c r="I33" s="87" t="str">
        <f>IFERROR(__xludf.DUMMYFUNCTION("""COMPUTED_VALUE"""),"в наличии")</f>
        <v>в наличии</v>
      </c>
      <c r="J33" s="137" t="str">
        <f>IFERROR(__xludf.DUMMYFUNCTION("""COMPUTED_VALUE"""),"http://fogo.by/index.pl?act=PRODUCT&amp;id=235")</f>
        <v>http://fogo.by/index.pl?act=PRODUCT&amp;id=235</v>
      </c>
      <c r="K33" s="149"/>
      <c r="L33" s="24"/>
    </row>
    <row r="34" hidden="1" outlineLevel="1">
      <c r="A34" s="159" t="str">
        <f>IFERROR(__xludf.DUMMYFUNCTION("""COMPUTED_VALUE"""),"")</f>
        <v/>
      </c>
      <c r="B34" s="160" t="str">
        <f>IFERROR(__xludf.DUMMYFUNCTION("""COMPUTED_VALUE"""),"Бензогенератор FOGO FV 17001 RCEA")</f>
        <v>Бензогенератор FOGO FV 17001 RCEA</v>
      </c>
      <c r="C34" s="161" t="str">
        <f>IFERROR(__xludf.DUMMYFUNCTION("""COMPUTED_VALUE"""),"14,9 кВт")</f>
        <v>14,9 кВт</v>
      </c>
      <c r="D34" s="162" t="str">
        <f>IFERROR(__xludf.DUMMYFUNCTION("""COMPUTED_VALUE"""),"Briggs&amp;Stratton 
VNG 31 HP")</f>
        <v>Briggs&amp;Stratton 
VNG 31 HP</v>
      </c>
      <c r="E34" s="163">
        <f>IFERROR(__xludf.DUMMYFUNCTION("""COMPUTED_VALUE"""),14596.0)</f>
        <v>14596</v>
      </c>
      <c r="F34" s="163">
        <f>IFERROR(__xludf.DUMMYFUNCTION("""COMPUTED_VALUE"""),12406.6)</f>
        <v>12406.6</v>
      </c>
      <c r="G34" s="164"/>
      <c r="H34" s="85"/>
      <c r="I34" s="165" t="str">
        <f>IFERROR(__xludf.DUMMYFUNCTION("""COMPUTED_VALUE"""),"под заказ")</f>
        <v>под заказ</v>
      </c>
      <c r="J34" s="166" t="str">
        <f>IFERROR(__xludf.DUMMYFUNCTION("""COMPUTED_VALUE"""),"")</f>
        <v/>
      </c>
      <c r="K34" s="51"/>
      <c r="L34" s="51"/>
    </row>
    <row r="35">
      <c r="A35" s="51" t="str">
        <f>IFERROR(__xludf.DUMMYFUNCTION("""COMPUTED_VALUE"""),"")</f>
        <v/>
      </c>
      <c r="B35" s="53" t="str">
        <f>IFERROR(__xludf.DUMMYFUNCTION("""COMPUTED_VALUE"""),"Трехфазный генератор 400V IP23")</f>
        <v>Трехфазный генератор 400V IP23</v>
      </c>
      <c r="C35" s="55" t="str">
        <f>IFERROR(__xludf.DUMMYFUNCTION("""COMPUTED_VALUE"""),"")</f>
        <v/>
      </c>
      <c r="D35" s="55" t="str">
        <f>IFERROR(__xludf.DUMMYFUNCTION("""COMPUTED_VALUE"""),"")</f>
        <v/>
      </c>
      <c r="E35" s="55" t="str">
        <f>IFERROR(__xludf.DUMMYFUNCTION("""COMPUTED_VALUE"""),"")</f>
        <v/>
      </c>
      <c r="F35" s="55" t="str">
        <f>IFERROR(__xludf.DUMMYFUNCTION("""COMPUTED_VALUE"""),"")</f>
        <v/>
      </c>
      <c r="G35" s="55"/>
      <c r="H35" s="167"/>
      <c r="I35" s="57" t="str">
        <f>IFERROR(__xludf.DUMMYFUNCTION("""COMPUTED_VALUE"""),"")</f>
        <v/>
      </c>
      <c r="J35" s="166" t="str">
        <f>IFERROR(__xludf.DUMMYFUNCTION("""COMPUTED_VALUE"""),"")</f>
        <v/>
      </c>
      <c r="K35" s="51"/>
      <c r="L35" s="51"/>
    </row>
    <row r="36">
      <c r="A36" s="159" t="str">
        <f>IFERROR(__xludf.DUMMYFUNCTION("""COMPUTED_VALUE"""),"")</f>
        <v/>
      </c>
      <c r="B36" s="168" t="str">
        <f>IFERROR(__xludf.DUMMYFUNCTION("""COMPUTED_VALUE"""),"Бензогенератор Firman SPG 8500T")</f>
        <v>Бензогенератор Firman SPG 8500T</v>
      </c>
      <c r="C36" s="169" t="str">
        <f>IFERROR(__xludf.DUMMYFUNCTION("""COMPUTED_VALUE"""),"6,0 / 3,0 кВт")</f>
        <v>6,0 / 3,0 кВт</v>
      </c>
      <c r="D36" s="170" t="str">
        <f>IFERROR(__xludf.DUMMYFUNCTION("""COMPUTED_VALUE"""),"SPE440")</f>
        <v>SPE440</v>
      </c>
      <c r="E36" s="172">
        <f>IFERROR(__xludf.DUMMYFUNCTION("""COMPUTED_VALUE"""),1130.0)</f>
        <v>1130</v>
      </c>
      <c r="F36" s="174">
        <f>IFERROR(__xludf.DUMMYFUNCTION("""COMPUTED_VALUE"""),960.5)</f>
        <v>960.5</v>
      </c>
      <c r="G36" s="164"/>
      <c r="H36" s="85">
        <f t="shared" ref="H36:H67" si="2">E36-F36</f>
        <v>169.5</v>
      </c>
      <c r="I36" s="87" t="str">
        <f>IFERROR(__xludf.DUMMYFUNCTION("""COMPUTED_VALUE"""),"в наличии")</f>
        <v>в наличии</v>
      </c>
      <c r="J36" s="177" t="str">
        <f>IFERROR(__xludf.DUMMYFUNCTION("""COMPUTED_VALUE"""),"http://isell.by/index.pl?act=PRODUCT&amp;id=229")</f>
        <v>http://isell.by/index.pl?act=PRODUCT&amp;id=229</v>
      </c>
      <c r="K36" s="179"/>
      <c r="L36" s="51"/>
    </row>
    <row r="37">
      <c r="A37" s="159" t="str">
        <f>IFERROR(__xludf.DUMMYFUNCTION("""COMPUTED_VALUE"""),"")</f>
        <v/>
      </c>
      <c r="B37" s="168" t="str">
        <f>IFERROR(__xludf.DUMMYFUNCTION("""COMPUTED_VALUE"""),"Бензогенератор Firman SPG 8500T эл/старт")</f>
        <v>Бензогенератор Firman SPG 8500T эл/старт</v>
      </c>
      <c r="C37" s="169" t="str">
        <f>IFERROR(__xludf.DUMMYFUNCTION("""COMPUTED_VALUE"""),"6,0 / 3,0 кВт")</f>
        <v>6,0 / 3,0 кВт</v>
      </c>
      <c r="D37" s="170" t="str">
        <f>IFERROR(__xludf.DUMMYFUNCTION("""COMPUTED_VALUE"""),"SPE440")</f>
        <v>SPE440</v>
      </c>
      <c r="E37" s="172">
        <f>IFERROR(__xludf.DUMMYFUNCTION("""COMPUTED_VALUE"""),1582.0)</f>
        <v>1582</v>
      </c>
      <c r="F37" s="174">
        <f>IFERROR(__xludf.DUMMYFUNCTION("""COMPUTED_VALUE"""),1344.7)</f>
        <v>1344.7</v>
      </c>
      <c r="G37" s="164"/>
      <c r="H37" s="85">
        <f t="shared" si="2"/>
        <v>237.3</v>
      </c>
      <c r="I37" s="87" t="str">
        <f>IFERROR(__xludf.DUMMYFUNCTION("""COMPUTED_VALUE"""),"под заказ")</f>
        <v>под заказ</v>
      </c>
      <c r="J37" s="166" t="str">
        <f>IFERROR(__xludf.DUMMYFUNCTION("""COMPUTED_VALUE"""),"")</f>
        <v/>
      </c>
      <c r="K37" s="179"/>
      <c r="L37" s="51"/>
    </row>
    <row r="38">
      <c r="A38" s="159">
        <f>IFERROR(__xludf.DUMMYFUNCTION("""COMPUTED_VALUE"""),2602.0)</f>
        <v>2602</v>
      </c>
      <c r="B38" s="94" t="str">
        <f>IFERROR(__xludf.DUMMYFUNCTION("""COMPUTED_VALUE"""),"Бензогенератор FOGO FH 5000 A - для ж/д")</f>
        <v>Бензогенератор FOGO FH 5000 A - для ж/д</v>
      </c>
      <c r="C38" s="169" t="str">
        <f>IFERROR(__xludf.DUMMYFUNCTION("""COMPUTED_VALUE"""),"4,5 / 4,0 кВт")</f>
        <v>4,5 / 4,0 кВт</v>
      </c>
      <c r="D38" s="170" t="str">
        <f>IFERROR(__xludf.DUMMYFUNCTION("""COMPUTED_VALUE"""),"GX270 HONDA")</f>
        <v>GX270 HONDA</v>
      </c>
      <c r="E38" s="172">
        <f>IFERROR(__xludf.DUMMYFUNCTION("""COMPUTED_VALUE"""),2682.0)</f>
        <v>2682</v>
      </c>
      <c r="F38" s="174">
        <f>IFERROR(__xludf.DUMMYFUNCTION("""COMPUTED_VALUE"""),2279.7)</f>
        <v>2279.7</v>
      </c>
      <c r="G38" s="164"/>
      <c r="H38" s="85">
        <f t="shared" si="2"/>
        <v>402.3</v>
      </c>
      <c r="I38" s="87" t="str">
        <f>IFERROR(__xludf.DUMMYFUNCTION("""COMPUTED_VALUE"""),"в наличии")</f>
        <v>в наличии</v>
      </c>
      <c r="J38" s="177" t="str">
        <f>IFERROR(__xludf.DUMMYFUNCTION("""COMPUTED_VALUE"""),"http://fogo.by/index.pl?act=PRODUCT&amp;id=230")</f>
        <v>http://fogo.by/index.pl?act=PRODUCT&amp;id=230</v>
      </c>
      <c r="K38" s="179"/>
      <c r="L38" s="51"/>
    </row>
    <row r="39">
      <c r="A39" s="159">
        <f>IFERROR(__xludf.DUMMYFUNCTION("""COMPUTED_VALUE"""),1975.0)</f>
        <v>1975</v>
      </c>
      <c r="B39" s="94" t="str">
        <f>IFERROR(__xludf.DUMMYFUNCTION("""COMPUTED_VALUE"""),"Бензогенератор FOGO FH 5000")</f>
        <v>Бензогенератор FOGO FH 5000</v>
      </c>
      <c r="C39" s="169" t="str">
        <f>IFERROR(__xludf.DUMMYFUNCTION("""COMPUTED_VALUE"""),"4,5 / 4,0 кВт")</f>
        <v>4,5 / 4,0 кВт</v>
      </c>
      <c r="D39" s="170" t="str">
        <f>IFERROR(__xludf.DUMMYFUNCTION("""COMPUTED_VALUE"""),"GX270 HONDA")</f>
        <v>GX270 HONDA</v>
      </c>
      <c r="E39" s="172">
        <f>IFERROR(__xludf.DUMMYFUNCTION("""COMPUTED_VALUE"""),2757.0)</f>
        <v>2757</v>
      </c>
      <c r="F39" s="174">
        <f>IFERROR(__xludf.DUMMYFUNCTION("""COMPUTED_VALUE"""),2343.45)</f>
        <v>2343.45</v>
      </c>
      <c r="G39" s="164"/>
      <c r="H39" s="85">
        <f t="shared" si="2"/>
        <v>413.55</v>
      </c>
      <c r="I39" s="87" t="str">
        <f>IFERROR(__xludf.DUMMYFUNCTION("""COMPUTED_VALUE"""),"под заказ")</f>
        <v>под заказ</v>
      </c>
      <c r="J39" s="177" t="str">
        <f>IFERROR(__xludf.DUMMYFUNCTION("""COMPUTED_VALUE"""),"http://fogo.by/index.pl?act=PRODUCT&amp;id=145")</f>
        <v>http://fogo.by/index.pl?act=PRODUCT&amp;id=145</v>
      </c>
      <c r="K39" s="51"/>
      <c r="L39" s="51"/>
    </row>
    <row r="40" ht="13.5" customHeight="1">
      <c r="A40" s="159">
        <f>IFERROR(__xludf.DUMMYFUNCTION("""COMPUTED_VALUE"""),2406.0)</f>
        <v>2406</v>
      </c>
      <c r="B40" s="98" t="str">
        <f>IFERROR(__xludf.DUMMYFUNCTION("""COMPUTED_VALUE"""),"Бензогенератор FOGO FH 5000 E ")</f>
        <v>Бензогенератор FOGO FH 5000 E </v>
      </c>
      <c r="C40" s="100" t="str">
        <f>IFERROR(__xludf.DUMMYFUNCTION("""COMPUTED_VALUE"""),"4,5 / 4,0 кВт")</f>
        <v>4,5 / 4,0 кВт</v>
      </c>
      <c r="D40" s="102" t="str">
        <f>IFERROR(__xludf.DUMMYFUNCTION("""COMPUTED_VALUE"""),"GX270 HONDA")</f>
        <v>GX270 HONDA</v>
      </c>
      <c r="E40" s="104">
        <f>IFERROR(__xludf.DUMMYFUNCTION("""COMPUTED_VALUE"""),3125.0)</f>
        <v>3125</v>
      </c>
      <c r="F40" s="85">
        <f>IFERROR(__xludf.DUMMYFUNCTION("""COMPUTED_VALUE"""),2656.25)</f>
        <v>2656.25</v>
      </c>
      <c r="G40" s="82"/>
      <c r="H40" s="85">
        <f t="shared" si="2"/>
        <v>468.75</v>
      </c>
      <c r="I40" s="87" t="str">
        <f>IFERROR(__xludf.DUMMYFUNCTION("""COMPUTED_VALUE"""),"в наличии")</f>
        <v>в наличии</v>
      </c>
      <c r="J40" s="166" t="str">
        <f>IFERROR(__xludf.DUMMYFUNCTION("""COMPUTED_VALUE"""),"")</f>
        <v/>
      </c>
      <c r="K40" s="51"/>
      <c r="L40" s="51"/>
    </row>
    <row r="41" ht="13.5" customHeight="1" collapsed="1">
      <c r="A41" s="51" t="str">
        <f>IFERROR(__xludf.DUMMYFUNCTION("""COMPUTED_VALUE"""),"")</f>
        <v/>
      </c>
      <c r="B41" s="98" t="str">
        <f>IFERROR(__xludf.DUMMYFUNCTION("""COMPUTED_VALUE"""),"Бензогенератор FOGO FH 5000 R")</f>
        <v>Бензогенератор FOGO FH 5000 R</v>
      </c>
      <c r="C41" s="100" t="str">
        <f>IFERROR(__xludf.DUMMYFUNCTION("""COMPUTED_VALUE"""),"4,5 / 4,0 кВт")</f>
        <v>4,5 / 4,0 кВт</v>
      </c>
      <c r="D41" s="102" t="str">
        <f>IFERROR(__xludf.DUMMYFUNCTION("""COMPUTED_VALUE"""),"GX270 HONDA")</f>
        <v>GX270 HONDA</v>
      </c>
      <c r="E41" s="104">
        <f>IFERROR(__xludf.DUMMYFUNCTION("""COMPUTED_VALUE"""),3104.0)</f>
        <v>3104</v>
      </c>
      <c r="F41" s="85">
        <f>IFERROR(__xludf.DUMMYFUNCTION("""COMPUTED_VALUE"""),2638.4)</f>
        <v>2638.4</v>
      </c>
      <c r="G41" s="82"/>
      <c r="H41" s="85">
        <f t="shared" si="2"/>
        <v>465.6</v>
      </c>
      <c r="I41" s="87" t="str">
        <f>IFERROR(__xludf.DUMMYFUNCTION("""COMPUTED_VALUE"""),"под заказ")</f>
        <v>под заказ</v>
      </c>
      <c r="J41" s="166" t="str">
        <f>IFERROR(__xludf.DUMMYFUNCTION("""COMPUTED_VALUE"""),"")</f>
        <v/>
      </c>
      <c r="K41" s="51"/>
      <c r="L41" s="51"/>
    </row>
    <row r="42" hidden="1" outlineLevel="1">
      <c r="A42" s="51" t="str">
        <f>IFERROR(__xludf.DUMMYFUNCTION("""COMPUTED_VALUE"""),"")</f>
        <v/>
      </c>
      <c r="B42" s="160" t="str">
        <f>IFERROR(__xludf.DUMMYFUNCTION("""COMPUTED_VALUE"""),"Бензогенератор FOGO FH 5000 RE")</f>
        <v>Бензогенератор FOGO FH 5000 RE</v>
      </c>
      <c r="C42" s="161" t="str">
        <f>IFERROR(__xludf.DUMMYFUNCTION("""COMPUTED_VALUE"""),"4,5 / 4,0 кВт")</f>
        <v>4,5 / 4,0 кВт</v>
      </c>
      <c r="D42" s="191" t="str">
        <f>IFERROR(__xludf.DUMMYFUNCTION("""COMPUTED_VALUE"""),"GX270 HONDA")</f>
        <v>GX270 HONDA</v>
      </c>
      <c r="E42" s="192">
        <f>IFERROR(__xludf.DUMMYFUNCTION("""COMPUTED_VALUE"""),4284.0)</f>
        <v>4284</v>
      </c>
      <c r="F42" s="163">
        <f>IFERROR(__xludf.DUMMYFUNCTION("""COMPUTED_VALUE"""),3641.4)</f>
        <v>3641.4</v>
      </c>
      <c r="G42" s="164"/>
      <c r="H42" s="85">
        <f t="shared" si="2"/>
        <v>642.6</v>
      </c>
      <c r="I42" s="87" t="str">
        <f>IFERROR(__xludf.DUMMYFUNCTION("""COMPUTED_VALUE"""),"под заказ")</f>
        <v>под заказ</v>
      </c>
      <c r="J42" s="166" t="str">
        <f>IFERROR(__xludf.DUMMYFUNCTION("""COMPUTED_VALUE"""),"")</f>
        <v/>
      </c>
      <c r="K42" s="51"/>
      <c r="L42" s="51"/>
    </row>
    <row r="43">
      <c r="A43" s="159">
        <f>IFERROR(__xludf.DUMMYFUNCTION("""COMPUTED_VALUE"""),4155.0)</f>
        <v>4155</v>
      </c>
      <c r="B43" s="94" t="str">
        <f>IFERROR(__xludf.DUMMYFUNCTION("""COMPUTED_VALUE"""),"Бензогенератор FOGO FH 8000")</f>
        <v>Бензогенератор FOGO FH 8000</v>
      </c>
      <c r="C43" s="169" t="str">
        <f>IFERROR(__xludf.DUMMYFUNCTION("""COMPUTED_VALUE"""),"5,6 / 4,0 кВт")</f>
        <v>5,6 / 4,0 кВт</v>
      </c>
      <c r="D43" s="170" t="str">
        <f>IFERROR(__xludf.DUMMYFUNCTION("""COMPUTED_VALUE"""),"GX390 HONDA")</f>
        <v>GX390 HONDA</v>
      </c>
      <c r="E43" s="172">
        <f>IFERROR(__xludf.DUMMYFUNCTION("""COMPUTED_VALUE"""),3025.0)</f>
        <v>3025</v>
      </c>
      <c r="F43" s="174">
        <f>IFERROR(__xludf.DUMMYFUNCTION("""COMPUTED_VALUE"""),2571.25)</f>
        <v>2571.25</v>
      </c>
      <c r="G43" s="164"/>
      <c r="H43" s="85">
        <f t="shared" si="2"/>
        <v>453.75</v>
      </c>
      <c r="I43" s="87" t="str">
        <f>IFERROR(__xludf.DUMMYFUNCTION("""COMPUTED_VALUE"""),"под заказ")</f>
        <v>под заказ</v>
      </c>
      <c r="J43" s="177" t="str">
        <f>IFERROR(__xludf.DUMMYFUNCTION("""COMPUTED_VALUE"""),"http://fogo.by/index.pl?act=PRODUCT&amp;id=147")</f>
        <v>http://fogo.by/index.pl?act=PRODUCT&amp;id=147</v>
      </c>
      <c r="K43" s="179"/>
      <c r="L43" s="51"/>
    </row>
    <row r="44" ht="13.5" customHeight="1">
      <c r="A44" s="159">
        <f>IFERROR(__xludf.DUMMYFUNCTION("""COMPUTED_VALUE"""),2367.0)</f>
        <v>2367</v>
      </c>
      <c r="B44" s="98" t="str">
        <f>IFERROR(__xludf.DUMMYFUNCTION("""COMPUTED_VALUE"""),"Бензогенератор FOGO FH 8000 E")</f>
        <v>Бензогенератор FOGO FH 8000 E</v>
      </c>
      <c r="C44" s="100" t="str">
        <f>IFERROR(__xludf.DUMMYFUNCTION("""COMPUTED_VALUE"""),"5,6 / 4,0 кВт")</f>
        <v>5,6 / 4,0 кВт</v>
      </c>
      <c r="D44" s="102" t="str">
        <f>IFERROR(__xludf.DUMMYFUNCTION("""COMPUTED_VALUE"""),"GX390 HONDA")</f>
        <v>GX390 HONDA</v>
      </c>
      <c r="E44" s="104">
        <f>IFERROR(__xludf.DUMMYFUNCTION("""COMPUTED_VALUE"""),3443.0)</f>
        <v>3443</v>
      </c>
      <c r="F44" s="85">
        <f>IFERROR(__xludf.DUMMYFUNCTION("""COMPUTED_VALUE"""),2926.5499999999997)</f>
        <v>2926.55</v>
      </c>
      <c r="G44" s="82"/>
      <c r="H44" s="85">
        <f t="shared" si="2"/>
        <v>516.45</v>
      </c>
      <c r="I44" s="87" t="str">
        <f>IFERROR(__xludf.DUMMYFUNCTION("""COMPUTED_VALUE"""),"под заказ")</f>
        <v>под заказ</v>
      </c>
      <c r="J44" s="166" t="str">
        <f>IFERROR(__xludf.DUMMYFUNCTION("""COMPUTED_VALUE"""),"")</f>
        <v/>
      </c>
      <c r="K44" s="51"/>
      <c r="L44" s="51"/>
    </row>
    <row r="45" ht="13.5" customHeight="1">
      <c r="A45" s="159" t="str">
        <f>IFERROR(__xludf.DUMMYFUNCTION("""COMPUTED_VALUE"""),"")</f>
        <v/>
      </c>
      <c r="B45" s="98" t="str">
        <f>IFERROR(__xludf.DUMMYFUNCTION("""COMPUTED_VALUE"""),"Бензогенератор FOGO FH 8000 T")</f>
        <v>Бензогенератор FOGO FH 8000 T</v>
      </c>
      <c r="C45" s="100" t="str">
        <f>IFERROR(__xludf.DUMMYFUNCTION("""COMPUTED_VALUE"""),"5,6 / 4,0 кВт")</f>
        <v>5,6 / 4,0 кВт</v>
      </c>
      <c r="D45" s="102" t="str">
        <f>IFERROR(__xludf.DUMMYFUNCTION("""COMPUTED_VALUE"""),"GX390 HONDA")</f>
        <v>GX390 HONDA</v>
      </c>
      <c r="E45" s="104">
        <f>IFERROR(__xludf.DUMMYFUNCTION("""COMPUTED_VALUE"""),3702.0)</f>
        <v>3702</v>
      </c>
      <c r="F45" s="85">
        <f>IFERROR(__xludf.DUMMYFUNCTION("""COMPUTED_VALUE"""),3146.7)</f>
        <v>3146.7</v>
      </c>
      <c r="G45" s="82"/>
      <c r="H45" s="85">
        <f t="shared" si="2"/>
        <v>555.3</v>
      </c>
      <c r="I45" s="87" t="str">
        <f>IFERROR(__xludf.DUMMYFUNCTION("""COMPUTED_VALUE"""),"под заказ")</f>
        <v>под заказ</v>
      </c>
      <c r="J45" s="166" t="str">
        <f>IFERROR(__xludf.DUMMYFUNCTION("""COMPUTED_VALUE"""),"")</f>
        <v/>
      </c>
      <c r="K45" s="51"/>
      <c r="L45" s="51"/>
    </row>
    <row r="46" ht="13.5" customHeight="1" collapsed="1">
      <c r="A46" s="51" t="str">
        <f>IFERROR(__xludf.DUMMYFUNCTION("""COMPUTED_VALUE"""),"")</f>
        <v/>
      </c>
      <c r="B46" s="98" t="str">
        <f>IFERROR(__xludf.DUMMYFUNCTION("""COMPUTED_VALUE"""),"Бензогенератор FOGO FH 8000 R")</f>
        <v>Бензогенератор FOGO FH 8000 R</v>
      </c>
      <c r="C46" s="100" t="str">
        <f>IFERROR(__xludf.DUMMYFUNCTION("""COMPUTED_VALUE"""),"5,6 / 4,0 кВт")</f>
        <v>5,6 / 4,0 кВт</v>
      </c>
      <c r="D46" s="102" t="str">
        <f>IFERROR(__xludf.DUMMYFUNCTION("""COMPUTED_VALUE"""),"GX390 HONDA")</f>
        <v>GX390 HONDA</v>
      </c>
      <c r="E46" s="104">
        <f>IFERROR(__xludf.DUMMYFUNCTION("""COMPUTED_VALUE"""),3401.0)</f>
        <v>3401</v>
      </c>
      <c r="F46" s="85">
        <f>IFERROR(__xludf.DUMMYFUNCTION("""COMPUTED_VALUE"""),2890.85)</f>
        <v>2890.85</v>
      </c>
      <c r="G46" s="82"/>
      <c r="H46" s="85">
        <f t="shared" si="2"/>
        <v>510.15</v>
      </c>
      <c r="I46" s="87" t="str">
        <f>IFERROR(__xludf.DUMMYFUNCTION("""COMPUTED_VALUE"""),"под заказ")</f>
        <v>под заказ</v>
      </c>
      <c r="J46" s="166" t="str">
        <f>IFERROR(__xludf.DUMMYFUNCTION("""COMPUTED_VALUE"""),"")</f>
        <v/>
      </c>
      <c r="K46" s="51"/>
      <c r="L46" s="51"/>
    </row>
    <row r="47" hidden="1" outlineLevel="1">
      <c r="A47" s="51" t="str">
        <f>IFERROR(__xludf.DUMMYFUNCTION("""COMPUTED_VALUE"""),"")</f>
        <v/>
      </c>
      <c r="B47" s="160" t="str">
        <f>IFERROR(__xludf.DUMMYFUNCTION("""COMPUTED_VALUE"""),"Бензогенератор FOGO FH 8000 RT")</f>
        <v>Бензогенератор FOGO FH 8000 RT</v>
      </c>
      <c r="C47" s="161" t="str">
        <f>IFERROR(__xludf.DUMMYFUNCTION("""COMPUTED_VALUE"""),"5,6 / 4,0 кВт")</f>
        <v>5,6 / 4,0 кВт</v>
      </c>
      <c r="D47" s="191" t="str">
        <f>IFERROR(__xludf.DUMMYFUNCTION("""COMPUTED_VALUE"""),"GX390 HONDA")</f>
        <v>GX390 HONDA</v>
      </c>
      <c r="E47" s="192">
        <f>IFERROR(__xludf.DUMMYFUNCTION("""COMPUTED_VALUE"""),4196.0)</f>
        <v>4196</v>
      </c>
      <c r="F47" s="163">
        <f>IFERROR(__xludf.DUMMYFUNCTION("""COMPUTED_VALUE"""),3566.6)</f>
        <v>3566.6</v>
      </c>
      <c r="G47" s="164"/>
      <c r="H47" s="85">
        <f t="shared" si="2"/>
        <v>629.4</v>
      </c>
      <c r="I47" s="87" t="str">
        <f>IFERROR(__xludf.DUMMYFUNCTION("""COMPUTED_VALUE"""),"под заказ")</f>
        <v>под заказ</v>
      </c>
      <c r="J47" s="166" t="str">
        <f>IFERROR(__xludf.DUMMYFUNCTION("""COMPUTED_VALUE"""),"")</f>
        <v/>
      </c>
      <c r="K47" s="51"/>
      <c r="L47" s="51"/>
    </row>
    <row r="48" hidden="1" outlineLevel="1">
      <c r="A48" s="51" t="str">
        <f>IFERROR(__xludf.DUMMYFUNCTION("""COMPUTED_VALUE"""),"")</f>
        <v/>
      </c>
      <c r="B48" s="160" t="str">
        <f>IFERROR(__xludf.DUMMYFUNCTION("""COMPUTED_VALUE"""),"Бензогенератор FOGO FH 8000 RE")</f>
        <v>Бензогенератор FOGO FH 8000 RE</v>
      </c>
      <c r="C48" s="161" t="str">
        <f>IFERROR(__xludf.DUMMYFUNCTION("""COMPUTED_VALUE"""),"5,6 / 4,0 кВт")</f>
        <v>5,6 / 4,0 кВт</v>
      </c>
      <c r="D48" s="191" t="str">
        <f>IFERROR(__xludf.DUMMYFUNCTION("""COMPUTED_VALUE"""),"GX390 HONDA")</f>
        <v>GX390 HONDA</v>
      </c>
      <c r="E48" s="192">
        <f>IFERROR(__xludf.DUMMYFUNCTION("""COMPUTED_VALUE"""),4936.0)</f>
        <v>4936</v>
      </c>
      <c r="F48" s="163">
        <f>IFERROR(__xludf.DUMMYFUNCTION("""COMPUTED_VALUE"""),4195.599999999999)</f>
        <v>4195.6</v>
      </c>
      <c r="G48" s="164"/>
      <c r="H48" s="85">
        <f t="shared" si="2"/>
        <v>740.4</v>
      </c>
      <c r="I48" s="87" t="str">
        <f>IFERROR(__xludf.DUMMYFUNCTION("""COMPUTED_VALUE"""),"под заказ")</f>
        <v>под заказ</v>
      </c>
      <c r="J48" s="166" t="str">
        <f>IFERROR(__xludf.DUMMYFUNCTION("""COMPUTED_VALUE"""),"")</f>
        <v/>
      </c>
      <c r="K48" s="51"/>
      <c r="L48" s="51"/>
    </row>
    <row r="49" hidden="1" outlineLevel="1">
      <c r="A49" s="51" t="str">
        <f>IFERROR(__xludf.DUMMYFUNCTION("""COMPUTED_VALUE"""),"")</f>
        <v/>
      </c>
      <c r="B49" s="160" t="str">
        <f>IFERROR(__xludf.DUMMYFUNCTION("""COMPUTED_VALUE"""),"Бензогенератор FOGO FH 8000 RTE")</f>
        <v>Бензогенератор FOGO FH 8000 RTE</v>
      </c>
      <c r="C49" s="161" t="str">
        <f>IFERROR(__xludf.DUMMYFUNCTION("""COMPUTED_VALUE"""),"5,6 / 4,0 кВт")</f>
        <v>5,6 / 4,0 кВт</v>
      </c>
      <c r="D49" s="191" t="str">
        <f>IFERROR(__xludf.DUMMYFUNCTION("""COMPUTED_VALUE"""),"GX390 HONDA")</f>
        <v>GX390 HONDA</v>
      </c>
      <c r="E49" s="192">
        <f>IFERROR(__xludf.DUMMYFUNCTION("""COMPUTED_VALUE"""),5330.0)</f>
        <v>5330</v>
      </c>
      <c r="F49" s="163">
        <f>IFERROR(__xludf.DUMMYFUNCTION("""COMPUTED_VALUE"""),4530.5)</f>
        <v>4530.5</v>
      </c>
      <c r="G49" s="164"/>
      <c r="H49" s="85">
        <f t="shared" si="2"/>
        <v>799.5</v>
      </c>
      <c r="I49" s="87" t="str">
        <f>IFERROR(__xludf.DUMMYFUNCTION("""COMPUTED_VALUE"""),"под заказ")</f>
        <v>под заказ</v>
      </c>
      <c r="J49" s="166" t="str">
        <f>IFERROR(__xludf.DUMMYFUNCTION("""COMPUTED_VALUE"""),"")</f>
        <v/>
      </c>
      <c r="K49" s="51"/>
      <c r="L49" s="51"/>
    </row>
    <row r="50" hidden="1" outlineLevel="1">
      <c r="A50" s="51" t="str">
        <f>IFERROR(__xludf.DUMMYFUNCTION("""COMPUTED_VALUE"""),"")</f>
        <v/>
      </c>
      <c r="B50" s="160" t="str">
        <f>IFERROR(__xludf.DUMMYFUNCTION("""COMPUTED_VALUE"""),"Бензогенератор FOGO FH 8000 RTEA")</f>
        <v>Бензогенератор FOGO FH 8000 RTEA</v>
      </c>
      <c r="C50" s="161" t="str">
        <f>IFERROR(__xludf.DUMMYFUNCTION("""COMPUTED_VALUE"""),"5,6 / 4,0 кВт")</f>
        <v>5,6 / 4,0 кВт</v>
      </c>
      <c r="D50" s="191" t="str">
        <f>IFERROR(__xludf.DUMMYFUNCTION("""COMPUTED_VALUE"""),"GX390 HONDA")</f>
        <v>GX390 HONDA</v>
      </c>
      <c r="E50" s="192">
        <f>IFERROR(__xludf.DUMMYFUNCTION("""COMPUTED_VALUE"""),5468.0)</f>
        <v>5468</v>
      </c>
      <c r="F50" s="163">
        <f>IFERROR(__xludf.DUMMYFUNCTION("""COMPUTED_VALUE"""),4647.8)</f>
        <v>4647.8</v>
      </c>
      <c r="G50" s="164"/>
      <c r="H50" s="85">
        <f t="shared" si="2"/>
        <v>820.2</v>
      </c>
      <c r="I50" s="87" t="str">
        <f>IFERROR(__xludf.DUMMYFUNCTION("""COMPUTED_VALUE"""),"под заказ")</f>
        <v>под заказ</v>
      </c>
      <c r="J50" s="166" t="str">
        <f>IFERROR(__xludf.DUMMYFUNCTION("""COMPUTED_VALUE"""),"")</f>
        <v/>
      </c>
      <c r="K50" s="51"/>
      <c r="L50" s="51"/>
    </row>
    <row r="51" hidden="1" outlineLevel="1">
      <c r="A51" s="51" t="str">
        <f>IFERROR(__xludf.DUMMYFUNCTION("""COMPUTED_VALUE"""),"")</f>
        <v/>
      </c>
      <c r="B51" s="160" t="str">
        <f>IFERROR(__xludf.DUMMYFUNCTION("""COMPUTED_VALUE"""),"Бензогенератор FOGO FH 8000 RCE")</f>
        <v>Бензогенератор FOGO FH 8000 RCE</v>
      </c>
      <c r="C51" s="161" t="str">
        <f>IFERROR(__xludf.DUMMYFUNCTION("""COMPUTED_VALUE"""),"5,6 / 4,0 кВт")</f>
        <v>5,6 / 4,0 кВт</v>
      </c>
      <c r="D51" s="191" t="str">
        <f>IFERROR(__xludf.DUMMYFUNCTION("""COMPUTED_VALUE"""),"GX390 HONDA")</f>
        <v>GX390 HONDA</v>
      </c>
      <c r="E51" s="192">
        <f>IFERROR(__xludf.DUMMYFUNCTION("""COMPUTED_VALUE"""),10027.0)</f>
        <v>10027</v>
      </c>
      <c r="F51" s="163">
        <f>IFERROR(__xludf.DUMMYFUNCTION("""COMPUTED_VALUE"""),8522.949999999999)</f>
        <v>8522.95</v>
      </c>
      <c r="G51" s="164"/>
      <c r="H51" s="85">
        <f t="shared" si="2"/>
        <v>1504.05</v>
      </c>
      <c r="I51" s="87" t="str">
        <f>IFERROR(__xludf.DUMMYFUNCTION("""COMPUTED_VALUE"""),"под заказ")</f>
        <v>под заказ</v>
      </c>
      <c r="J51" s="166" t="str">
        <f>IFERROR(__xludf.DUMMYFUNCTION("""COMPUTED_VALUE"""),"")</f>
        <v/>
      </c>
      <c r="K51" s="51"/>
      <c r="L51" s="51"/>
    </row>
    <row r="52" hidden="1" outlineLevel="1">
      <c r="A52" s="51" t="str">
        <f>IFERROR(__xludf.DUMMYFUNCTION("""COMPUTED_VALUE"""),"")</f>
        <v/>
      </c>
      <c r="B52" s="160" t="str">
        <f>IFERROR(__xludf.DUMMYFUNCTION("""COMPUTED_VALUE"""),"Бензогенератор FOGO FH 8000 RCEA")</f>
        <v>Бензогенератор FOGO FH 8000 RCEA</v>
      </c>
      <c r="C52" s="161" t="str">
        <f>IFERROR(__xludf.DUMMYFUNCTION("""COMPUTED_VALUE"""),"5,6 / 4,0 кВт")</f>
        <v>5,6 / 4,0 кВт</v>
      </c>
      <c r="D52" s="191" t="str">
        <f>IFERROR(__xludf.DUMMYFUNCTION("""COMPUTED_VALUE"""),"GX390 HONDA")</f>
        <v>GX390 HONDA</v>
      </c>
      <c r="E52" s="192">
        <f>IFERROR(__xludf.DUMMYFUNCTION("""COMPUTED_VALUE"""),10697.0)</f>
        <v>10697</v>
      </c>
      <c r="F52" s="163">
        <f>IFERROR(__xludf.DUMMYFUNCTION("""COMPUTED_VALUE"""),9092.449999999999)</f>
        <v>9092.45</v>
      </c>
      <c r="G52" s="164"/>
      <c r="H52" s="85">
        <f t="shared" si="2"/>
        <v>1604.55</v>
      </c>
      <c r="I52" s="87" t="str">
        <f>IFERROR(__xludf.DUMMYFUNCTION("""COMPUTED_VALUE"""),"под заказ")</f>
        <v>под заказ</v>
      </c>
      <c r="J52" s="166" t="str">
        <f>IFERROR(__xludf.DUMMYFUNCTION("""COMPUTED_VALUE"""),"")</f>
        <v/>
      </c>
      <c r="K52" s="51"/>
      <c r="L52" s="51"/>
    </row>
    <row r="53">
      <c r="A53" s="159">
        <f>IFERROR(__xludf.DUMMYFUNCTION("""COMPUTED_VALUE"""),2604.0)</f>
        <v>2604</v>
      </c>
      <c r="B53" s="94" t="str">
        <f>IFERROR(__xludf.DUMMYFUNCTION("""COMPUTED_VALUE"""),"Бензогенератор FOGO FH 7000 T")</f>
        <v>Бензогенератор FOGO FH 7000 T</v>
      </c>
      <c r="C53" s="169" t="str">
        <f>IFERROR(__xludf.DUMMYFUNCTION("""COMPUTED_VALUE"""),"5,6 / 4,0 кВт")</f>
        <v>5,6 / 4,0 кВт</v>
      </c>
      <c r="D53" s="170" t="str">
        <f>IFERROR(__xludf.DUMMYFUNCTION("""COMPUTED_VALUE"""),"GX390 HONDA")</f>
        <v>GX390 HONDA</v>
      </c>
      <c r="E53" s="172">
        <f>IFERROR(__xludf.DUMMYFUNCTION("""COMPUTED_VALUE"""),3308.0)</f>
        <v>3308</v>
      </c>
      <c r="F53" s="174">
        <f>IFERROR(__xludf.DUMMYFUNCTION("""COMPUTED_VALUE"""),2811.7999999999997)</f>
        <v>2811.8</v>
      </c>
      <c r="G53" s="164"/>
      <c r="H53" s="85">
        <f t="shared" si="2"/>
        <v>496.2</v>
      </c>
      <c r="I53" s="87" t="str">
        <f>IFERROR(__xludf.DUMMYFUNCTION("""COMPUTED_VALUE"""),"в наличии")</f>
        <v>в наличии</v>
      </c>
      <c r="J53" s="166" t="str">
        <f>IFERROR(__xludf.DUMMYFUNCTION("""COMPUTED_VALUE"""),"")</f>
        <v/>
      </c>
      <c r="K53" s="179"/>
      <c r="L53" s="205"/>
    </row>
    <row r="54" ht="14.25" customHeight="1">
      <c r="A54" s="159">
        <f>IFERROR(__xludf.DUMMYFUNCTION("""COMPUTED_VALUE"""),4547.0)</f>
        <v>4547</v>
      </c>
      <c r="B54" s="94" t="str">
        <f>IFERROR(__xludf.DUMMYFUNCTION("""COMPUTED_VALUE"""),"Бензогенератор FOGO FH 7000 TE ")</f>
        <v>Бензогенератор FOGO FH 7000 TE </v>
      </c>
      <c r="C54" s="179" t="str">
        <f>IFERROR(__xludf.DUMMYFUNCTION("""COMPUTED_VALUE"""),"5,6 / 4,0 кВт")</f>
        <v>5,6 / 4,0 кВт</v>
      </c>
      <c r="D54" s="170" t="str">
        <f>IFERROR(__xludf.DUMMYFUNCTION("""COMPUTED_VALUE"""),"GX390 HONDA")</f>
        <v>GX390 HONDA</v>
      </c>
      <c r="E54" s="172">
        <f>IFERROR(__xludf.DUMMYFUNCTION("""COMPUTED_VALUE"""),3734.0)</f>
        <v>3734</v>
      </c>
      <c r="F54" s="174">
        <f>IFERROR(__xludf.DUMMYFUNCTION("""COMPUTED_VALUE"""),3173.9)</f>
        <v>3173.9</v>
      </c>
      <c r="G54" s="164"/>
      <c r="H54" s="85">
        <f t="shared" si="2"/>
        <v>560.1</v>
      </c>
      <c r="I54" s="87" t="str">
        <f>IFERROR(__xludf.DUMMYFUNCTION("""COMPUTED_VALUE"""),"в наличии")</f>
        <v>в наличии</v>
      </c>
      <c r="J54" s="166" t="str">
        <f>IFERROR(__xludf.DUMMYFUNCTION("""COMPUTED_VALUE"""),"")</f>
        <v/>
      </c>
      <c r="K54" s="51"/>
      <c r="L54" s="51"/>
    </row>
    <row r="55">
      <c r="A55" s="159">
        <f>IFERROR(__xludf.DUMMYFUNCTION("""COMPUTED_VALUE"""),3717.0)</f>
        <v>3717</v>
      </c>
      <c r="B55" s="94" t="str">
        <f>IFERROR(__xludf.DUMMYFUNCTION("""COMPUTED_VALUE"""),"Бензогенератор FOGO FH 9000")</f>
        <v>Бензогенератор FOGO FH 9000</v>
      </c>
      <c r="C55" s="169" t="str">
        <f>IFERROR(__xludf.DUMMYFUNCTION("""COMPUTED_VALUE"""),"6,2 / 5,6 кВт")</f>
        <v>6,2 / 5,6 кВт</v>
      </c>
      <c r="D55" s="170" t="str">
        <f>IFERROR(__xludf.DUMMYFUNCTION("""COMPUTED_VALUE"""),"GX390 HONDA")</f>
        <v>GX390 HONDA</v>
      </c>
      <c r="E55" s="172">
        <f>IFERROR(__xludf.DUMMYFUNCTION("""COMPUTED_VALUE"""),3284.0)</f>
        <v>3284</v>
      </c>
      <c r="F55" s="174">
        <f>IFERROR(__xludf.DUMMYFUNCTION("""COMPUTED_VALUE"""),2791.4)</f>
        <v>2791.4</v>
      </c>
      <c r="G55" s="164"/>
      <c r="H55" s="85">
        <f t="shared" si="2"/>
        <v>492.6</v>
      </c>
      <c r="I55" s="87" t="str">
        <f>IFERROR(__xludf.DUMMYFUNCTION("""COMPUTED_VALUE"""),"в наличии")</f>
        <v>в наличии</v>
      </c>
      <c r="J55" s="177" t="str">
        <f>IFERROR(__xludf.DUMMYFUNCTION("""COMPUTED_VALUE"""),"http://fogo.by/index.pl?act=PRODUCT&amp;id=237")</f>
        <v>http://fogo.by/index.pl?act=PRODUCT&amp;id=237</v>
      </c>
      <c r="K55" s="179"/>
      <c r="L55" s="51"/>
    </row>
    <row r="56" ht="13.5" customHeight="1">
      <c r="A56" s="159">
        <f>IFERROR(__xludf.DUMMYFUNCTION("""COMPUTED_VALUE"""),4548.0)</f>
        <v>4548</v>
      </c>
      <c r="B56" s="98" t="str">
        <f>IFERROR(__xludf.DUMMYFUNCTION("""COMPUTED_VALUE"""),"Бензогенератор FOGO FH 9000 E ")</f>
        <v>Бензогенератор FOGO FH 9000 E </v>
      </c>
      <c r="C56" s="100" t="str">
        <f>IFERROR(__xludf.DUMMYFUNCTION("""COMPUTED_VALUE"""),"6,2 / 5,6 кВт")</f>
        <v>6,2 / 5,6 кВт</v>
      </c>
      <c r="D56" s="102" t="str">
        <f>IFERROR(__xludf.DUMMYFUNCTION("""COMPUTED_VALUE"""),"GX390 HONDA")</f>
        <v>GX390 HONDA</v>
      </c>
      <c r="E56" s="104">
        <f>IFERROR(__xludf.DUMMYFUNCTION("""COMPUTED_VALUE"""),3941.0)</f>
        <v>3941</v>
      </c>
      <c r="F56" s="85">
        <f>IFERROR(__xludf.DUMMYFUNCTION("""COMPUTED_VALUE"""),3349.85)</f>
        <v>3349.85</v>
      </c>
      <c r="G56" s="82"/>
      <c r="H56" s="85">
        <f t="shared" si="2"/>
        <v>591.15</v>
      </c>
      <c r="I56" s="87" t="str">
        <f>IFERROR(__xludf.DUMMYFUNCTION("""COMPUTED_VALUE"""),"в наличии")</f>
        <v>в наличии</v>
      </c>
      <c r="J56" s="166" t="str">
        <f>IFERROR(__xludf.DUMMYFUNCTION("""COMPUTED_VALUE"""),"")</f>
        <v/>
      </c>
      <c r="K56" s="51"/>
      <c r="L56" s="51"/>
    </row>
    <row r="57" ht="13.5" customHeight="1" collapsed="1">
      <c r="A57" s="159">
        <f>IFERROR(__xludf.DUMMYFUNCTION("""COMPUTED_VALUE"""),4549.0)</f>
        <v>4549</v>
      </c>
      <c r="B57" s="98" t="str">
        <f>IFERROR(__xludf.DUMMYFUNCTION("""COMPUTED_VALUE"""),"Бензогенератор FOGO FH 9000 R")</f>
        <v>Бензогенератор FOGO FH 9000 R</v>
      </c>
      <c r="C57" s="100" t="str">
        <f>IFERROR(__xludf.DUMMYFUNCTION("""COMPUTED_VALUE"""),"6,2 / 5,6 кВт")</f>
        <v>6,2 / 5,6 кВт</v>
      </c>
      <c r="D57" s="102" t="str">
        <f>IFERROR(__xludf.DUMMYFUNCTION("""COMPUTED_VALUE"""),"GX390 HONDA")</f>
        <v>GX390 HONDA</v>
      </c>
      <c r="E57" s="104">
        <f>IFERROR(__xludf.DUMMYFUNCTION("""COMPUTED_VALUE"""),3706.0)</f>
        <v>3706</v>
      </c>
      <c r="F57" s="85">
        <f>IFERROR(__xludf.DUMMYFUNCTION("""COMPUTED_VALUE"""),3150.1)</f>
        <v>3150.1</v>
      </c>
      <c r="G57" s="82"/>
      <c r="H57" s="85">
        <f t="shared" si="2"/>
        <v>555.9</v>
      </c>
      <c r="I57" s="87" t="str">
        <f>IFERROR(__xludf.DUMMYFUNCTION("""COMPUTED_VALUE"""),"под заказ")</f>
        <v>под заказ</v>
      </c>
      <c r="J57" s="166" t="str">
        <f>IFERROR(__xludf.DUMMYFUNCTION("""COMPUTED_VALUE"""),"")</f>
        <v/>
      </c>
      <c r="K57" s="51"/>
      <c r="L57" s="51"/>
    </row>
    <row r="58" hidden="1" outlineLevel="1">
      <c r="A58" s="210">
        <f>IFERROR(__xludf.DUMMYFUNCTION("""COMPUTED_VALUE"""),4550.0)</f>
        <v>4550</v>
      </c>
      <c r="B58" s="160" t="str">
        <f>IFERROR(__xludf.DUMMYFUNCTION("""COMPUTED_VALUE"""),"Бензогенератор FOGO FH 9000 RE")</f>
        <v>Бензогенератор FOGO FH 9000 RE</v>
      </c>
      <c r="C58" s="161" t="str">
        <f>IFERROR(__xludf.DUMMYFUNCTION("""COMPUTED_VALUE"""),"6,2 / 5,6 кВт")</f>
        <v>6,2 / 5,6 кВт</v>
      </c>
      <c r="D58" s="191" t="str">
        <f>IFERROR(__xludf.DUMMYFUNCTION("""COMPUTED_VALUE"""),"GX390 HONDA")</f>
        <v>GX390 HONDA</v>
      </c>
      <c r="E58" s="192">
        <f>IFERROR(__xludf.DUMMYFUNCTION("""COMPUTED_VALUE"""),5304.0)</f>
        <v>5304</v>
      </c>
      <c r="F58" s="163">
        <f>IFERROR(__xludf.DUMMYFUNCTION("""COMPUTED_VALUE"""),4508.4)</f>
        <v>4508.4</v>
      </c>
      <c r="G58" s="164"/>
      <c r="H58" s="85">
        <f t="shared" si="2"/>
        <v>795.6</v>
      </c>
      <c r="I58" s="87" t="str">
        <f>IFERROR(__xludf.DUMMYFUNCTION("""COMPUTED_VALUE"""),"под заказ")</f>
        <v>под заказ</v>
      </c>
      <c r="J58" s="166" t="str">
        <f>IFERROR(__xludf.DUMMYFUNCTION("""COMPUTED_VALUE"""),"")</f>
        <v/>
      </c>
      <c r="K58" s="51"/>
      <c r="L58" s="51"/>
    </row>
    <row r="59" collapsed="1">
      <c r="A59" s="159">
        <f>IFERROR(__xludf.DUMMYFUNCTION("""COMPUTED_VALUE"""),2702.0)</f>
        <v>2702</v>
      </c>
      <c r="B59" s="94" t="str">
        <f>IFERROR(__xludf.DUMMYFUNCTION("""COMPUTED_VALUE"""),"Бензогенератор FOGO FV 11000")</f>
        <v>Бензогенератор FOGO FV 11000</v>
      </c>
      <c r="C59" s="169" t="str">
        <f>IFERROR(__xludf.DUMMYFUNCTION("""COMPUTED_VALUE"""),"7,6 / 5,6 кВт")</f>
        <v>7,6 / 5,6 кВт</v>
      </c>
      <c r="D59" s="212" t="str">
        <f>IFERROR(__xludf.DUMMYFUNCTION("""COMPUTED_VALUE"""),"Briggs&amp;Stratton 
VNG 16 HP")</f>
        <v>Briggs&amp;Stratton 
VNG 16 HP</v>
      </c>
      <c r="E59" s="172">
        <f>IFERROR(__xludf.DUMMYFUNCTION("""COMPUTED_VALUE"""),5781.0)</f>
        <v>5781</v>
      </c>
      <c r="F59" s="174">
        <f>IFERROR(__xludf.DUMMYFUNCTION("""COMPUTED_VALUE"""),4913.849999999999)</f>
        <v>4913.85</v>
      </c>
      <c r="G59" s="164"/>
      <c r="H59" s="85">
        <f t="shared" si="2"/>
        <v>867.15</v>
      </c>
      <c r="I59" s="87" t="str">
        <f>IFERROR(__xludf.DUMMYFUNCTION("""COMPUTED_VALUE"""),"в наличии")</f>
        <v>в наличии</v>
      </c>
      <c r="J59" s="177" t="str">
        <f>IFERROR(__xludf.DUMMYFUNCTION("""COMPUTED_VALUE"""),"http://fogo.by/index.pl?act=PRODUCT&amp;id=250")</f>
        <v>http://fogo.by/index.pl?act=PRODUCT&amp;id=250</v>
      </c>
      <c r="K59" s="179"/>
      <c r="L59" s="51"/>
    </row>
    <row r="60" hidden="1" outlineLevel="1">
      <c r="A60" s="51" t="str">
        <f>IFERROR(__xludf.DUMMYFUNCTION("""COMPUTED_VALUE"""),"")</f>
        <v/>
      </c>
      <c r="B60" s="160" t="str">
        <f>IFERROR(__xludf.DUMMYFUNCTION("""COMPUTED_VALUE"""),"Бензогенератор FOGO FV 11000 R")</f>
        <v>Бензогенератор FOGO FV 11000 R</v>
      </c>
      <c r="C60" s="161" t="str">
        <f>IFERROR(__xludf.DUMMYFUNCTION("""COMPUTED_VALUE"""),"7,6 / 5,6 кВт")</f>
        <v>7,6 / 5,6 кВт</v>
      </c>
      <c r="D60" s="162" t="str">
        <f>IFERROR(__xludf.DUMMYFUNCTION("""COMPUTED_VALUE"""),"Briggs&amp;Stratton 
VNG 16 HP")</f>
        <v>Briggs&amp;Stratton 
VNG 16 HP</v>
      </c>
      <c r="E60" s="192">
        <f>IFERROR(__xludf.DUMMYFUNCTION("""COMPUTED_VALUE"""),6101.0)</f>
        <v>6101</v>
      </c>
      <c r="F60" s="163">
        <f>IFERROR(__xludf.DUMMYFUNCTION("""COMPUTED_VALUE"""),5185.849999999999)</f>
        <v>5185.85</v>
      </c>
      <c r="G60" s="164"/>
      <c r="H60" s="85">
        <f t="shared" si="2"/>
        <v>915.15</v>
      </c>
      <c r="I60" s="87" t="str">
        <f>IFERROR(__xludf.DUMMYFUNCTION("""COMPUTED_VALUE"""),"под заказ")</f>
        <v>под заказ</v>
      </c>
      <c r="J60" s="166" t="str">
        <f>IFERROR(__xludf.DUMMYFUNCTION("""COMPUTED_VALUE"""),"")</f>
        <v/>
      </c>
      <c r="K60" s="51"/>
      <c r="L60" s="51"/>
    </row>
    <row r="61" collapsed="1">
      <c r="A61" s="159">
        <f>IFERROR(__xludf.DUMMYFUNCTION("""COMPUTED_VALUE"""),4293.0)</f>
        <v>4293</v>
      </c>
      <c r="B61" s="94" t="str">
        <f>IFERROR(__xludf.DUMMYFUNCTION("""COMPUTED_VALUE"""),"Бензогенератор FOGO FV 13000 RTE")</f>
        <v>Бензогенератор FOGO FV 13000 RTE</v>
      </c>
      <c r="C61" s="169" t="str">
        <f>IFERROR(__xludf.DUMMYFUNCTION("""COMPUTED_VALUE"""),"9,1 / 5,4 кВт")</f>
        <v>9,1 / 5,4 кВт</v>
      </c>
      <c r="D61" s="212" t="str">
        <f>IFERROR(__xludf.DUMMYFUNCTION("""COMPUTED_VALUE"""),"Briggs&amp;Stratton 
VNG 18 HP")</f>
        <v>Briggs&amp;Stratton 
VNG 18 HP</v>
      </c>
      <c r="E61" s="172">
        <f>IFERROR(__xludf.DUMMYFUNCTION("""COMPUTED_VALUE"""),6898.0)</f>
        <v>6898</v>
      </c>
      <c r="F61" s="174">
        <f>IFERROR(__xludf.DUMMYFUNCTION("""COMPUTED_VALUE"""),5863.3)</f>
        <v>5863.3</v>
      </c>
      <c r="G61" s="164"/>
      <c r="H61" s="85">
        <f t="shared" si="2"/>
        <v>1034.7</v>
      </c>
      <c r="I61" s="87" t="str">
        <f>IFERROR(__xludf.DUMMYFUNCTION("""COMPUTED_VALUE"""),"в наличии")</f>
        <v>в наличии</v>
      </c>
      <c r="J61" s="177" t="str">
        <f>IFERROR(__xludf.DUMMYFUNCTION("""COMPUTED_VALUE"""),"http://fogo.by/index.pl?act=PRODUCT&amp;id=59")</f>
        <v>http://fogo.by/index.pl?act=PRODUCT&amp;id=59</v>
      </c>
      <c r="K61" s="179"/>
      <c r="L61" s="51"/>
    </row>
    <row r="62" hidden="1" outlineLevel="1">
      <c r="A62" s="159" t="str">
        <f>IFERROR(__xludf.DUMMYFUNCTION("""COMPUTED_VALUE"""),"")</f>
        <v/>
      </c>
      <c r="B62" s="160" t="str">
        <f>IFERROR(__xludf.DUMMYFUNCTION("""COMPUTED_VALUE"""),"Бензогенератор FOGO FV 13000 RTEA")</f>
        <v>Бензогенератор FOGO FV 13000 RTEA</v>
      </c>
      <c r="C62" s="161" t="str">
        <f>IFERROR(__xludf.DUMMYFUNCTION("""COMPUTED_VALUE"""),"9,1 / 5,4 кВт")</f>
        <v>9,1 / 5,4 кВт</v>
      </c>
      <c r="D62" s="162" t="str">
        <f>IFERROR(__xludf.DUMMYFUNCTION("""COMPUTED_VALUE"""),"Briggs&amp;Stratton 
VNG 18 HP")</f>
        <v>Briggs&amp;Stratton 
VNG 18 HP</v>
      </c>
      <c r="E62" s="192">
        <f>IFERROR(__xludf.DUMMYFUNCTION("""COMPUTED_VALUE"""),7049.0)</f>
        <v>7049</v>
      </c>
      <c r="F62" s="163">
        <f>IFERROR(__xludf.DUMMYFUNCTION("""COMPUTED_VALUE"""),5991.65)</f>
        <v>5991.65</v>
      </c>
      <c r="G62" s="164"/>
      <c r="H62" s="85">
        <f t="shared" si="2"/>
        <v>1057.35</v>
      </c>
      <c r="I62" s="87" t="str">
        <f>IFERROR(__xludf.DUMMYFUNCTION("""COMPUTED_VALUE"""),"под заказ")</f>
        <v>под заказ</v>
      </c>
      <c r="J62" s="166" t="str">
        <f>IFERROR(__xludf.DUMMYFUNCTION("""COMPUTED_VALUE"""),"")</f>
        <v/>
      </c>
      <c r="K62" s="51"/>
      <c r="L62" s="51"/>
    </row>
    <row r="63" hidden="1" outlineLevel="1">
      <c r="A63" s="159" t="str">
        <f>IFERROR(__xludf.DUMMYFUNCTION("""COMPUTED_VALUE"""),"")</f>
        <v/>
      </c>
      <c r="B63" s="160" t="str">
        <f>IFERROR(__xludf.DUMMYFUNCTION("""COMPUTED_VALUE"""),"Бензогенератор FOGO FV 13000 RCEA")</f>
        <v>Бензогенератор FOGO FV 13000 RCEA</v>
      </c>
      <c r="C63" s="161" t="str">
        <f>IFERROR(__xludf.DUMMYFUNCTION("""COMPUTED_VALUE"""),"9,1 / 5,4 кВт")</f>
        <v>9,1 / 5,4 кВт</v>
      </c>
      <c r="D63" s="162" t="str">
        <f>IFERROR(__xludf.DUMMYFUNCTION("""COMPUTED_VALUE"""),"Briggs&amp;Stratton 
VNG 18 HP")</f>
        <v>Briggs&amp;Stratton 
VNG 18 HP</v>
      </c>
      <c r="E63" s="192">
        <f>IFERROR(__xludf.DUMMYFUNCTION("""COMPUTED_VALUE"""),11508.0)</f>
        <v>11508</v>
      </c>
      <c r="F63" s="163">
        <f>IFERROR(__xludf.DUMMYFUNCTION("""COMPUTED_VALUE"""),9781.8)</f>
        <v>9781.8</v>
      </c>
      <c r="G63" s="164"/>
      <c r="H63" s="85">
        <f t="shared" si="2"/>
        <v>1726.2</v>
      </c>
      <c r="I63" s="87" t="str">
        <f>IFERROR(__xludf.DUMMYFUNCTION("""COMPUTED_VALUE"""),"под заказ")</f>
        <v>под заказ</v>
      </c>
      <c r="J63" s="166" t="str">
        <f>IFERROR(__xludf.DUMMYFUNCTION("""COMPUTED_VALUE"""),"")</f>
        <v/>
      </c>
      <c r="K63" s="51"/>
      <c r="L63" s="51"/>
    </row>
    <row r="64" collapsed="1">
      <c r="A64" s="159">
        <f>IFERROR(__xludf.DUMMYFUNCTION("""COMPUTED_VALUE"""),4520.0)</f>
        <v>4520</v>
      </c>
      <c r="B64" s="94" t="str">
        <f>IFERROR(__xludf.DUMMYFUNCTION("""COMPUTED_VALUE"""),"Бензогенератор FOGO FV 15000 RTE")</f>
        <v>Бензогенератор FOGO FV 15000 RTE</v>
      </c>
      <c r="C64" s="169" t="str">
        <f>IFERROR(__xludf.DUMMYFUNCTION("""COMPUTED_VALUE"""),"10,4 / 5,4 кВт")</f>
        <v>10,4 / 5,4 кВт</v>
      </c>
      <c r="D64" s="212" t="str">
        <f>IFERROR(__xludf.DUMMYFUNCTION("""COMPUTED_VALUE"""),"Briggs&amp;Stratton 
VNG 21 HP")</f>
        <v>Briggs&amp;Stratton 
VNG 21 HP</v>
      </c>
      <c r="E64" s="172">
        <f>IFERROR(__xludf.DUMMYFUNCTION("""COMPUTED_VALUE"""),7439.0)</f>
        <v>7439</v>
      </c>
      <c r="F64" s="174">
        <f>IFERROR(__xludf.DUMMYFUNCTION("""COMPUTED_VALUE"""),6323.15)</f>
        <v>6323.15</v>
      </c>
      <c r="G64" s="164"/>
      <c r="H64" s="85">
        <f t="shared" si="2"/>
        <v>1115.85</v>
      </c>
      <c r="I64" s="87" t="str">
        <f>IFERROR(__xludf.DUMMYFUNCTION("""COMPUTED_VALUE"""),"в наличии")</f>
        <v>в наличии</v>
      </c>
      <c r="J64" s="177" t="str">
        <f>IFERROR(__xludf.DUMMYFUNCTION("""COMPUTED_VALUE"""),"http://fogo.by/index.pl?act=PRODUCT&amp;id=62")</f>
        <v>http://fogo.by/index.pl?act=PRODUCT&amp;id=62</v>
      </c>
      <c r="K64" s="179"/>
      <c r="L64" s="51"/>
    </row>
    <row r="65" hidden="1" outlineLevel="1">
      <c r="A65" s="159" t="str">
        <f>IFERROR(__xludf.DUMMYFUNCTION("""COMPUTED_VALUE"""),"")</f>
        <v/>
      </c>
      <c r="B65" s="160" t="str">
        <f>IFERROR(__xludf.DUMMYFUNCTION("""COMPUTED_VALUE"""),"Бензогенератор FOGO FV 15000 RTEA")</f>
        <v>Бензогенератор FOGO FV 15000 RTEA</v>
      </c>
      <c r="C65" s="161" t="str">
        <f>IFERROR(__xludf.DUMMYFUNCTION("""COMPUTED_VALUE"""),"10,4 / 5,4 кВт")</f>
        <v>10,4 / 5,4 кВт</v>
      </c>
      <c r="D65" s="162" t="str">
        <f>IFERROR(__xludf.DUMMYFUNCTION("""COMPUTED_VALUE"""),"Briggs&amp;Stratton 
VNG 21 HP")</f>
        <v>Briggs&amp;Stratton 
VNG 21 HP</v>
      </c>
      <c r="E65" s="192">
        <f>IFERROR(__xludf.DUMMYFUNCTION("""COMPUTED_VALUE"""),7591.0)</f>
        <v>7591</v>
      </c>
      <c r="F65" s="163">
        <f>IFERROR(__xludf.DUMMYFUNCTION("""COMPUTED_VALUE"""),6452.349999999999)</f>
        <v>6452.35</v>
      </c>
      <c r="G65" s="164"/>
      <c r="H65" s="85">
        <f t="shared" si="2"/>
        <v>1138.65</v>
      </c>
      <c r="I65" s="87" t="str">
        <f>IFERROR(__xludf.DUMMYFUNCTION("""COMPUTED_VALUE"""),"под заказ")</f>
        <v>под заказ</v>
      </c>
      <c r="J65" s="166" t="str">
        <f>IFERROR(__xludf.DUMMYFUNCTION("""COMPUTED_VALUE"""),"")</f>
        <v/>
      </c>
      <c r="K65" s="51"/>
      <c r="L65" s="51"/>
    </row>
    <row r="66" hidden="1" outlineLevel="1">
      <c r="A66" s="159" t="str">
        <f>IFERROR(__xludf.DUMMYFUNCTION("""COMPUTED_VALUE"""),"")</f>
        <v/>
      </c>
      <c r="B66" s="160" t="str">
        <f>IFERROR(__xludf.DUMMYFUNCTION("""COMPUTED_VALUE"""),"Бензогенератор FOGO FV 15000 RCEA")</f>
        <v>Бензогенератор FOGO FV 15000 RCEA</v>
      </c>
      <c r="C66" s="161" t="str">
        <f>IFERROR(__xludf.DUMMYFUNCTION("""COMPUTED_VALUE"""),"10,4 / 5,4 кВт")</f>
        <v>10,4 / 5,4 кВт</v>
      </c>
      <c r="D66" s="162" t="str">
        <f>IFERROR(__xludf.DUMMYFUNCTION("""COMPUTED_VALUE"""),"Briggs&amp;Stratton 
VNG 21 HP")</f>
        <v>Briggs&amp;Stratton 
VNG 21 HP</v>
      </c>
      <c r="E66" s="192">
        <f>IFERROR(__xludf.DUMMYFUNCTION("""COMPUTED_VALUE"""),11950.0)</f>
        <v>11950</v>
      </c>
      <c r="F66" s="163">
        <f>IFERROR(__xludf.DUMMYFUNCTION("""COMPUTED_VALUE"""),10157.5)</f>
        <v>10157.5</v>
      </c>
      <c r="G66" s="164"/>
      <c r="H66" s="85">
        <f t="shared" si="2"/>
        <v>1792.5</v>
      </c>
      <c r="I66" s="87" t="str">
        <f>IFERROR(__xludf.DUMMYFUNCTION("""COMPUTED_VALUE"""),"под заказ")</f>
        <v>под заказ</v>
      </c>
      <c r="J66" s="166" t="str">
        <f>IFERROR(__xludf.DUMMYFUNCTION("""COMPUTED_VALUE"""),"")</f>
        <v/>
      </c>
      <c r="K66" s="51"/>
      <c r="L66" s="51"/>
    </row>
    <row r="67" collapsed="1">
      <c r="A67" s="159">
        <f>IFERROR(__xludf.DUMMYFUNCTION("""COMPUTED_VALUE"""),4521.0)</f>
        <v>4521</v>
      </c>
      <c r="B67" s="94" t="str">
        <f>IFERROR(__xludf.DUMMYFUNCTION("""COMPUTED_VALUE"""),"Бензогенератор FOGO FV 20000 RTE")</f>
        <v>Бензогенератор FOGO FV 20000 RTE</v>
      </c>
      <c r="C67" s="169" t="str">
        <f>IFERROR(__xludf.DUMMYFUNCTION("""COMPUTED_VALUE"""),"14 / 7,2 кВт")</f>
        <v>14 / 7,2 кВт</v>
      </c>
      <c r="D67" s="212" t="str">
        <f>IFERROR(__xludf.DUMMYFUNCTION("""COMPUTED_VALUE"""),"Briggs&amp;Stratton 
VNG 31 HP")</f>
        <v>Briggs&amp;Stratton 
VNG 31 HP</v>
      </c>
      <c r="E67" s="172">
        <f>IFERROR(__xludf.DUMMYFUNCTION("""COMPUTED_VALUE"""),10425.0)</f>
        <v>10425</v>
      </c>
      <c r="F67" s="174">
        <f>IFERROR(__xludf.DUMMYFUNCTION("""COMPUTED_VALUE"""),8861.25)</f>
        <v>8861.25</v>
      </c>
      <c r="G67" s="164"/>
      <c r="H67" s="85">
        <f t="shared" si="2"/>
        <v>1563.75</v>
      </c>
      <c r="I67" s="87" t="str">
        <f>IFERROR(__xludf.DUMMYFUNCTION("""COMPUTED_VALUE"""),"в наличии")</f>
        <v>в наличии</v>
      </c>
      <c r="J67" s="177" t="str">
        <f>IFERROR(__xludf.DUMMYFUNCTION("""COMPUTED_VALUE"""),"http://fogo.by/index.pl?act=PRODUCT&amp;id=236")</f>
        <v>http://fogo.by/index.pl?act=PRODUCT&amp;id=236</v>
      </c>
      <c r="K67" s="179"/>
      <c r="L67" s="51"/>
    </row>
    <row r="68" hidden="1" outlineLevel="1">
      <c r="A68" s="159" t="str">
        <f>IFERROR(__xludf.DUMMYFUNCTION("""COMPUTED_VALUE"""),"")</f>
        <v/>
      </c>
      <c r="B68" s="160" t="str">
        <f>IFERROR(__xludf.DUMMYFUNCTION("""COMPUTED_VALUE"""),"Бензогенератор FOGO FV 20000 RTEA")</f>
        <v>Бензогенератор FOGO FV 20000 RTEA</v>
      </c>
      <c r="C68" s="161" t="str">
        <f>IFERROR(__xludf.DUMMYFUNCTION("""COMPUTED_VALUE"""),"14 / 7,2 кВт")</f>
        <v>14 / 7,2 кВт</v>
      </c>
      <c r="D68" s="162" t="str">
        <f>IFERROR(__xludf.DUMMYFUNCTION("""COMPUTED_VALUE"""),"Briggs&amp;Stratton 
VNG 31 HP")</f>
        <v>Briggs&amp;Stratton 
VNG 31 HP</v>
      </c>
      <c r="E68" s="163">
        <f>IFERROR(__xludf.DUMMYFUNCTION("""COMPUTED_VALUE"""),11333.0)</f>
        <v>11333</v>
      </c>
      <c r="F68" s="163">
        <f>IFERROR(__xludf.DUMMYFUNCTION("""COMPUTED_VALUE"""),9633.05)</f>
        <v>9633.05</v>
      </c>
      <c r="G68" s="164"/>
      <c r="H68" s="85"/>
      <c r="I68" s="165" t="str">
        <f>IFERROR(__xludf.DUMMYFUNCTION("""COMPUTED_VALUE"""),"")</f>
        <v/>
      </c>
      <c r="J68" s="166" t="str">
        <f>IFERROR(__xludf.DUMMYFUNCTION("""COMPUTED_VALUE"""),"")</f>
        <v/>
      </c>
      <c r="K68" s="51"/>
      <c r="L68" s="51"/>
    </row>
    <row r="69" hidden="1" outlineLevel="1">
      <c r="A69" s="159" t="str">
        <f>IFERROR(__xludf.DUMMYFUNCTION("""COMPUTED_VALUE"""),"")</f>
        <v/>
      </c>
      <c r="B69" s="160" t="str">
        <f>IFERROR(__xludf.DUMMYFUNCTION("""COMPUTED_VALUE"""),"Бензогенератор FOGO FV 20000 RCEA")</f>
        <v>Бензогенератор FOGO FV 20000 RCEA</v>
      </c>
      <c r="C69" s="161" t="str">
        <f>IFERROR(__xludf.DUMMYFUNCTION("""COMPUTED_VALUE"""),"14 / 7,2 кВт")</f>
        <v>14 / 7,2 кВт</v>
      </c>
      <c r="D69" s="162" t="str">
        <f>IFERROR(__xludf.DUMMYFUNCTION("""COMPUTED_VALUE"""),"Briggs&amp;Stratton 
VNG 31 HP")</f>
        <v>Briggs&amp;Stratton 
VNG 31 HP</v>
      </c>
      <c r="E69" s="163">
        <f>IFERROR(__xludf.DUMMYFUNCTION("""COMPUTED_VALUE"""),14826.0)</f>
        <v>14826</v>
      </c>
      <c r="F69" s="163">
        <f>IFERROR(__xludf.DUMMYFUNCTION("""COMPUTED_VALUE"""),12602.1)</f>
        <v>12602.1</v>
      </c>
      <c r="G69" s="164"/>
      <c r="H69" s="85"/>
      <c r="I69" s="165" t="str">
        <f>IFERROR(__xludf.DUMMYFUNCTION("""COMPUTED_VALUE"""),"")</f>
        <v/>
      </c>
      <c r="J69" s="166" t="str">
        <f>IFERROR(__xludf.DUMMYFUNCTION("""COMPUTED_VALUE"""),"")</f>
        <v/>
      </c>
      <c r="K69" s="51"/>
      <c r="L69" s="51"/>
    </row>
    <row r="70">
      <c r="A70" s="51" t="str">
        <f>IFERROR(__xludf.DUMMYFUNCTION("""COMPUTED_VALUE"""),"")</f>
        <v/>
      </c>
      <c r="B70" s="53" t="str">
        <f>IFERROR(__xludf.DUMMYFUNCTION("""COMPUTED_VALUE"""),"Сварочные генераторы")</f>
        <v>Сварочные генераторы</v>
      </c>
      <c r="C70" s="55" t="str">
        <f>IFERROR(__xludf.DUMMYFUNCTION("""COMPUTED_VALUE"""),"")</f>
        <v/>
      </c>
      <c r="D70" s="55" t="str">
        <f>IFERROR(__xludf.DUMMYFUNCTION("""COMPUTED_VALUE"""),"")</f>
        <v/>
      </c>
      <c r="E70" s="55" t="str">
        <f>IFERROR(__xludf.DUMMYFUNCTION("""COMPUTED_VALUE"""),"")</f>
        <v/>
      </c>
      <c r="F70" s="55" t="str">
        <f>IFERROR(__xludf.DUMMYFUNCTION("""COMPUTED_VALUE"""),"")</f>
        <v/>
      </c>
      <c r="G70" s="55"/>
      <c r="H70" s="167"/>
      <c r="I70" s="57" t="str">
        <f>IFERROR(__xludf.DUMMYFUNCTION("""COMPUTED_VALUE"""),"")</f>
        <v/>
      </c>
      <c r="J70" s="166" t="str">
        <f>IFERROR(__xludf.DUMMYFUNCTION("""COMPUTED_VALUE"""),"")</f>
        <v/>
      </c>
      <c r="K70" s="51"/>
      <c r="L70" s="51"/>
    </row>
    <row r="71">
      <c r="A71" s="159" t="str">
        <f>IFERROR(__xludf.DUMMYFUNCTION("""COMPUTED_VALUE"""),"")</f>
        <v/>
      </c>
      <c r="B71" s="227" t="str">
        <f>IFERROR(__xludf.DUMMYFUNCTION("""COMPUTED_VALUE"""),"Дизельный сварочный Firman SDW 180Е")</f>
        <v>Дизельный сварочный Firman SDW 180Е</v>
      </c>
      <c r="C71" s="169" t="str">
        <f>IFERROR(__xludf.DUMMYFUNCTION("""COMPUTED_VALUE"""),"4,0 кВт")</f>
        <v>4,0 кВт</v>
      </c>
      <c r="D71" s="170" t="str">
        <f>IFERROR(__xludf.DUMMYFUNCTION("""COMPUTED_VALUE"""),"SDE 186")</f>
        <v>SDE 186</v>
      </c>
      <c r="E71" s="172">
        <f>IFERROR(__xludf.DUMMYFUNCTION("""COMPUTED_VALUE"""),2930.0)</f>
        <v>2930</v>
      </c>
      <c r="F71" s="174">
        <f>IFERROR(__xludf.DUMMYFUNCTION("""COMPUTED_VALUE"""),2490.5)</f>
        <v>2490.5</v>
      </c>
      <c r="G71" s="164"/>
      <c r="H71" s="85">
        <f t="shared" ref="H71:H77" si="3">E71-F71</f>
        <v>439.5</v>
      </c>
      <c r="I71" s="87" t="str">
        <f>IFERROR(__xludf.DUMMYFUNCTION("""COMPUTED_VALUE"""),"в наличии")</f>
        <v>в наличии</v>
      </c>
      <c r="J71" s="177" t="str">
        <f>IFERROR(__xludf.DUMMYFUNCTION("""COMPUTED_VALUE"""),"http://isell.by/index.pl?act=PRODUCT&amp;id=295")</f>
        <v>http://isell.by/index.pl?act=PRODUCT&amp;id=295</v>
      </c>
      <c r="K71" s="179"/>
      <c r="L71" s="51"/>
    </row>
    <row r="72" ht="16.5" customHeight="1">
      <c r="A72" s="159" t="str">
        <f>IFERROR(__xludf.DUMMYFUNCTION("""COMPUTED_VALUE"""),"")</f>
        <v/>
      </c>
      <c r="B72" s="227" t="str">
        <f>IFERROR(__xludf.DUMMYFUNCTION("""COMPUTED_VALUE"""),"Бензиновый сварочный Firman SGW 220")</f>
        <v>Бензиновый сварочный Firman SGW 220</v>
      </c>
      <c r="C72" s="169" t="str">
        <f>IFERROR(__xludf.DUMMYFUNCTION("""COMPUTED_VALUE"""),"6,0 / 3,0 кВт")</f>
        <v>6,0 / 3,0 кВт</v>
      </c>
      <c r="D72" s="170" t="str">
        <f>IFERROR(__xludf.DUMMYFUNCTION("""COMPUTED_VALUE""")," SPE 440")</f>
        <v> SPE 440</v>
      </c>
      <c r="E72" s="172">
        <f>IFERROR(__xludf.DUMMYFUNCTION("""COMPUTED_VALUE"""),1788.0)</f>
        <v>1788</v>
      </c>
      <c r="F72" s="174">
        <f>IFERROR(__xludf.DUMMYFUNCTION("""COMPUTED_VALUE"""),1519.8)</f>
        <v>1519.8</v>
      </c>
      <c r="G72" s="164"/>
      <c r="H72" s="85">
        <f t="shared" si="3"/>
        <v>268.2</v>
      </c>
      <c r="I72" s="87" t="str">
        <f>IFERROR(__xludf.DUMMYFUNCTION("""COMPUTED_VALUE"""),"в наличии")</f>
        <v>в наличии</v>
      </c>
      <c r="J72" s="177" t="str">
        <f>IFERROR(__xludf.DUMMYFUNCTION("""COMPUTED_VALUE"""),"http://isell.by/index.pl?act=PRODUCT&amp;id=63")</f>
        <v>http://isell.by/index.pl?act=PRODUCT&amp;id=63</v>
      </c>
      <c r="K72" s="51"/>
      <c r="L72" s="51"/>
    </row>
    <row r="73" ht="15.75" customHeight="1">
      <c r="A73" s="159" t="str">
        <f>IFERROR(__xludf.DUMMYFUNCTION("""COMPUTED_VALUE"""),"")</f>
        <v/>
      </c>
      <c r="B73" s="94" t="str">
        <f>IFERROR(__xludf.DUMMYFUNCTION("""COMPUTED_VALUE"""),"Бензогенератор FOGO FH 5221 S")</f>
        <v>Бензогенератор FOGO FH 5221 S</v>
      </c>
      <c r="C73" s="169" t="str">
        <f>IFERROR(__xludf.DUMMYFUNCTION("""COMPUTED_VALUE"""),"5,0 кВт")</f>
        <v>5,0 кВт</v>
      </c>
      <c r="D73" s="170" t="str">
        <f>IFERROR(__xludf.DUMMYFUNCTION("""COMPUTED_VALUE"""),"GX390 HONDA")</f>
        <v>GX390 HONDA</v>
      </c>
      <c r="E73" s="172">
        <f>IFERROR(__xludf.DUMMYFUNCTION("""COMPUTED_VALUE"""),3539.0)</f>
        <v>3539</v>
      </c>
      <c r="F73" s="174">
        <f>IFERROR(__xludf.DUMMYFUNCTION("""COMPUTED_VALUE"""),3008.15)</f>
        <v>3008.15</v>
      </c>
      <c r="G73" s="164"/>
      <c r="H73" s="85">
        <f t="shared" si="3"/>
        <v>530.85</v>
      </c>
      <c r="I73" s="87" t="str">
        <f>IFERROR(__xludf.DUMMYFUNCTION("""COMPUTED_VALUE"""),"в наличии")</f>
        <v>в наличии</v>
      </c>
      <c r="J73" s="177" t="str">
        <f>IFERROR(__xludf.DUMMYFUNCTION("""COMPUTED_VALUE"""),"http://fogo.by/index.pl?act=PRODUCT&amp;id=256")</f>
        <v>http://fogo.by/index.pl?act=PRODUCT&amp;id=256</v>
      </c>
      <c r="K73" s="51"/>
      <c r="L73" s="51"/>
    </row>
    <row r="74" ht="12.75" customHeight="1">
      <c r="A74" s="159" t="str">
        <f>IFERROR(__xludf.DUMMYFUNCTION("""COMPUTED_VALUE"""),"")</f>
        <v/>
      </c>
      <c r="B74" s="98" t="str">
        <f>IFERROR(__xludf.DUMMYFUNCTION("""COMPUTED_VALUE"""),"Бензогенератор FOGO FH 5221 SE")</f>
        <v>Бензогенератор FOGO FH 5221 SE</v>
      </c>
      <c r="C74" s="100" t="str">
        <f>IFERROR(__xludf.DUMMYFUNCTION("""COMPUTED_VALUE"""),"5,0 кВт")</f>
        <v>5,0 кВт</v>
      </c>
      <c r="D74" s="102" t="str">
        <f>IFERROR(__xludf.DUMMYFUNCTION("""COMPUTED_VALUE"""),"GX390 HONDA")</f>
        <v>GX390 HONDA</v>
      </c>
      <c r="E74" s="104">
        <f>IFERROR(__xludf.DUMMYFUNCTION("""COMPUTED_VALUE"""),4100.0)</f>
        <v>4100</v>
      </c>
      <c r="F74" s="85">
        <f>IFERROR(__xludf.DUMMYFUNCTION("""COMPUTED_VALUE"""),3485.0)</f>
        <v>3485</v>
      </c>
      <c r="G74" s="82"/>
      <c r="H74" s="85">
        <f t="shared" si="3"/>
        <v>615</v>
      </c>
      <c r="I74" s="87" t="str">
        <f>IFERROR(__xludf.DUMMYFUNCTION("""COMPUTED_VALUE"""),"в наличии")</f>
        <v>в наличии</v>
      </c>
      <c r="J74" s="166" t="str">
        <f>IFERROR(__xludf.DUMMYFUNCTION("""COMPUTED_VALUE"""),"")</f>
        <v/>
      </c>
      <c r="K74" s="51"/>
      <c r="L74" s="51"/>
    </row>
    <row r="75">
      <c r="A75" s="159">
        <f>IFERROR(__xludf.DUMMYFUNCTION("""COMPUTED_VALUE"""),4421.0)</f>
        <v>4421</v>
      </c>
      <c r="B75" s="94" t="str">
        <f>IFERROR(__xludf.DUMMYFUNCTION("""COMPUTED_VALUE"""),"Бензогенератор FOGO FH 8220 W")</f>
        <v>Бензогенератор FOGO FH 8220 W</v>
      </c>
      <c r="C75" s="169" t="str">
        <f>IFERROR(__xludf.DUMMYFUNCTION("""COMPUTED_VALUE"""),"5,2 / 3,4 кВт")</f>
        <v>5,2 / 3,4 кВт</v>
      </c>
      <c r="D75" s="170" t="str">
        <f>IFERROR(__xludf.DUMMYFUNCTION("""COMPUTED_VALUE"""),"GX390 HONDA")</f>
        <v>GX390 HONDA</v>
      </c>
      <c r="E75" s="172">
        <f>IFERROR(__xludf.DUMMYFUNCTION("""COMPUTED_VALUE"""),3854.0)</f>
        <v>3854</v>
      </c>
      <c r="F75" s="174">
        <f>IFERROR(__xludf.DUMMYFUNCTION("""COMPUTED_VALUE"""),3275.9)</f>
        <v>3275.9</v>
      </c>
      <c r="G75" s="164"/>
      <c r="H75" s="85">
        <f t="shared" si="3"/>
        <v>578.1</v>
      </c>
      <c r="I75" s="87" t="str">
        <f>IFERROR(__xludf.DUMMYFUNCTION("""COMPUTED_VALUE"""),"в наличии")</f>
        <v>в наличии</v>
      </c>
      <c r="J75" s="177" t="str">
        <f>IFERROR(__xludf.DUMMYFUNCTION("""COMPUTED_VALUE"""),"http://fogo.by/index.pl?act=PRODUCT&amp;id=152")</f>
        <v>http://fogo.by/index.pl?act=PRODUCT&amp;id=152</v>
      </c>
      <c r="K75" s="179"/>
      <c r="L75" s="51"/>
    </row>
    <row r="76" ht="13.5" customHeight="1">
      <c r="A76" s="159">
        <f>IFERROR(__xludf.DUMMYFUNCTION("""COMPUTED_VALUE"""),4551.0)</f>
        <v>4551</v>
      </c>
      <c r="B76" s="98" t="str">
        <f>IFERROR(__xludf.DUMMYFUNCTION("""COMPUTED_VALUE"""),"Бензогенератор FOGO FH 8220 WE")</f>
        <v>Бензогенератор FOGO FH 8220 WE</v>
      </c>
      <c r="C76" s="100" t="str">
        <f>IFERROR(__xludf.DUMMYFUNCTION("""COMPUTED_VALUE"""),"5,2 / 3,4 кВт")</f>
        <v>5,2 / 3,4 кВт</v>
      </c>
      <c r="D76" s="102" t="str">
        <f>IFERROR(__xludf.DUMMYFUNCTION("""COMPUTED_VALUE"""),"GX390 HONDA")</f>
        <v>GX390 HONDA</v>
      </c>
      <c r="E76" s="104">
        <f>IFERROR(__xludf.DUMMYFUNCTION("""COMPUTED_VALUE"""),5631.0)</f>
        <v>5631</v>
      </c>
      <c r="F76" s="85">
        <f>IFERROR(__xludf.DUMMYFUNCTION("""COMPUTED_VALUE"""),4786.349999999999)</f>
        <v>4786.35</v>
      </c>
      <c r="G76" s="82"/>
      <c r="H76" s="85">
        <f t="shared" si="3"/>
        <v>844.65</v>
      </c>
      <c r="I76" s="87" t="str">
        <f>IFERROR(__xludf.DUMMYFUNCTION("""COMPUTED_VALUE"""),"в наличии")</f>
        <v>в наличии</v>
      </c>
      <c r="J76" s="166" t="str">
        <f>IFERROR(__xludf.DUMMYFUNCTION("""COMPUTED_VALUE"""),"")</f>
        <v/>
      </c>
      <c r="K76" s="51"/>
      <c r="L76" s="51"/>
    </row>
    <row r="77">
      <c r="A77" s="159">
        <f>IFERROR(__xludf.DUMMYFUNCTION("""COMPUTED_VALUE"""),4518.0)</f>
        <v>4518</v>
      </c>
      <c r="B77" s="94" t="str">
        <f>IFERROR(__xludf.DUMMYFUNCTION("""COMPUTED_VALUE"""),"Бензогенератор FOGO FV 11300 WTE")</f>
        <v>Бензогенератор FOGO FV 11300 WTE</v>
      </c>
      <c r="C77" s="169" t="str">
        <f>IFERROR(__xludf.DUMMYFUNCTION("""COMPUTED_VALUE"""),"8,0 / 4,0 кВт")</f>
        <v>8,0 / 4,0 кВт</v>
      </c>
      <c r="D77" s="212" t="str">
        <f>IFERROR(__xludf.DUMMYFUNCTION("""COMPUTED_VALUE"""),"Briggs&amp;Stratton 
VNG 21 HP")</f>
        <v>Briggs&amp;Stratton 
VNG 21 HP</v>
      </c>
      <c r="E77" s="172">
        <f>IFERROR(__xludf.DUMMYFUNCTION("""COMPUTED_VALUE"""),10316.0)</f>
        <v>10316</v>
      </c>
      <c r="F77" s="174">
        <f>IFERROR(__xludf.DUMMYFUNCTION("""COMPUTED_VALUE"""),8768.6)</f>
        <v>8768.6</v>
      </c>
      <c r="G77" s="164"/>
      <c r="H77" s="85">
        <f t="shared" si="3"/>
        <v>1547.4</v>
      </c>
      <c r="I77" s="87" t="str">
        <f>IFERROR(__xludf.DUMMYFUNCTION("""COMPUTED_VALUE"""),"в наличии")</f>
        <v>в наличии</v>
      </c>
      <c r="J77" s="177" t="str">
        <f>IFERROR(__xludf.DUMMYFUNCTION("""COMPUTED_VALUE"""),"http://fogo.by/index.pl?act=PRODUCT&amp;id=153")</f>
        <v>http://fogo.by/index.pl?act=PRODUCT&amp;id=153</v>
      </c>
      <c r="K77" s="179"/>
      <c r="L77" s="51"/>
    </row>
    <row r="78">
      <c r="A78" s="51" t="str">
        <f>IFERROR(__xludf.DUMMYFUNCTION("""COMPUTED_VALUE"""),"")</f>
        <v/>
      </c>
      <c r="B78" s="251" t="str">
        <f>IFERROR(__xludf.DUMMYFUNCTION("""COMPUTED_VALUE"""),"Однофазные генераторы 230V IP54 (повышенная защита электронной части от внешней среды) ")</f>
        <v>Однофазные генераторы 230V IP54 (повышенная защита электронной части от внешней среды) </v>
      </c>
      <c r="C78" s="253" t="str">
        <f>IFERROR(__xludf.DUMMYFUNCTION("""COMPUTED_VALUE"""),"")</f>
        <v/>
      </c>
      <c r="D78" s="253" t="str">
        <f>IFERROR(__xludf.DUMMYFUNCTION("""COMPUTED_VALUE"""),"")</f>
        <v/>
      </c>
      <c r="E78" s="253" t="str">
        <f>IFERROR(__xludf.DUMMYFUNCTION("""COMPUTED_VALUE"""),"")</f>
        <v/>
      </c>
      <c r="F78" s="253" t="str">
        <f>IFERROR(__xludf.DUMMYFUNCTION("""COMPUTED_VALUE"""),"")</f>
        <v/>
      </c>
      <c r="G78" s="253"/>
      <c r="H78" s="256"/>
      <c r="I78" s="258" t="str">
        <f>IFERROR(__xludf.DUMMYFUNCTION("""COMPUTED_VALUE"""),"")</f>
        <v/>
      </c>
      <c r="J78" s="166" t="str">
        <f>IFERROR(__xludf.DUMMYFUNCTION("""COMPUTED_VALUE"""),"")</f>
        <v/>
      </c>
      <c r="K78" s="51"/>
      <c r="L78" s="51"/>
    </row>
    <row r="79">
      <c r="A79" s="159">
        <f>IFERROR(__xludf.DUMMYFUNCTION("""COMPUTED_VALUE"""),4552.0)</f>
        <v>4552</v>
      </c>
      <c r="B79" s="94" t="str">
        <f>IFERROR(__xludf.DUMMYFUNCTION("""COMPUTED_VALUE"""),"Бензогенератор FOGO FH 2541")</f>
        <v>Бензогенератор FOGO FH 2541</v>
      </c>
      <c r="C79" s="169" t="str">
        <f>IFERROR(__xludf.DUMMYFUNCTION("""COMPUTED_VALUE"""),"1,8 кВт")</f>
        <v>1,8 кВт</v>
      </c>
      <c r="D79" s="170" t="str">
        <f>IFERROR(__xludf.DUMMYFUNCTION("""COMPUTED_VALUE"""),"GX160 HONDA")</f>
        <v>GX160 HONDA</v>
      </c>
      <c r="E79" s="172">
        <f>IFERROR(__xludf.DUMMYFUNCTION("""COMPUTED_VALUE"""),1364.0)</f>
        <v>1364</v>
      </c>
      <c r="F79" s="174">
        <f>IFERROR(__xludf.DUMMYFUNCTION("""COMPUTED_VALUE"""),1159.3999999999999)</f>
        <v>1159.4</v>
      </c>
      <c r="G79" s="164"/>
      <c r="H79" s="85">
        <f t="shared" ref="H79:H84" si="4">E79-F79</f>
        <v>204.6</v>
      </c>
      <c r="I79" s="87" t="str">
        <f>IFERROR(__xludf.DUMMYFUNCTION("""COMPUTED_VALUE"""),"под заказ")</f>
        <v>под заказ</v>
      </c>
      <c r="J79" s="177" t="str">
        <f>IFERROR(__xludf.DUMMYFUNCTION("""COMPUTED_VALUE"""),"http://fogo.by/index.pl?act=PRODUCT&amp;id=239")</f>
        <v>http://fogo.by/index.pl?act=PRODUCT&amp;id=239</v>
      </c>
      <c r="K79" s="51"/>
      <c r="L79" s="51"/>
    </row>
    <row r="80">
      <c r="A80" s="159">
        <f>IFERROR(__xludf.DUMMYFUNCTION("""COMPUTED_VALUE"""),4553.0)</f>
        <v>4553</v>
      </c>
      <c r="B80" s="94" t="str">
        <f>IFERROR(__xludf.DUMMYFUNCTION("""COMPUTED_VALUE"""),"Бензогенератор FOGO FH 3541")</f>
        <v>Бензогенератор FOGO FH 3541</v>
      </c>
      <c r="C80" s="169" t="str">
        <f>IFERROR(__xludf.DUMMYFUNCTION("""COMPUTED_VALUE"""),"2,7 кВт")</f>
        <v>2,7 кВт</v>
      </c>
      <c r="D80" s="170" t="str">
        <f>IFERROR(__xludf.DUMMYFUNCTION("""COMPUTED_VALUE"""),"GX200 HONDA")</f>
        <v>GX200 HONDA</v>
      </c>
      <c r="E80" s="172">
        <f>IFERROR(__xludf.DUMMYFUNCTION("""COMPUTED_VALUE"""),2648.0)</f>
        <v>2648</v>
      </c>
      <c r="F80" s="174">
        <f>IFERROR(__xludf.DUMMYFUNCTION("""COMPUTED_VALUE"""),2250.7999999999997)</f>
        <v>2250.8</v>
      </c>
      <c r="G80" s="164"/>
      <c r="H80" s="85">
        <f t="shared" si="4"/>
        <v>397.2</v>
      </c>
      <c r="I80" s="87" t="str">
        <f>IFERROR(__xludf.DUMMYFUNCTION("""COMPUTED_VALUE"""),"под заказ")</f>
        <v>под заказ</v>
      </c>
      <c r="J80" s="177" t="str">
        <f>IFERROR(__xludf.DUMMYFUNCTION("""COMPUTED_VALUE"""),"http://fogo.by/index.pl?act=PRODUCT&amp;id=240")</f>
        <v>http://fogo.by/index.pl?act=PRODUCT&amp;id=240</v>
      </c>
      <c r="K80" s="51"/>
      <c r="L80" s="51"/>
    </row>
    <row r="81">
      <c r="A81" s="159">
        <f>IFERROR(__xludf.DUMMYFUNCTION("""COMPUTED_VALUE"""),4555.0)</f>
        <v>4555</v>
      </c>
      <c r="B81" s="94" t="str">
        <f>IFERROR(__xludf.DUMMYFUNCTION("""COMPUTED_VALUE"""),"Бензогенератор FOGO FH 4541")</f>
        <v>Бензогенератор FOGO FH 4541</v>
      </c>
      <c r="C81" s="169" t="str">
        <f>IFERROR(__xludf.DUMMYFUNCTION("""COMPUTED_VALUE"""),"3,5 кВт")</f>
        <v>3,5 кВт</v>
      </c>
      <c r="D81" s="170" t="str">
        <f>IFERROR(__xludf.DUMMYFUNCTION("""COMPUTED_VALUE"""),"GX270 HONDA")</f>
        <v>GX270 HONDA</v>
      </c>
      <c r="E81" s="172">
        <f>IFERROR(__xludf.DUMMYFUNCTION("""COMPUTED_VALUE"""),3485.0)</f>
        <v>3485</v>
      </c>
      <c r="F81" s="174">
        <f>IFERROR(__xludf.DUMMYFUNCTION("""COMPUTED_VALUE"""),2962.25)</f>
        <v>2962.25</v>
      </c>
      <c r="G81" s="164"/>
      <c r="H81" s="85">
        <f t="shared" si="4"/>
        <v>522.75</v>
      </c>
      <c r="I81" s="87" t="str">
        <f>IFERROR(__xludf.DUMMYFUNCTION("""COMPUTED_VALUE"""),"под заказ")</f>
        <v>под заказ</v>
      </c>
      <c r="J81" s="177" t="str">
        <f>IFERROR(__xludf.DUMMYFUNCTION("""COMPUTED_VALUE"""),"http://fogo.by/index.pl?act=PRODUCT&amp;id=242")</f>
        <v>http://fogo.by/index.pl?act=PRODUCT&amp;id=242</v>
      </c>
      <c r="K81" s="51"/>
      <c r="L81" s="51"/>
    </row>
    <row r="82" ht="12.75" customHeight="1">
      <c r="A82" s="159">
        <f>IFERROR(__xludf.DUMMYFUNCTION("""COMPUTED_VALUE"""),4556.0)</f>
        <v>4556</v>
      </c>
      <c r="B82" s="98" t="str">
        <f>IFERROR(__xludf.DUMMYFUNCTION("""COMPUTED_VALUE"""),"Бензогенератор FOGO FH 4541 E ")</f>
        <v>Бензогенератор FOGO FH 4541 E </v>
      </c>
      <c r="C82" s="100" t="str">
        <f>IFERROR(__xludf.DUMMYFUNCTION("""COMPUTED_VALUE"""),"3,5 кВт")</f>
        <v>3,5 кВт</v>
      </c>
      <c r="D82" s="102" t="str">
        <f>IFERROR(__xludf.DUMMYFUNCTION("""COMPUTED_VALUE"""),"GX270 HONDA")</f>
        <v>GX270 HONDA</v>
      </c>
      <c r="E82" s="104">
        <f>IFERROR(__xludf.DUMMYFUNCTION("""COMPUTED_VALUE"""),4882.0)</f>
        <v>4882</v>
      </c>
      <c r="F82" s="85">
        <f>IFERROR(__xludf.DUMMYFUNCTION("""COMPUTED_VALUE"""),4149.7)</f>
        <v>4149.7</v>
      </c>
      <c r="G82" s="164"/>
      <c r="H82" s="85">
        <f t="shared" si="4"/>
        <v>732.3</v>
      </c>
      <c r="I82" s="87" t="str">
        <f>IFERROR(__xludf.DUMMYFUNCTION("""COMPUTED_VALUE"""),"под заказ")</f>
        <v>под заказ</v>
      </c>
      <c r="J82" s="166" t="str">
        <f>IFERROR(__xludf.DUMMYFUNCTION("""COMPUTED_VALUE"""),"")</f>
        <v/>
      </c>
      <c r="K82" s="51"/>
      <c r="L82" s="51"/>
    </row>
    <row r="83">
      <c r="A83" s="159">
        <f>IFERROR(__xludf.DUMMYFUNCTION("""COMPUTED_VALUE"""),4557.0)</f>
        <v>4557</v>
      </c>
      <c r="B83" s="94" t="str">
        <f>IFERROR(__xludf.DUMMYFUNCTION("""COMPUTED_VALUE"""),"Бензогенератор FOGO FH 6541")</f>
        <v>Бензогенератор FOGO FH 6541</v>
      </c>
      <c r="C83" s="169" t="str">
        <f>IFERROR(__xludf.DUMMYFUNCTION("""COMPUTED_VALUE"""),"5,6 кВт")</f>
        <v>5,6 кВт</v>
      </c>
      <c r="D83" s="170" t="str">
        <f>IFERROR(__xludf.DUMMYFUNCTION("""COMPUTED_VALUE"""),"GX390 HONDA")</f>
        <v>GX390 HONDA</v>
      </c>
      <c r="E83" s="172">
        <f>IFERROR(__xludf.DUMMYFUNCTION("""COMPUTED_VALUE"""),4313.0)</f>
        <v>4313</v>
      </c>
      <c r="F83" s="174">
        <f>IFERROR(__xludf.DUMMYFUNCTION("""COMPUTED_VALUE"""),3666.0499999999997)</f>
        <v>3666.05</v>
      </c>
      <c r="G83" s="164"/>
      <c r="H83" s="85">
        <f t="shared" si="4"/>
        <v>646.95</v>
      </c>
      <c r="I83" s="87" t="str">
        <f>IFERROR(__xludf.DUMMYFUNCTION("""COMPUTED_VALUE"""),"под заказ")</f>
        <v>под заказ</v>
      </c>
      <c r="J83" s="177" t="str">
        <f>IFERROR(__xludf.DUMMYFUNCTION("""COMPUTED_VALUE"""),"http://fogo.by/index.pl?act=PRODUCT&amp;id=241")</f>
        <v>http://fogo.by/index.pl?act=PRODUCT&amp;id=241</v>
      </c>
      <c r="K83" s="51"/>
      <c r="L83" s="51"/>
    </row>
    <row r="84" ht="12.0" customHeight="1">
      <c r="A84" s="159">
        <f>IFERROR(__xludf.DUMMYFUNCTION("""COMPUTED_VALUE"""),4558.0)</f>
        <v>4558</v>
      </c>
      <c r="B84" s="98" t="str">
        <f>IFERROR(__xludf.DUMMYFUNCTION("""COMPUTED_VALUE"""),"Бензогенератор FOGO FH 6541 E")</f>
        <v>Бензогенератор FOGO FH 6541 E</v>
      </c>
      <c r="C84" s="100" t="str">
        <f>IFERROR(__xludf.DUMMYFUNCTION("""COMPUTED_VALUE"""),"5,6 кВт")</f>
        <v>5,6 кВт</v>
      </c>
      <c r="D84" s="102" t="str">
        <f>IFERROR(__xludf.DUMMYFUNCTION("""COMPUTED_VALUE"""),"GX390 HONDA")</f>
        <v>GX390 HONDA</v>
      </c>
      <c r="E84" s="104">
        <f>IFERROR(__xludf.DUMMYFUNCTION("""COMPUTED_VALUE"""),6070.0)</f>
        <v>6070</v>
      </c>
      <c r="F84" s="85">
        <f>IFERROR(__xludf.DUMMYFUNCTION("""COMPUTED_VALUE"""),5159.5)</f>
        <v>5159.5</v>
      </c>
      <c r="G84" s="164"/>
      <c r="H84" s="85">
        <f t="shared" si="4"/>
        <v>910.5</v>
      </c>
      <c r="I84" s="87" t="str">
        <f>IFERROR(__xludf.DUMMYFUNCTION("""COMPUTED_VALUE"""),"под заказ")</f>
        <v>под заказ</v>
      </c>
      <c r="J84" s="166" t="str">
        <f>IFERROR(__xludf.DUMMYFUNCTION("""COMPUTED_VALUE"""),"")</f>
        <v/>
      </c>
      <c r="K84" s="51"/>
      <c r="L84" s="51"/>
    </row>
    <row r="85">
      <c r="A85" s="51" t="str">
        <f>IFERROR(__xludf.DUMMYFUNCTION("""COMPUTED_VALUE"""),"")</f>
        <v/>
      </c>
      <c r="B85" s="267" t="str">
        <f>IFERROR(__xludf.DUMMYFUNCTION("""COMPUTED_VALUE"""),"Трехфазный генератор 400V IP54 (повышенная защита электронной части от внешней среды) ")</f>
        <v>Трехфазный генератор 400V IP54 (повышенная защита электронной части от внешней среды) </v>
      </c>
      <c r="C85" s="253" t="str">
        <f>IFERROR(__xludf.DUMMYFUNCTION("""COMPUTED_VALUE"""),"")</f>
        <v/>
      </c>
      <c r="D85" s="253" t="str">
        <f>IFERROR(__xludf.DUMMYFUNCTION("""COMPUTED_VALUE"""),"")</f>
        <v/>
      </c>
      <c r="E85" s="253" t="str">
        <f>IFERROR(__xludf.DUMMYFUNCTION("""COMPUTED_VALUE"""),"")</f>
        <v/>
      </c>
      <c r="F85" s="253" t="str">
        <f>IFERROR(__xludf.DUMMYFUNCTION("""COMPUTED_VALUE"""),"")</f>
        <v/>
      </c>
      <c r="G85" s="253"/>
      <c r="H85" s="256"/>
      <c r="I85" s="258" t="str">
        <f>IFERROR(__xludf.DUMMYFUNCTION("""COMPUTED_VALUE"""),"")</f>
        <v/>
      </c>
      <c r="J85" s="166" t="str">
        <f>IFERROR(__xludf.DUMMYFUNCTION("""COMPUTED_VALUE"""),"")</f>
        <v/>
      </c>
      <c r="K85" s="51"/>
      <c r="L85" s="51"/>
    </row>
    <row r="86">
      <c r="A86" s="159">
        <f>IFERROR(__xludf.DUMMYFUNCTION("""COMPUTED_VALUE"""),4559.0)</f>
        <v>4559</v>
      </c>
      <c r="B86" s="94" t="str">
        <f>IFERROR(__xludf.DUMMYFUNCTION("""COMPUTED_VALUE"""),"Бензогенератор FOGO FH 6540")</f>
        <v>Бензогенератор FOGO FH 6540</v>
      </c>
      <c r="C86" s="169" t="str">
        <f>IFERROR(__xludf.DUMMYFUNCTION("""COMPUTED_VALUE"""),"4 / 3 кВт")</f>
        <v>4 / 3 кВт</v>
      </c>
      <c r="D86" s="170" t="str">
        <f>IFERROR(__xludf.DUMMYFUNCTION("""COMPUTED_VALUE"""),"GX270 HONDA")</f>
        <v>GX270 HONDA</v>
      </c>
      <c r="E86" s="172">
        <f>IFERROR(__xludf.DUMMYFUNCTION("""COMPUTED_VALUE"""),4075.0)</f>
        <v>4075</v>
      </c>
      <c r="F86" s="174">
        <f>IFERROR(__xludf.DUMMYFUNCTION("""COMPUTED_VALUE"""),3463.75)</f>
        <v>3463.75</v>
      </c>
      <c r="G86" s="164"/>
      <c r="H86" s="85">
        <f t="shared" ref="H86:H97" si="5">E86-F86</f>
        <v>611.25</v>
      </c>
      <c r="I86" s="87" t="str">
        <f>IFERROR(__xludf.DUMMYFUNCTION("""COMPUTED_VALUE"""),"под заказ")</f>
        <v>под заказ</v>
      </c>
      <c r="J86" s="177" t="str">
        <f>IFERROR(__xludf.DUMMYFUNCTION("""COMPUTED_VALUE"""),"http://fogo.by/index.pl?act=PRODUCT&amp;id=210")</f>
        <v>http://fogo.by/index.pl?act=PRODUCT&amp;id=210</v>
      </c>
      <c r="K86" s="51"/>
      <c r="L86" s="51"/>
    </row>
    <row r="87" ht="14.25" customHeight="1">
      <c r="A87" s="159">
        <f>IFERROR(__xludf.DUMMYFUNCTION("""COMPUTED_VALUE"""),4560.0)</f>
        <v>4560</v>
      </c>
      <c r="B87" s="98" t="str">
        <f>IFERROR(__xludf.DUMMYFUNCTION("""COMPUTED_VALUE"""),"Бензогенератор FOGO FH 6540 E ")</f>
        <v>Бензогенератор FOGO FH 6540 E </v>
      </c>
      <c r="C87" s="100" t="str">
        <f>IFERROR(__xludf.DUMMYFUNCTION("""COMPUTED_VALUE"""),"4 / 3 кВт")</f>
        <v>4 / 3 кВт</v>
      </c>
      <c r="D87" s="102" t="str">
        <f>IFERROR(__xludf.DUMMYFUNCTION("""COMPUTED_VALUE"""),"GX270 HONDA")</f>
        <v>GX270 HONDA</v>
      </c>
      <c r="E87" s="104">
        <f>IFERROR(__xludf.DUMMYFUNCTION("""COMPUTED_VALUE"""),5472.0)</f>
        <v>5472</v>
      </c>
      <c r="F87" s="85">
        <f>IFERROR(__xludf.DUMMYFUNCTION("""COMPUTED_VALUE"""),4651.2)</f>
        <v>4651.2</v>
      </c>
      <c r="G87" s="164"/>
      <c r="H87" s="85">
        <f t="shared" si="5"/>
        <v>820.8</v>
      </c>
      <c r="I87" s="87" t="str">
        <f>IFERROR(__xludf.DUMMYFUNCTION("""COMPUTED_VALUE"""),"под заказ")</f>
        <v>под заказ</v>
      </c>
      <c r="J87" s="166" t="str">
        <f>IFERROR(__xludf.DUMMYFUNCTION("""COMPUTED_VALUE"""),"")</f>
        <v/>
      </c>
      <c r="K87" s="51"/>
      <c r="L87" s="51"/>
    </row>
    <row r="88">
      <c r="A88" s="159">
        <f>IFERROR(__xludf.DUMMYFUNCTION("""COMPUTED_VALUE"""),4561.0)</f>
        <v>4561</v>
      </c>
      <c r="B88" s="94" t="str">
        <f>IFERROR(__xludf.DUMMYFUNCTION("""COMPUTED_VALUE"""),"Бензогенератор FOGO FH 9540")</f>
        <v>Бензогенератор FOGO FH 9540</v>
      </c>
      <c r="C88" s="169" t="str">
        <f>IFERROR(__xludf.DUMMYFUNCTION("""COMPUTED_VALUE"""),"5,9 / 4,4 кВт")</f>
        <v>5,9 / 4,4 кВт</v>
      </c>
      <c r="D88" s="170" t="str">
        <f>IFERROR(__xludf.DUMMYFUNCTION("""COMPUTED_VALUE"""),"GX390 HONDA")</f>
        <v>GX390 HONDA</v>
      </c>
      <c r="E88" s="172">
        <f>IFERROR(__xludf.DUMMYFUNCTION("""COMPUTED_VALUE"""),4326.0)</f>
        <v>4326</v>
      </c>
      <c r="F88" s="174">
        <f>IFERROR(__xludf.DUMMYFUNCTION("""COMPUTED_VALUE"""),3677.1)</f>
        <v>3677.1</v>
      </c>
      <c r="G88" s="164"/>
      <c r="H88" s="85">
        <f t="shared" si="5"/>
        <v>648.9</v>
      </c>
      <c r="I88" s="87" t="str">
        <f>IFERROR(__xludf.DUMMYFUNCTION("""COMPUTED_VALUE"""),"под заказ")</f>
        <v>под заказ</v>
      </c>
      <c r="J88" s="177" t="str">
        <f>IFERROR(__xludf.DUMMYFUNCTION("""COMPUTED_VALUE"""),"http://fogo.by/index.pl?act=PRODUCT&amp;id=211")</f>
        <v>http://fogo.by/index.pl?act=PRODUCT&amp;id=211</v>
      </c>
      <c r="K88" s="51"/>
      <c r="L88" s="51"/>
    </row>
    <row r="89" ht="12.75" customHeight="1" collapsed="1">
      <c r="A89" s="159">
        <f>IFERROR(__xludf.DUMMYFUNCTION("""COMPUTED_VALUE"""),4562.0)</f>
        <v>4562</v>
      </c>
      <c r="B89" s="98" t="str">
        <f>IFERROR(__xludf.DUMMYFUNCTION("""COMPUTED_VALUE"""),"Бензогенератор FOGO FH 9540 E")</f>
        <v>Бензогенератор FOGO FH 9540 E</v>
      </c>
      <c r="C89" s="100" t="str">
        <f>IFERROR(__xludf.DUMMYFUNCTION("""COMPUTED_VALUE"""),"5,9 / 4,4 кВт")</f>
        <v>5,9 / 4,4 кВт</v>
      </c>
      <c r="D89" s="102" t="str">
        <f>IFERROR(__xludf.DUMMYFUNCTION("""COMPUTED_VALUE"""),"GX390 HONDA")</f>
        <v>GX390 HONDA</v>
      </c>
      <c r="E89" s="104">
        <f>IFERROR(__xludf.DUMMYFUNCTION("""COMPUTED_VALUE"""),6083.0)</f>
        <v>6083</v>
      </c>
      <c r="F89" s="85">
        <f>IFERROR(__xludf.DUMMYFUNCTION("""COMPUTED_VALUE"""),5170.55)</f>
        <v>5170.55</v>
      </c>
      <c r="G89" s="164"/>
      <c r="H89" s="85">
        <f t="shared" si="5"/>
        <v>912.45</v>
      </c>
      <c r="I89" s="87" t="str">
        <f>IFERROR(__xludf.DUMMYFUNCTION("""COMPUTED_VALUE"""),"под заказ")</f>
        <v>под заказ</v>
      </c>
      <c r="J89" s="166" t="str">
        <f>IFERROR(__xludf.DUMMYFUNCTION("""COMPUTED_VALUE"""),"")</f>
        <v/>
      </c>
      <c r="K89" s="51"/>
      <c r="L89" s="51"/>
    </row>
    <row r="90" ht="12.75" hidden="1" customHeight="1" outlineLevel="1">
      <c r="A90" s="159">
        <f>IFERROR(__xludf.DUMMYFUNCTION("""COMPUTED_VALUE"""),4563.0)</f>
        <v>4563</v>
      </c>
      <c r="B90" s="160" t="str">
        <f>IFERROR(__xludf.DUMMYFUNCTION("""COMPUTED_VALUE"""),"Бензогенератор FOGO FH 9540 RTE")</f>
        <v>Бензогенератор FOGO FH 9540 RTE</v>
      </c>
      <c r="C90" s="161" t="str">
        <f>IFERROR(__xludf.DUMMYFUNCTION("""COMPUTED_VALUE"""),"5,9 / 4,4 кВт")</f>
        <v>5,9 / 4,4 кВт</v>
      </c>
      <c r="D90" s="191" t="str">
        <f>IFERROR(__xludf.DUMMYFUNCTION("""COMPUTED_VALUE"""),"GX390 HONDA")</f>
        <v>GX390 HONDA</v>
      </c>
      <c r="E90" s="192">
        <f>IFERROR(__xludf.DUMMYFUNCTION("""COMPUTED_VALUE"""),7200.0)</f>
        <v>7200</v>
      </c>
      <c r="F90" s="163">
        <f>IFERROR(__xludf.DUMMYFUNCTION("""COMPUTED_VALUE"""),6120.0)</f>
        <v>6120</v>
      </c>
      <c r="G90" s="164"/>
      <c r="H90" s="85">
        <f t="shared" si="5"/>
        <v>1080</v>
      </c>
      <c r="I90" s="87" t="str">
        <f>IFERROR(__xludf.DUMMYFUNCTION("""COMPUTED_VALUE"""),"под заказ")</f>
        <v>под заказ</v>
      </c>
      <c r="J90" s="166" t="str">
        <f>IFERROR(__xludf.DUMMYFUNCTION("""COMPUTED_VALUE"""),"")</f>
        <v/>
      </c>
      <c r="K90" s="51"/>
      <c r="L90" s="51"/>
    </row>
    <row r="91" ht="12.75" hidden="1" customHeight="1" outlineLevel="1">
      <c r="A91" s="159" t="str">
        <f>IFERROR(__xludf.DUMMYFUNCTION("""COMPUTED_VALUE"""),"")</f>
        <v/>
      </c>
      <c r="B91" s="160" t="str">
        <f>IFERROR(__xludf.DUMMYFUNCTION("""COMPUTED_VALUE"""),"Бензогенератор FOGO FH 9540 RTEA")</f>
        <v>Бензогенератор FOGO FH 9540 RTEA</v>
      </c>
      <c r="C91" s="161" t="str">
        <f>IFERROR(__xludf.DUMMYFUNCTION("""COMPUTED_VALUE"""),"5,9 / 4,4 кВт")</f>
        <v>5,9 / 4,4 кВт</v>
      </c>
      <c r="D91" s="191" t="str">
        <f>IFERROR(__xludf.DUMMYFUNCTION("""COMPUTED_VALUE"""),"GX390 HONDA")</f>
        <v>GX390 HONDA</v>
      </c>
      <c r="E91" s="192">
        <f>IFERROR(__xludf.DUMMYFUNCTION("""COMPUTED_VALUE"""),7367.0)</f>
        <v>7367</v>
      </c>
      <c r="F91" s="163">
        <f>IFERROR(__xludf.DUMMYFUNCTION("""COMPUTED_VALUE"""),6261.95)</f>
        <v>6261.95</v>
      </c>
      <c r="G91" s="164"/>
      <c r="H91" s="85">
        <f t="shared" si="5"/>
        <v>1105.05</v>
      </c>
      <c r="I91" s="87" t="str">
        <f>IFERROR(__xludf.DUMMYFUNCTION("""COMPUTED_VALUE"""),"под заказ")</f>
        <v>под заказ</v>
      </c>
      <c r="J91" s="166" t="str">
        <f>IFERROR(__xludf.DUMMYFUNCTION("""COMPUTED_VALUE"""),"")</f>
        <v/>
      </c>
      <c r="K91" s="51"/>
      <c r="L91" s="51"/>
    </row>
    <row r="92">
      <c r="A92" s="159">
        <f>IFERROR(__xludf.DUMMYFUNCTION("""COMPUTED_VALUE"""),4564.0)</f>
        <v>4564</v>
      </c>
      <c r="B92" s="94" t="str">
        <f>IFERROR(__xludf.DUMMYFUNCTION("""COMPUTED_VALUE"""),"Бензогенератор FOGO FV 13540 E")</f>
        <v>Бензогенератор FOGO FV 13540 E</v>
      </c>
      <c r="C92" s="169" t="str">
        <f>IFERROR(__xludf.DUMMYFUNCTION("""COMPUTED_VALUE"""),"8,7 / 6,6 кВт")</f>
        <v>8,7 / 6,6 кВт</v>
      </c>
      <c r="D92" s="212" t="str">
        <f>IFERROR(__xludf.DUMMYFUNCTION("""COMPUTED_VALUE"""),"Briggs&amp;Stratton 
VNG 18 HP")</f>
        <v>Briggs&amp;Stratton 
VNG 18 HP</v>
      </c>
      <c r="E92" s="172">
        <f>IFERROR(__xludf.DUMMYFUNCTION("""COMPUTED_VALUE"""),7756.0)</f>
        <v>7756</v>
      </c>
      <c r="F92" s="174">
        <f>IFERROR(__xludf.DUMMYFUNCTION("""COMPUTED_VALUE"""),6592.599999999999)</f>
        <v>6592.6</v>
      </c>
      <c r="G92" s="164"/>
      <c r="H92" s="85">
        <f t="shared" si="5"/>
        <v>1163.4</v>
      </c>
      <c r="I92" s="87" t="str">
        <f>IFERROR(__xludf.DUMMYFUNCTION("""COMPUTED_VALUE"""),"под заказ")</f>
        <v>под заказ</v>
      </c>
      <c r="J92" s="177" t="str">
        <f>IFERROR(__xludf.DUMMYFUNCTION("""COMPUTED_VALUE"""),"http://fogo.by/index.pl?act=PRODUCT&amp;id=212")</f>
        <v>http://fogo.by/index.pl?act=PRODUCT&amp;id=212</v>
      </c>
      <c r="K92" s="51"/>
      <c r="L92" s="51"/>
    </row>
    <row r="93" ht="15.75" customHeight="1" collapsed="1">
      <c r="A93" s="65">
        <f>IFERROR(__xludf.DUMMYFUNCTION("""COMPUTED_VALUE"""),4565.0)</f>
        <v>4565</v>
      </c>
      <c r="B93" s="98" t="str">
        <f>IFERROR(__xludf.DUMMYFUNCTION("""COMPUTED_VALUE"""),"Бензогенератор FOGO FV 13540 RTE")</f>
        <v>Бензогенератор FOGO FV 13540 RTE</v>
      </c>
      <c r="C93" s="100" t="str">
        <f>IFERROR(__xludf.DUMMYFUNCTION("""COMPUTED_VALUE"""),"8,7 / 6,6 кВт")</f>
        <v>8,7 / 6,6 кВт</v>
      </c>
      <c r="D93" s="102" t="str">
        <f>IFERROR(__xludf.DUMMYFUNCTION("""COMPUTED_VALUE"""),"Briggs&amp;Stratton 
VNG 18 HP")</f>
        <v>Briggs&amp;Stratton 
VNG 18 HP</v>
      </c>
      <c r="E93" s="104">
        <f>IFERROR(__xludf.DUMMYFUNCTION("""COMPUTED_VALUE"""),9425.0)</f>
        <v>9425</v>
      </c>
      <c r="F93" s="85">
        <f>IFERROR(__xludf.DUMMYFUNCTION("""COMPUTED_VALUE"""),8011.25)</f>
        <v>8011.25</v>
      </c>
      <c r="G93" s="82"/>
      <c r="H93" s="85">
        <f t="shared" si="5"/>
        <v>1413.75</v>
      </c>
      <c r="I93" s="87" t="str">
        <f>IFERROR(__xludf.DUMMYFUNCTION("""COMPUTED_VALUE"""),"под заказ")</f>
        <v>под заказ</v>
      </c>
      <c r="J93" s="131" t="str">
        <f>IFERROR(__xludf.DUMMYFUNCTION("""COMPUTED_VALUE"""),"")</f>
        <v/>
      </c>
      <c r="K93" s="24"/>
      <c r="L93" s="24"/>
    </row>
    <row r="94" ht="15.75" hidden="1" customHeight="1" outlineLevel="1">
      <c r="A94" s="65" t="str">
        <f>IFERROR(__xludf.DUMMYFUNCTION("""COMPUTED_VALUE"""),"")</f>
        <v/>
      </c>
      <c r="B94" s="114" t="str">
        <f>IFERROR(__xludf.DUMMYFUNCTION("""COMPUTED_VALUE"""),"Бензогенератор FOGO FV 13540 RTEA")</f>
        <v>Бензогенератор FOGO FV 13540 RTEA</v>
      </c>
      <c r="C94" s="115" t="str">
        <f>IFERROR(__xludf.DUMMYFUNCTION("""COMPUTED_VALUE"""),"8,7 / 6,6 кВт")</f>
        <v>8,7 / 6,6 кВт</v>
      </c>
      <c r="D94" s="157" t="str">
        <f>IFERROR(__xludf.DUMMYFUNCTION("""COMPUTED_VALUE"""),"Briggs&amp;Stratton 
VNG 18 HP")</f>
        <v>Briggs&amp;Stratton 
VNG 18 HP</v>
      </c>
      <c r="E94" s="116">
        <f>IFERROR(__xludf.DUMMYFUNCTION("""COMPUTED_VALUE"""),9617.0)</f>
        <v>9617</v>
      </c>
      <c r="F94" s="117">
        <f>IFERROR(__xludf.DUMMYFUNCTION("""COMPUTED_VALUE"""),8174.45)</f>
        <v>8174.45</v>
      </c>
      <c r="G94" s="82"/>
      <c r="H94" s="85">
        <f t="shared" si="5"/>
        <v>1442.55</v>
      </c>
      <c r="I94" s="87" t="str">
        <f>IFERROR(__xludf.DUMMYFUNCTION("""COMPUTED_VALUE"""),"под заказ")</f>
        <v>под заказ</v>
      </c>
      <c r="J94" s="131" t="str">
        <f>IFERROR(__xludf.DUMMYFUNCTION("""COMPUTED_VALUE"""),"")</f>
        <v/>
      </c>
      <c r="K94" s="24"/>
      <c r="L94" s="24"/>
    </row>
    <row r="95" collapsed="1">
      <c r="A95" s="159">
        <f>IFERROR(__xludf.DUMMYFUNCTION("""COMPUTED_VALUE"""),4566.0)</f>
        <v>4566</v>
      </c>
      <c r="B95" s="94" t="str">
        <f>IFERROR(__xludf.DUMMYFUNCTION("""COMPUTED_VALUE"""),"Бензогенератор FOGO FV 15540 RTE")</f>
        <v>Бензогенератор FOGO FV 15540 RTE</v>
      </c>
      <c r="C95" s="169" t="str">
        <f>IFERROR(__xludf.DUMMYFUNCTION("""COMPUTED_VALUE"""),"10,3 / 7 кВт")</f>
        <v>10,3 / 7 кВт</v>
      </c>
      <c r="D95" s="212" t="str">
        <f>IFERROR(__xludf.DUMMYFUNCTION("""COMPUTED_VALUE"""),"Briggs&amp;Stratton 
VNG 21 HP")</f>
        <v>Briggs&amp;Stratton 
VNG 21 HP</v>
      </c>
      <c r="E95" s="172">
        <f>IFERROR(__xludf.DUMMYFUNCTION("""COMPUTED_VALUE"""),10002.0)</f>
        <v>10002</v>
      </c>
      <c r="F95" s="174">
        <f>IFERROR(__xludf.DUMMYFUNCTION("""COMPUTED_VALUE"""),8501.699999999999)</f>
        <v>8501.7</v>
      </c>
      <c r="G95" s="164"/>
      <c r="H95" s="85">
        <f t="shared" si="5"/>
        <v>1500.3</v>
      </c>
      <c r="I95" s="87" t="str">
        <f>IFERROR(__xludf.DUMMYFUNCTION("""COMPUTED_VALUE"""),"под заказ")</f>
        <v>под заказ</v>
      </c>
      <c r="J95" s="177" t="str">
        <f>IFERROR(__xludf.DUMMYFUNCTION("""COMPUTED_VALUE"""),"http://fogo.by/index.pl?act=PRODUCT&amp;id=199")</f>
        <v>http://fogo.by/index.pl?act=PRODUCT&amp;id=199</v>
      </c>
      <c r="K95" s="51"/>
      <c r="L95" s="51"/>
    </row>
    <row r="96" ht="16.5" hidden="1" customHeight="1" outlineLevel="1">
      <c r="A96" s="159" t="str">
        <f>IFERROR(__xludf.DUMMYFUNCTION("""COMPUTED_VALUE"""),"")</f>
        <v/>
      </c>
      <c r="B96" s="160" t="str">
        <f>IFERROR(__xludf.DUMMYFUNCTION("""COMPUTED_VALUE"""),"Бензогенератор FOGO FV 15540 RTEA")</f>
        <v>Бензогенератор FOGO FV 15540 RTEA</v>
      </c>
      <c r="C96" s="161" t="str">
        <f>IFERROR(__xludf.DUMMYFUNCTION("""COMPUTED_VALUE"""),"10,3 / 7 кВт")</f>
        <v>10,3 / 7 кВт</v>
      </c>
      <c r="D96" s="162" t="str">
        <f>IFERROR(__xludf.DUMMYFUNCTION("""COMPUTED_VALUE"""),"Briggs&amp;Stratton 
VNG 21 HP")</f>
        <v>Briggs&amp;Stratton 
VNG 21 HP</v>
      </c>
      <c r="E96" s="192">
        <f>IFERROR(__xludf.DUMMYFUNCTION("""COMPUTED_VALUE"""),10186.0)</f>
        <v>10186</v>
      </c>
      <c r="F96" s="163">
        <f>IFERROR(__xludf.DUMMYFUNCTION("""COMPUTED_VALUE"""),8658.1)</f>
        <v>8658.1</v>
      </c>
      <c r="G96" s="164"/>
      <c r="H96" s="85">
        <f t="shared" si="5"/>
        <v>1527.9</v>
      </c>
      <c r="I96" s="87" t="str">
        <f>IFERROR(__xludf.DUMMYFUNCTION("""COMPUTED_VALUE"""),"под заказ")</f>
        <v>под заказ</v>
      </c>
      <c r="J96" s="166" t="str">
        <f>IFERROR(__xludf.DUMMYFUNCTION("""COMPUTED_VALUE"""),"")</f>
        <v/>
      </c>
      <c r="K96" s="51"/>
      <c r="L96" s="51"/>
    </row>
    <row r="97" collapsed="1">
      <c r="A97" s="159">
        <f>IFERROR(__xludf.DUMMYFUNCTION("""COMPUTED_VALUE"""),4567.0)</f>
        <v>4567</v>
      </c>
      <c r="B97" s="94" t="str">
        <f>IFERROR(__xludf.DUMMYFUNCTION("""COMPUTED_VALUE"""),"Бензогенератор FOGO FV 20540 RTE")</f>
        <v>Бензогенератор FOGO FV 20540 RTE</v>
      </c>
      <c r="C97" s="169" t="str">
        <f>IFERROR(__xludf.DUMMYFUNCTION("""COMPUTED_VALUE"""),"14,4 / 7 кВт")</f>
        <v>14,4 / 7 кВт</v>
      </c>
      <c r="D97" s="212" t="str">
        <f>IFERROR(__xludf.DUMMYFUNCTION("""COMPUTED_VALUE"""),"Briggs&amp;Stratton 
VNG 31 HP")</f>
        <v>Briggs&amp;Stratton 
VNG 31 HP</v>
      </c>
      <c r="E97" s="172">
        <f>IFERROR(__xludf.DUMMYFUNCTION("""COMPUTED_VALUE"""),14750.0)</f>
        <v>14750</v>
      </c>
      <c r="F97" s="174">
        <f>IFERROR(__xludf.DUMMYFUNCTION("""COMPUTED_VALUE"""),12537.5)</f>
        <v>12537.5</v>
      </c>
      <c r="G97" s="164"/>
      <c r="H97" s="85">
        <f t="shared" si="5"/>
        <v>2212.5</v>
      </c>
      <c r="I97" s="87" t="str">
        <f>IFERROR(__xludf.DUMMYFUNCTION("""COMPUTED_VALUE"""),"под заказ")</f>
        <v>под заказ</v>
      </c>
      <c r="J97" s="177" t="str">
        <f>IFERROR(__xludf.DUMMYFUNCTION("""COMPUTED_VALUE"""),"http://fogo.by/index.pl?act=PRODUCT&amp;id=200")</f>
        <v>http://fogo.by/index.pl?act=PRODUCT&amp;id=200</v>
      </c>
      <c r="K97" s="51"/>
      <c r="L97" s="51"/>
    </row>
    <row r="98" hidden="1" outlineLevel="1">
      <c r="A98" s="159" t="str">
        <f>IFERROR(__xludf.DUMMYFUNCTION("""COMPUTED_VALUE"""),"")</f>
        <v/>
      </c>
      <c r="B98" s="160" t="str">
        <f>IFERROR(__xludf.DUMMYFUNCTION("""COMPUTED_VALUE"""),"Бензогенератор FOGO FV 20540 RTEA")</f>
        <v>Бензогенератор FOGO FV 20540 RTEA</v>
      </c>
      <c r="C98" s="161" t="str">
        <f>IFERROR(__xludf.DUMMYFUNCTION("""COMPUTED_VALUE"""),"14,4 / 7 кВт")</f>
        <v>14,4 / 7 кВт</v>
      </c>
      <c r="D98" s="162" t="str">
        <f>IFERROR(__xludf.DUMMYFUNCTION("""COMPUTED_VALUE"""),"Briggs&amp;Stratton 
VNG 31 HP")</f>
        <v>Briggs&amp;Stratton 
VNG 31 HP</v>
      </c>
      <c r="E98" s="192">
        <f>IFERROR(__xludf.DUMMYFUNCTION("""COMPUTED_VALUE"""),16282.0)</f>
        <v>16282</v>
      </c>
      <c r="F98" s="163">
        <f>IFERROR(__xludf.DUMMYFUNCTION("""COMPUTED_VALUE"""),13839.699999999999)</f>
        <v>13839.7</v>
      </c>
      <c r="G98" s="164"/>
      <c r="H98" s="165"/>
      <c r="I98" s="165" t="str">
        <f>IFERROR(__xludf.DUMMYFUNCTION("""COMPUTED_VALUE"""),"под заказ")</f>
        <v>под заказ</v>
      </c>
      <c r="J98" s="166" t="str">
        <f>IFERROR(__xludf.DUMMYFUNCTION("""COMPUTED_VALUE"""),"")</f>
        <v/>
      </c>
      <c r="K98" s="51"/>
      <c r="L98" s="51"/>
    </row>
    <row r="99">
      <c r="A99" s="51" t="str">
        <f>IFERROR(__xludf.DUMMYFUNCTION("""COMPUTED_VALUE"""),"")</f>
        <v/>
      </c>
      <c r="B99" s="227" t="str">
        <f>IFERROR(__xludf.DUMMYFUNCTION("""COMPUTED_VALUE"""),"")</f>
        <v/>
      </c>
      <c r="C99" s="51" t="str">
        <f>IFERROR(__xludf.DUMMYFUNCTION("""COMPUTED_VALUE"""),"")</f>
        <v/>
      </c>
      <c r="D99" s="51" t="str">
        <f>IFERROR(__xludf.DUMMYFUNCTION("""COMPUTED_VALUE"""),"")</f>
        <v/>
      </c>
      <c r="E99" s="51" t="str">
        <f>IFERROR(__xludf.DUMMYFUNCTION("""COMPUTED_VALUE"""),"")</f>
        <v/>
      </c>
      <c r="F99" s="51" t="str">
        <f>IFERROR(__xludf.DUMMYFUNCTION("""COMPUTED_VALUE"""),"")</f>
        <v/>
      </c>
      <c r="G99" s="51"/>
      <c r="H99" s="24"/>
      <c r="I99" s="24" t="str">
        <f>IFERROR(__xludf.DUMMYFUNCTION("""COMPUTED_VALUE"""),"")</f>
        <v/>
      </c>
      <c r="J99" s="166" t="str">
        <f>IFERROR(__xludf.DUMMYFUNCTION("""COMPUTED_VALUE"""),"")</f>
        <v/>
      </c>
      <c r="K99" s="51"/>
      <c r="L99" s="51"/>
    </row>
    <row r="100">
      <c r="A100" s="51" t="str">
        <f>IFERROR(__xludf.DUMMYFUNCTION("""COMPUTED_VALUE"""),"")</f>
        <v/>
      </c>
      <c r="B100" s="227" t="str">
        <f>IFERROR(__xludf.DUMMYFUNCTION("""COMPUTED_VALUE"""),"")</f>
        <v/>
      </c>
      <c r="C100" s="51" t="str">
        <f>IFERROR(__xludf.DUMMYFUNCTION("""COMPUTED_VALUE"""),"")</f>
        <v/>
      </c>
      <c r="D100" s="51" t="str">
        <f>IFERROR(__xludf.DUMMYFUNCTION("""COMPUTED_VALUE"""),"")</f>
        <v/>
      </c>
      <c r="E100" s="51" t="str">
        <f>IFERROR(__xludf.DUMMYFUNCTION("""COMPUTED_VALUE"""),"")</f>
        <v/>
      </c>
      <c r="F100" s="51" t="str">
        <f>IFERROR(__xludf.DUMMYFUNCTION("""COMPUTED_VALUE"""),"")</f>
        <v/>
      </c>
      <c r="G100" s="51"/>
      <c r="H100" s="24"/>
      <c r="I100" s="24" t="str">
        <f>IFERROR(__xludf.DUMMYFUNCTION("""COMPUTED_VALUE"""),"")</f>
        <v/>
      </c>
      <c r="J100" s="166" t="str">
        <f>IFERROR(__xludf.DUMMYFUNCTION("""COMPUTED_VALUE"""),"")</f>
        <v/>
      </c>
      <c r="K100" s="51"/>
      <c r="L100" s="51"/>
    </row>
    <row r="101">
      <c r="A101" s="51" t="str">
        <f>IFERROR(__xludf.DUMMYFUNCTION("""COMPUTED_VALUE"""),"")</f>
        <v/>
      </c>
      <c r="B101" s="227" t="str">
        <f>IFERROR(__xludf.DUMMYFUNCTION("""COMPUTED_VALUE"""),"")</f>
        <v/>
      </c>
      <c r="C101" s="51" t="str">
        <f>IFERROR(__xludf.DUMMYFUNCTION("""COMPUTED_VALUE"""),"")</f>
        <v/>
      </c>
      <c r="D101" s="51" t="str">
        <f>IFERROR(__xludf.DUMMYFUNCTION("""COMPUTED_VALUE"""),"")</f>
        <v/>
      </c>
      <c r="E101" s="51" t="str">
        <f>IFERROR(__xludf.DUMMYFUNCTION("""COMPUTED_VALUE"""),"")</f>
        <v/>
      </c>
      <c r="F101" s="51" t="str">
        <f>IFERROR(__xludf.DUMMYFUNCTION("""COMPUTED_VALUE"""),"")</f>
        <v/>
      </c>
      <c r="G101" s="51"/>
      <c r="H101" s="24"/>
      <c r="I101" s="24" t="str">
        <f>IFERROR(__xludf.DUMMYFUNCTION("""COMPUTED_VALUE"""),"")</f>
        <v/>
      </c>
      <c r="J101" s="166" t="str">
        <f>IFERROR(__xludf.DUMMYFUNCTION("""COMPUTED_VALUE"""),"")</f>
        <v/>
      </c>
      <c r="K101" s="51"/>
      <c r="L101" s="51"/>
    </row>
    <row r="102">
      <c r="A102" s="51" t="str">
        <f>IFERROR(__xludf.DUMMYFUNCTION("""COMPUTED_VALUE"""),"")</f>
        <v/>
      </c>
      <c r="B102" s="227" t="str">
        <f>IFERROR(__xludf.DUMMYFUNCTION("""COMPUTED_VALUE"""),"")</f>
        <v/>
      </c>
      <c r="C102" s="51" t="str">
        <f>IFERROR(__xludf.DUMMYFUNCTION("""COMPUTED_VALUE"""),"")</f>
        <v/>
      </c>
      <c r="D102" s="51" t="str">
        <f>IFERROR(__xludf.DUMMYFUNCTION("""COMPUTED_VALUE"""),"")</f>
        <v/>
      </c>
      <c r="E102" s="51" t="str">
        <f>IFERROR(__xludf.DUMMYFUNCTION("""COMPUTED_VALUE"""),"")</f>
        <v/>
      </c>
      <c r="F102" s="51" t="str">
        <f>IFERROR(__xludf.DUMMYFUNCTION("""COMPUTED_VALUE"""),"")</f>
        <v/>
      </c>
      <c r="G102" s="51"/>
      <c r="H102" s="24"/>
      <c r="I102" s="24" t="str">
        <f>IFERROR(__xludf.DUMMYFUNCTION("""COMPUTED_VALUE"""),"")</f>
        <v/>
      </c>
      <c r="J102" s="166" t="str">
        <f>IFERROR(__xludf.DUMMYFUNCTION("""COMPUTED_VALUE"""),"")</f>
        <v/>
      </c>
      <c r="K102" s="51"/>
      <c r="L102" s="51"/>
    </row>
    <row r="103">
      <c r="A103" s="51" t="str">
        <f>IFERROR(__xludf.DUMMYFUNCTION("""COMPUTED_VALUE"""),"")</f>
        <v/>
      </c>
      <c r="B103" s="227" t="str">
        <f>IFERROR(__xludf.DUMMYFUNCTION("""COMPUTED_VALUE"""),"")</f>
        <v/>
      </c>
      <c r="C103" s="51" t="str">
        <f>IFERROR(__xludf.DUMMYFUNCTION("""COMPUTED_VALUE"""),"")</f>
        <v/>
      </c>
      <c r="D103" s="51" t="str">
        <f>IFERROR(__xludf.DUMMYFUNCTION("""COMPUTED_VALUE"""),"")</f>
        <v/>
      </c>
      <c r="E103" s="51" t="str">
        <f>IFERROR(__xludf.DUMMYFUNCTION("""COMPUTED_VALUE"""),"")</f>
        <v/>
      </c>
      <c r="F103" s="51" t="str">
        <f>IFERROR(__xludf.DUMMYFUNCTION("""COMPUTED_VALUE"""),"")</f>
        <v/>
      </c>
      <c r="G103" s="51"/>
      <c r="H103" s="24"/>
      <c r="I103" s="24" t="str">
        <f>IFERROR(__xludf.DUMMYFUNCTION("""COMPUTED_VALUE"""),"")</f>
        <v/>
      </c>
      <c r="J103" s="166" t="str">
        <f>IFERROR(__xludf.DUMMYFUNCTION("""COMPUTED_VALUE"""),"")</f>
        <v/>
      </c>
      <c r="K103" s="51"/>
      <c r="L103" s="51"/>
    </row>
    <row r="104">
      <c r="A104" s="51" t="str">
        <f>IFERROR(__xludf.DUMMYFUNCTION("""COMPUTED_VALUE"""),"")</f>
        <v/>
      </c>
      <c r="B104" s="227" t="str">
        <f>IFERROR(__xludf.DUMMYFUNCTION("""COMPUTED_VALUE"""),"")</f>
        <v/>
      </c>
      <c r="C104" s="51" t="str">
        <f>IFERROR(__xludf.DUMMYFUNCTION("""COMPUTED_VALUE"""),"")</f>
        <v/>
      </c>
      <c r="D104" s="51" t="str">
        <f>IFERROR(__xludf.DUMMYFUNCTION("""COMPUTED_VALUE"""),"")</f>
        <v/>
      </c>
      <c r="E104" s="51" t="str">
        <f>IFERROR(__xludf.DUMMYFUNCTION("""COMPUTED_VALUE"""),"")</f>
        <v/>
      </c>
      <c r="F104" s="51" t="str">
        <f>IFERROR(__xludf.DUMMYFUNCTION("""COMPUTED_VALUE"""),"")</f>
        <v/>
      </c>
      <c r="G104" s="51"/>
      <c r="H104" s="24"/>
      <c r="I104" s="24" t="str">
        <f>IFERROR(__xludf.DUMMYFUNCTION("""COMPUTED_VALUE"""),"")</f>
        <v/>
      </c>
      <c r="J104" s="166" t="str">
        <f>IFERROR(__xludf.DUMMYFUNCTION("""COMPUTED_VALUE"""),"")</f>
        <v/>
      </c>
      <c r="K104" s="51"/>
      <c r="L104" s="51"/>
    </row>
    <row r="105">
      <c r="A105" s="51" t="str">
        <f>IFERROR(__xludf.DUMMYFUNCTION("""COMPUTED_VALUE"""),"")</f>
        <v/>
      </c>
      <c r="B105" s="227" t="str">
        <f>IFERROR(__xludf.DUMMYFUNCTION("""COMPUTED_VALUE"""),"")</f>
        <v/>
      </c>
      <c r="C105" s="51" t="str">
        <f>IFERROR(__xludf.DUMMYFUNCTION("""COMPUTED_VALUE"""),"")</f>
        <v/>
      </c>
      <c r="D105" s="51" t="str">
        <f>IFERROR(__xludf.DUMMYFUNCTION("""COMPUTED_VALUE"""),"")</f>
        <v/>
      </c>
      <c r="E105" s="51" t="str">
        <f>IFERROR(__xludf.DUMMYFUNCTION("""COMPUTED_VALUE"""),"")</f>
        <v/>
      </c>
      <c r="F105" s="51" t="str">
        <f>IFERROR(__xludf.DUMMYFUNCTION("""COMPUTED_VALUE"""),"")</f>
        <v/>
      </c>
      <c r="G105" s="51"/>
      <c r="H105" s="24"/>
      <c r="I105" s="24" t="str">
        <f>IFERROR(__xludf.DUMMYFUNCTION("""COMPUTED_VALUE"""),"")</f>
        <v/>
      </c>
      <c r="J105" s="166" t="str">
        <f>IFERROR(__xludf.DUMMYFUNCTION("""COMPUTED_VALUE"""),"")</f>
        <v/>
      </c>
      <c r="K105" s="51"/>
      <c r="L105" s="51"/>
    </row>
    <row r="106">
      <c r="A106" s="51"/>
      <c r="B106" s="227"/>
      <c r="C106" s="51"/>
      <c r="D106" s="51"/>
      <c r="E106" s="51"/>
      <c r="F106" s="51"/>
      <c r="G106" s="51"/>
      <c r="H106" s="24"/>
      <c r="I106" s="24"/>
      <c r="J106" s="166"/>
      <c r="K106" s="51"/>
      <c r="L106" s="51"/>
    </row>
    <row r="107">
      <c r="A107" s="51"/>
      <c r="B107" s="227"/>
      <c r="C107" s="51"/>
      <c r="D107" s="51"/>
      <c r="E107" s="51"/>
      <c r="F107" s="51"/>
      <c r="G107" s="51"/>
      <c r="H107" s="24"/>
      <c r="I107" s="24"/>
      <c r="J107" s="166"/>
      <c r="K107" s="51"/>
      <c r="L107" s="51"/>
    </row>
    <row r="108">
      <c r="A108" s="51"/>
      <c r="B108" s="227"/>
      <c r="C108" s="51"/>
      <c r="D108" s="51"/>
      <c r="E108" s="51"/>
      <c r="F108" s="51"/>
      <c r="G108" s="51"/>
      <c r="H108" s="24"/>
      <c r="I108" s="24"/>
      <c r="J108" s="166"/>
      <c r="K108" s="51"/>
      <c r="L108" s="51"/>
    </row>
    <row r="109">
      <c r="A109" s="51"/>
      <c r="B109" s="227"/>
      <c r="C109" s="51"/>
      <c r="D109" s="51"/>
      <c r="E109" s="51"/>
      <c r="F109" s="51"/>
      <c r="G109" s="51"/>
      <c r="H109" s="24"/>
      <c r="I109" s="24"/>
      <c r="J109" s="166"/>
      <c r="K109" s="51"/>
      <c r="L109" s="51"/>
    </row>
    <row r="110">
      <c r="A110" s="51"/>
      <c r="B110" s="227"/>
      <c r="C110" s="51"/>
      <c r="D110" s="51"/>
      <c r="E110" s="51"/>
      <c r="F110" s="51"/>
      <c r="G110" s="51"/>
      <c r="H110" s="24"/>
      <c r="I110" s="24"/>
      <c r="J110" s="166"/>
      <c r="K110" s="51"/>
      <c r="L110" s="51"/>
    </row>
    <row r="111">
      <c r="A111" s="51"/>
      <c r="B111" s="227"/>
      <c r="C111" s="51"/>
      <c r="D111" s="51"/>
      <c r="E111" s="51"/>
      <c r="F111" s="51"/>
      <c r="G111" s="51"/>
      <c r="H111" s="24"/>
      <c r="I111" s="24"/>
      <c r="J111" s="166"/>
      <c r="K111" s="51"/>
      <c r="L111" s="51"/>
    </row>
    <row r="112">
      <c r="A112" s="51"/>
      <c r="B112" s="227"/>
      <c r="C112" s="51"/>
      <c r="D112" s="51"/>
      <c r="E112" s="51"/>
      <c r="F112" s="51"/>
      <c r="G112" s="51"/>
      <c r="H112" s="24"/>
      <c r="I112" s="24"/>
      <c r="J112" s="166"/>
      <c r="K112" s="51"/>
      <c r="L112" s="51"/>
    </row>
    <row r="113">
      <c r="A113" s="51"/>
      <c r="B113" s="227"/>
      <c r="C113" s="51"/>
      <c r="D113" s="51"/>
      <c r="E113" s="51"/>
      <c r="F113" s="51"/>
      <c r="G113" s="51"/>
      <c r="H113" s="24"/>
      <c r="I113" s="24"/>
      <c r="J113" s="166"/>
      <c r="K113" s="51"/>
      <c r="L113" s="51"/>
    </row>
    <row r="114">
      <c r="A114" s="51"/>
      <c r="B114" s="227"/>
      <c r="C114" s="51"/>
      <c r="D114" s="51"/>
      <c r="E114" s="51"/>
      <c r="F114" s="51"/>
      <c r="G114" s="51"/>
      <c r="H114" s="24"/>
      <c r="I114" s="24"/>
      <c r="J114" s="166"/>
      <c r="K114" s="51"/>
      <c r="L114" s="51"/>
    </row>
    <row r="115">
      <c r="A115" s="51"/>
      <c r="B115" s="227"/>
      <c r="C115" s="51"/>
      <c r="D115" s="51"/>
      <c r="E115" s="51"/>
      <c r="F115" s="51"/>
      <c r="G115" s="51"/>
      <c r="H115" s="24"/>
      <c r="I115" s="24"/>
      <c r="J115" s="166"/>
      <c r="K115" s="51"/>
      <c r="L115" s="51"/>
    </row>
    <row r="116">
      <c r="B116" s="303"/>
      <c r="H116" s="307"/>
      <c r="I116" s="307"/>
      <c r="J116" s="118"/>
    </row>
    <row r="117">
      <c r="B117" s="303"/>
      <c r="H117" s="307"/>
      <c r="I117" s="307"/>
      <c r="J117" s="118"/>
    </row>
    <row r="118">
      <c r="B118" s="303"/>
      <c r="H118" s="307"/>
      <c r="I118" s="307"/>
      <c r="J118" s="118"/>
    </row>
    <row r="119">
      <c r="B119" s="303"/>
      <c r="H119" s="307"/>
      <c r="I119" s="307"/>
      <c r="J119" s="118"/>
    </row>
    <row r="120">
      <c r="B120" s="303"/>
      <c r="H120" s="307"/>
      <c r="I120" s="307"/>
      <c r="J120" s="118"/>
    </row>
    <row r="121">
      <c r="B121" s="303"/>
      <c r="H121" s="307"/>
      <c r="I121" s="307"/>
      <c r="J121" s="118"/>
    </row>
    <row r="122">
      <c r="B122" s="303"/>
      <c r="H122" s="307"/>
      <c r="I122" s="307"/>
      <c r="J122" s="118"/>
    </row>
    <row r="123">
      <c r="B123" s="303"/>
      <c r="H123" s="307"/>
      <c r="I123" s="307"/>
      <c r="J123" s="118"/>
    </row>
    <row r="124">
      <c r="B124" s="303"/>
      <c r="H124" s="307"/>
      <c r="I124" s="307"/>
      <c r="J124" s="118"/>
    </row>
    <row r="125">
      <c r="B125" s="303"/>
      <c r="H125" s="307"/>
      <c r="I125" s="307"/>
      <c r="J125" s="118"/>
    </row>
  </sheetData>
  <mergeCells count="3">
    <mergeCell ref="K13:L15"/>
    <mergeCell ref="K18:L22"/>
    <mergeCell ref="K1:L2"/>
  </mergeCells>
  <conditionalFormatting sqref="I1:I125">
    <cfRule type="cellIs" dxfId="1" priority="1" operator="equal">
      <formula>"в наличии"</formula>
    </cfRule>
  </conditionalFormatting>
  <conditionalFormatting sqref="I1:I125">
    <cfRule type="cellIs" dxfId="2" priority="2" operator="equal">
      <formula>"под заказ"</formula>
    </cfRule>
  </conditionalFormatting>
  <hyperlinks>
    <hyperlink r:id="rId2" ref="C1"/>
    <hyperlink r:id="rId3" ref="J4"/>
    <hyperlink r:id="rId4" ref="J5"/>
    <hyperlink r:id="rId5" ref="J7"/>
    <hyperlink r:id="rId6" ref="J10"/>
    <hyperlink r:id="rId7" ref="J12"/>
    <hyperlink r:id="rId8" ref="J14"/>
    <hyperlink r:id="rId9" ref="J18"/>
    <hyperlink r:id="rId10" ref="J22"/>
    <hyperlink r:id="rId11" ref="J26"/>
    <hyperlink r:id="rId12" ref="J29"/>
    <hyperlink r:id="rId13" ref="J31"/>
    <hyperlink r:id="rId14" ref="J33"/>
    <hyperlink r:id="rId15" ref="J36"/>
    <hyperlink r:id="rId16" ref="J38"/>
    <hyperlink r:id="rId17" ref="J39"/>
    <hyperlink r:id="rId18" ref="J43"/>
    <hyperlink r:id="rId19" ref="J55"/>
    <hyperlink r:id="rId20" ref="J59"/>
    <hyperlink r:id="rId21" ref="J61"/>
    <hyperlink r:id="rId22" ref="J64"/>
    <hyperlink r:id="rId23" ref="J67"/>
    <hyperlink r:id="rId24" ref="J71"/>
    <hyperlink r:id="rId25" ref="J72"/>
    <hyperlink r:id="rId26" ref="J73"/>
    <hyperlink r:id="rId27" ref="J75"/>
    <hyperlink r:id="rId28" ref="J77"/>
    <hyperlink r:id="rId29" ref="J79"/>
    <hyperlink r:id="rId30" ref="J80"/>
    <hyperlink r:id="rId31" ref="J81"/>
    <hyperlink r:id="rId32" ref="J83"/>
    <hyperlink r:id="rId33" ref="J86"/>
    <hyperlink r:id="rId34" ref="J88"/>
    <hyperlink r:id="rId35" ref="J92"/>
    <hyperlink r:id="rId36" ref="J95"/>
    <hyperlink r:id="rId37" ref="J97"/>
  </hyperlinks>
  <drawing r:id="rId38"/>
  <legacy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4.57"/>
    <col customWidth="1" min="2" max="2" width="19.57"/>
    <col customWidth="1" min="3" max="3" width="29.43"/>
    <col customWidth="1" min="4" max="4" width="13.57"/>
    <col customWidth="1" min="5" max="5" width="27.86"/>
    <col customWidth="1" min="6" max="6" width="13.71"/>
    <col customWidth="1" min="7" max="7" width="12.14"/>
    <col customWidth="1" min="8" max="8" width="20.57"/>
  </cols>
  <sheetData>
    <row r="1" hidden="1">
      <c r="A1" s="1"/>
      <c r="B1" s="3" t="s">
        <v>0</v>
      </c>
      <c r="H1" s="5"/>
    </row>
    <row r="2">
      <c r="A2" s="1" t="str">
        <f>IFERROR(__xludf.DUMMYFUNCTION("ImportRange(""https://docs.google.com/spreadsheets/d/1r0lhijDIYDre7zcEkHlxmuKQpLLpFtwEumVe6Xh0n3Q/edit#gid=1404195784"", ""ДГУ FOGO!a1:c150"")"),"")</f>
        <v/>
      </c>
      <c r="B2" s="10" t="str">
        <f>IFERROR(__xludf.DUMMYFUNCTION("""COMPUTED_VALUE"""),"8 029 666-55-93")</f>
        <v>8 029 666-55-93</v>
      </c>
      <c r="C2" s="10" t="str">
        <f>IFERROR(__xludf.DUMMYFUNCTION("""COMPUTED_VALUE"""),"8 033 333-55-96")</f>
        <v>8 033 333-55-96</v>
      </c>
      <c r="D2" s="15" t="str">
        <f>IFERROR(__xludf.DUMMYFUNCTION("ImportRange(""https://docs.google.com/spreadsheets/d/1r0lhijDIYDre7zcEkHlxmuKQpLLpFtwEumVe6Xh0n3Q/edit#gid=1404195784"", ""ДГУ FOGO!f1:f150"")"),"www.fogo.by")</f>
        <v>www.fogo.by</v>
      </c>
      <c r="E2" s="17" t="str">
        <f>IFERROR(__xludf.DUMMYFUNCTION("ImportRange(""https://docs.google.com/spreadsheets/d/1r0lhijDIYDre7zcEkHlxmuKQpLLpFtwEumVe6Xh0n3Q/edit#gid=1404195784"", ""ДГУ FOGO!i1:i150"")"),"skype:  isell.by")</f>
        <v>skype:  isell.by</v>
      </c>
      <c r="F2" s="20" t="str">
        <f>IFERROR(__xludf.DUMMYFUNCTION("ImportRange(""https://docs.google.com/spreadsheets/d/1r0lhijDIYDre7zcEkHlxmuKQpLLpFtwEumVe6Xh0n3Q/edit#gid=1404195784"", ""ДГУ FOGO!l1:l150"")"),"Производитель (изготовитель): ")</f>
        <v>Производитель (изготовитель): </v>
      </c>
      <c r="G2" s="20" t="str">
        <f>IFERROR(__xludf.DUMMYFUNCTION("ImportRange(""https://docs.google.com/spreadsheets/d/1r0lhijDIYDre7zcEkHlxmuKQpLLpFtwEumVe6Xh0n3Q/edit#gid=1404195784"", ""ДГУ FOGO!o1:o150"")"),"Импортер (Сервис):")</f>
        <v>Импортер (Сервис):</v>
      </c>
      <c r="H2" s="5" t="s">
        <v>3</v>
      </c>
    </row>
    <row r="3">
      <c r="A3" s="32" t="str">
        <f>IFERROR(__xludf.DUMMYFUNCTION("""COMPUTED_VALUE"""),"№ п/п")</f>
        <v>№ п/п</v>
      </c>
      <c r="B3" s="40" t="str">
        <f>IFERROR(__xludf.DUMMYFUNCTION("""COMPUTED_VALUE"""),"Мощность
номинальная")</f>
        <v>Мощность
номинальная</v>
      </c>
      <c r="C3" s="46" t="str">
        <f>IFERROR(__xludf.DUMMYFUNCTION("""COMPUTED_VALUE"""),"Модель
(на раме, без кожуха)")</f>
        <v>Модель
(на раме, без кожуха)</v>
      </c>
      <c r="D3" s="48" t="str">
        <f>IFERROR(__xludf.DUMMYFUNCTION("""COMPUTED_VALUE"""),"Розничная цена с НДС, €")</f>
        <v>Розничная цена с НДС, €</v>
      </c>
      <c r="E3" s="50" t="str">
        <f>IFERROR(__xludf.DUMMYFUNCTION("""COMPUTED_VALUE"""),"Модель
(в кожухе)")</f>
        <v>Модель
(в кожухе)</v>
      </c>
      <c r="F3" s="48" t="str">
        <f>IFERROR(__xludf.DUMMYFUNCTION("""COMPUTED_VALUE"""),"Розничная цена с НДС, €")</f>
        <v>Розничная цена с НДС, €</v>
      </c>
      <c r="G3" s="52" t="str">
        <f>IFERROR(__xludf.DUMMYFUNCTION("""COMPUTED_VALUE"""),"Автоматика
(АВР)
(РРЦ, €)")</f>
        <v>Автоматика
(АВР)
(РРЦ, €)</v>
      </c>
      <c r="H3" s="54" t="s">
        <v>14</v>
      </c>
    </row>
    <row r="4">
      <c r="A4" s="56" t="str">
        <f>IFERROR(__xludf.DUMMYFUNCTION("""COMPUTED_VALUE"""),"Двигатель MITSUBISHI")</f>
        <v>Двигатель MITSUBISHI</v>
      </c>
      <c r="B4" s="58"/>
      <c r="C4" s="58"/>
      <c r="D4" s="58"/>
      <c r="E4" s="58"/>
      <c r="F4" s="58"/>
      <c r="G4" s="60"/>
      <c r="H4" s="62"/>
    </row>
    <row r="5">
      <c r="A5" s="64">
        <f>IFERROR(__xludf.DUMMYFUNCTION("""COMPUTED_VALUE"""),1.0)</f>
        <v>1</v>
      </c>
      <c r="B5" s="66" t="str">
        <f>IFERROR(__xludf.DUMMYFUNCTION("""COMPUTED_VALUE"""),"12 кВт")</f>
        <v>12 кВт</v>
      </c>
      <c r="C5" s="68" t="str">
        <f>IFERROR(__xludf.DUMMYFUNCTION("""COMPUTED_VALUE""")," FOGO FDF 12.1 MS 220В")</f>
        <v> FOGO FDF 12.1 MS 220В</v>
      </c>
      <c r="D5" s="70">
        <f>IFERROR(__xludf.DUMMYFUNCTION("""COMPUTED_VALUE"""),6680.0)</f>
        <v>6680</v>
      </c>
      <c r="E5" s="68" t="str">
        <f>IFERROR(__xludf.DUMMYFUNCTION("""COMPUTED_VALUE""")," FOGO FDG 12.1 MS 220В")</f>
        <v> FOGO FDG 12.1 MS 220В</v>
      </c>
      <c r="F5" s="72">
        <f>IFERROR(__xludf.DUMMYFUNCTION("""COMPUTED_VALUE"""),8085.0)</f>
        <v>8085</v>
      </c>
      <c r="G5" s="74">
        <f>IFERROR(__xludf.DUMMYFUNCTION("""COMPUTED_VALUE"""),935.0)</f>
        <v>935</v>
      </c>
      <c r="H5" s="76" t="s">
        <v>16</v>
      </c>
    </row>
    <row r="6">
      <c r="A6" s="64">
        <f>IFERROR(__xludf.DUMMYFUNCTION("""COMPUTED_VALUE"""),2.0)</f>
        <v>2</v>
      </c>
      <c r="B6" s="66" t="str">
        <f>IFERROR(__xludf.DUMMYFUNCTION("""COMPUTED_VALUE"""),"14,7 кВа / 11,8 кВт")</f>
        <v>14,7 кВа / 11,8 кВт</v>
      </c>
      <c r="C6" s="68" t="str">
        <f>IFERROR(__xludf.DUMMYFUNCTION("""COMPUTED_VALUE""")," FOGO FDF 15 MS")</f>
        <v> FOGO FDF 15 MS</v>
      </c>
      <c r="D6" s="70">
        <f>IFERROR(__xludf.DUMMYFUNCTION("""COMPUTED_VALUE"""),6375.0)</f>
        <v>6375</v>
      </c>
      <c r="E6" s="68" t="str">
        <f>IFERROR(__xludf.DUMMYFUNCTION("""COMPUTED_VALUE""")," FOGO FDG 15 MS")</f>
        <v> FOGO FDG 15 MS</v>
      </c>
      <c r="F6" s="72">
        <f>IFERROR(__xludf.DUMMYFUNCTION("""COMPUTED_VALUE"""),7565.0)</f>
        <v>7565</v>
      </c>
      <c r="G6" s="74">
        <f>IFERROR(__xludf.DUMMYFUNCTION("""COMPUTED_VALUE"""),830.0)</f>
        <v>830</v>
      </c>
      <c r="H6" s="79" t="s">
        <v>17</v>
      </c>
    </row>
    <row r="7">
      <c r="A7" s="64">
        <f>IFERROR(__xludf.DUMMYFUNCTION("""COMPUTED_VALUE"""),3.0)</f>
        <v>3</v>
      </c>
      <c r="B7" s="66" t="str">
        <f>IFERROR(__xludf.DUMMYFUNCTION("""COMPUTED_VALUE"""),"14,7 кВа / 11,8 кВт")</f>
        <v>14,7 кВа / 11,8 кВт</v>
      </c>
      <c r="C7" s="66" t="str">
        <f>IFERROR(__xludf.DUMMYFUNCTION("""COMPUTED_VALUE"""),"")</f>
        <v/>
      </c>
      <c r="D7" s="70" t="str">
        <f>IFERROR(__xludf.DUMMYFUNCTION("""COMPUTED_VALUE"""),"")</f>
        <v/>
      </c>
      <c r="E7" s="68" t="str">
        <f>IFERROR(__xludf.DUMMYFUNCTION("""COMPUTED_VALUE""")," FOGO FDC 15 MS")</f>
        <v> FOGO FDC 15 MS</v>
      </c>
      <c r="F7" s="72">
        <f>IFERROR(__xludf.DUMMYFUNCTION("""COMPUTED_VALUE"""),7565.0)</f>
        <v>7565</v>
      </c>
      <c r="G7" s="74">
        <f>IFERROR(__xludf.DUMMYFUNCTION("""COMPUTED_VALUE"""),830.0)</f>
        <v>830</v>
      </c>
      <c r="H7" s="79"/>
    </row>
    <row r="8">
      <c r="A8" s="64">
        <f>IFERROR(__xludf.DUMMYFUNCTION("""COMPUTED_VALUE"""),4.0)</f>
        <v>4</v>
      </c>
      <c r="B8" s="66" t="str">
        <f>IFERROR(__xludf.DUMMYFUNCTION("""COMPUTED_VALUE"""),"17,4 кВт")</f>
        <v>17,4 кВт</v>
      </c>
      <c r="C8" s="68" t="str">
        <f>IFERROR(__xludf.DUMMYFUNCTION("""COMPUTED_VALUE""")," FOGO FDF 18.1 M3S 220В")</f>
        <v> FOGO FDF 18.1 M3S 220В</v>
      </c>
      <c r="D8" s="70">
        <f>IFERROR(__xludf.DUMMYFUNCTION("""COMPUTED_VALUE"""),8305.0)</f>
        <v>8305</v>
      </c>
      <c r="E8" s="68" t="str">
        <f>IFERROR(__xludf.DUMMYFUNCTION("""COMPUTED_VALUE""")," FOGO FDG 18.1 M3S 220В")</f>
        <v> FOGO FDG 18.1 M3S 220В</v>
      </c>
      <c r="F8" s="72">
        <f>IFERROR(__xludf.DUMMYFUNCTION("""COMPUTED_VALUE"""),9325.0)</f>
        <v>9325</v>
      </c>
      <c r="G8" s="74">
        <f>IFERROR(__xludf.DUMMYFUNCTION("""COMPUTED_VALUE"""),965.0)</f>
        <v>965</v>
      </c>
      <c r="H8" s="79"/>
    </row>
    <row r="9">
      <c r="A9" s="64">
        <f>IFERROR(__xludf.DUMMYFUNCTION("""COMPUTED_VALUE"""),5.0)</f>
        <v>5</v>
      </c>
      <c r="B9" s="66" t="str">
        <f>IFERROR(__xludf.DUMMYFUNCTION("""COMPUTED_VALUE"""),"20 кВа / 16 кВт")</f>
        <v>20 кВа / 16 кВт</v>
      </c>
      <c r="C9" s="68" t="str">
        <f>IFERROR(__xludf.DUMMYFUNCTION("""COMPUTED_VALUE""")," FOGO FDF 20 M3S")</f>
        <v> FOGO FDF 20 M3S</v>
      </c>
      <c r="D9" s="70">
        <f>IFERROR(__xludf.DUMMYFUNCTION("""COMPUTED_VALUE"""),8055.0)</f>
        <v>8055</v>
      </c>
      <c r="E9" s="68" t="str">
        <f>IFERROR(__xludf.DUMMYFUNCTION("""COMPUTED_VALUE""")," FOGO FDG 20 M3S")</f>
        <v> FOGO FDG 20 M3S</v>
      </c>
      <c r="F9" s="72">
        <f>IFERROR(__xludf.DUMMYFUNCTION("""COMPUTED_VALUE"""),9270.0)</f>
        <v>9270</v>
      </c>
      <c r="G9" s="74">
        <f>IFERROR(__xludf.DUMMYFUNCTION("""COMPUTED_VALUE"""),830.0)</f>
        <v>830</v>
      </c>
      <c r="H9" s="76"/>
    </row>
    <row r="10">
      <c r="A10" s="64">
        <f>IFERROR(__xludf.DUMMYFUNCTION("""COMPUTED_VALUE"""),6.0)</f>
        <v>6</v>
      </c>
      <c r="B10" s="66" t="str">
        <f>IFERROR(__xludf.DUMMYFUNCTION("""COMPUTED_VALUE"""),"")</f>
        <v/>
      </c>
      <c r="C10" s="66" t="str">
        <f>IFERROR(__xludf.DUMMYFUNCTION("""COMPUTED_VALUE"""),"")</f>
        <v/>
      </c>
      <c r="D10" s="70" t="str">
        <f>IFERROR(__xludf.DUMMYFUNCTION("""COMPUTED_VALUE"""),"")</f>
        <v/>
      </c>
      <c r="E10" s="68" t="str">
        <f>IFERROR(__xludf.DUMMYFUNCTION("""COMPUTED_VALUE""")," FOGO FDC 20 M3S")</f>
        <v> FOGO FDC 20 M3S</v>
      </c>
      <c r="F10" s="72">
        <f>IFERROR(__xludf.DUMMYFUNCTION("""COMPUTED_VALUE"""),9270.0)</f>
        <v>9270</v>
      </c>
      <c r="G10" s="84" t="str">
        <f>IFERROR(__xludf.DUMMYFUNCTION("""COMPUTED_VALUE"""),"")</f>
        <v/>
      </c>
    </row>
    <row r="11">
      <c r="A11" s="64">
        <f>IFERROR(__xludf.DUMMYFUNCTION("""COMPUTED_VALUE"""),7.0)</f>
        <v>7</v>
      </c>
      <c r="B11" s="66" t="str">
        <f>IFERROR(__xludf.DUMMYFUNCTION("""COMPUTED_VALUE"""),"30 кВа / 24 кВт")</f>
        <v>30 кВа / 24 кВт</v>
      </c>
      <c r="C11" s="68" t="str">
        <f>IFERROR(__xludf.DUMMYFUNCTION("""COMPUTED_VALUE""")," FOGO FDF 30 M3S")</f>
        <v> FOGO FDF 30 M3S</v>
      </c>
      <c r="D11" s="70">
        <f>IFERROR(__xludf.DUMMYFUNCTION("""COMPUTED_VALUE"""),8680.0)</f>
        <v>8680</v>
      </c>
      <c r="E11" s="68" t="str">
        <f>IFERROR(__xludf.DUMMYFUNCTION("""COMPUTED_VALUE""")," FOGO FDG 30 M3S")</f>
        <v> FOGO FDG 30 M3S</v>
      </c>
      <c r="F11" s="72">
        <f>IFERROR(__xludf.DUMMYFUNCTION("""COMPUTED_VALUE"""),9980.0)</f>
        <v>9980</v>
      </c>
      <c r="G11" s="74">
        <f>IFERROR(__xludf.DUMMYFUNCTION("""COMPUTED_VALUE"""),870.0)</f>
        <v>870</v>
      </c>
    </row>
    <row r="12">
      <c r="A12" s="64">
        <f>IFERROR(__xludf.DUMMYFUNCTION("""COMPUTED_VALUE"""),8.0)</f>
        <v>8</v>
      </c>
      <c r="B12" s="66" t="str">
        <f>IFERROR(__xludf.DUMMYFUNCTION("""COMPUTED_VALUE"""),"40 кВа / 32 кВт")</f>
        <v>40 кВа / 32 кВт</v>
      </c>
      <c r="C12" s="68" t="str">
        <f>IFERROR(__xludf.DUMMYFUNCTION("""COMPUTED_VALUE""")," FOGO FDF 40 MS")</f>
        <v> FOGO FDF 40 MS</v>
      </c>
      <c r="D12" s="70">
        <f>IFERROR(__xludf.DUMMYFUNCTION("""COMPUTED_VALUE"""),9750.0)</f>
        <v>9750</v>
      </c>
      <c r="E12" s="68" t="str">
        <f>IFERROR(__xludf.DUMMYFUNCTION("""COMPUTED_VALUE""")," FOGO FDG 40 MS")</f>
        <v> FOGO FDG 40 MS</v>
      </c>
      <c r="F12" s="72">
        <f>IFERROR(__xludf.DUMMYFUNCTION("""COMPUTED_VALUE"""),11105.0)</f>
        <v>11105</v>
      </c>
      <c r="G12" s="74">
        <f>IFERROR(__xludf.DUMMYFUNCTION("""COMPUTED_VALUE"""),935.0)</f>
        <v>935</v>
      </c>
    </row>
    <row r="13">
      <c r="A13" s="64">
        <f>IFERROR(__xludf.DUMMYFUNCTION("""COMPUTED_VALUE"""),9.0)</f>
        <v>9</v>
      </c>
      <c r="B13" s="66" t="str">
        <f>IFERROR(__xludf.DUMMYFUNCTION("""COMPUTED_VALUE"""),"38,8 кВа / 31 кВт")</f>
        <v>38,8 кВа / 31 кВт</v>
      </c>
      <c r="C13" s="68" t="str">
        <f>IFERROR(__xludf.DUMMYFUNCTION("""COMPUTED_VALUE""")," FOGO FDF 40 M3S")</f>
        <v> FOGO FDF 40 M3S</v>
      </c>
      <c r="D13" s="70">
        <f>IFERROR(__xludf.DUMMYFUNCTION("""COMPUTED_VALUE"""),10345.0)</f>
        <v>10345</v>
      </c>
      <c r="E13" s="68" t="str">
        <f>IFERROR(__xludf.DUMMYFUNCTION("""COMPUTED_VALUE""")," FOGO FDG 40 M3S")</f>
        <v> FOGO FDG 40 M3S</v>
      </c>
      <c r="F13" s="72">
        <f>IFERROR(__xludf.DUMMYFUNCTION("""COMPUTED_VALUE"""),11435.0)</f>
        <v>11435</v>
      </c>
      <c r="G13" s="74">
        <f>IFERROR(__xludf.DUMMYFUNCTION("""COMPUTED_VALUE"""),935.0)</f>
        <v>935</v>
      </c>
      <c r="H13" s="88"/>
    </row>
    <row r="14">
      <c r="A14" s="56" t="str">
        <f>IFERROR(__xludf.DUMMYFUNCTION("""COMPUTED_VALUE"""),"Двигатель IVECO")</f>
        <v>Двигатель IVECO</v>
      </c>
      <c r="B14" s="58"/>
      <c r="C14" s="58"/>
      <c r="D14" s="58"/>
      <c r="E14" s="58"/>
      <c r="F14" s="58"/>
      <c r="G14" s="60"/>
      <c r="H14" s="88"/>
    </row>
    <row r="15">
      <c r="A15" s="64">
        <f>IFERROR(__xludf.DUMMYFUNCTION("""COMPUTED_VALUE"""),9.0)</f>
        <v>9</v>
      </c>
      <c r="B15" s="66" t="str">
        <f>IFERROR(__xludf.DUMMYFUNCTION("""COMPUTED_VALUE"""),"60 кВа / 48 кВт")</f>
        <v>60 кВа / 48 кВт</v>
      </c>
      <c r="C15" s="68" t="str">
        <f>IFERROR(__xludf.DUMMYFUNCTION("""COMPUTED_VALUE"""),"FOGO FDF 60 IS")</f>
        <v>FOGO FDF 60 IS</v>
      </c>
      <c r="D15" s="70">
        <f>IFERROR(__xludf.DUMMYFUNCTION("""COMPUTED_VALUE"""),10812.0)</f>
        <v>10812</v>
      </c>
      <c r="E15" s="68" t="str">
        <f>IFERROR(__xludf.DUMMYFUNCTION("""COMPUTED_VALUE"""),"FOGO FDG 60 IS")</f>
        <v>FOGO FDG 60 IS</v>
      </c>
      <c r="F15" s="72">
        <f>IFERROR(__xludf.DUMMYFUNCTION("""COMPUTED_VALUE"""),12144.0)</f>
        <v>12144</v>
      </c>
      <c r="G15" s="74">
        <f>IFERROR(__xludf.DUMMYFUNCTION("""COMPUTED_VALUE"""),1230.0)</f>
        <v>1230</v>
      </c>
      <c r="H15" s="88"/>
    </row>
    <row r="16">
      <c r="A16" s="64">
        <f>IFERROR(__xludf.DUMMYFUNCTION("""COMPUTED_VALUE"""),10.0)</f>
        <v>10</v>
      </c>
      <c r="B16" s="66" t="str">
        <f>IFERROR(__xludf.DUMMYFUNCTION("""COMPUTED_VALUE"""),"80 кВа / 64 кВт")</f>
        <v>80 кВа / 64 кВт</v>
      </c>
      <c r="C16" s="68" t="str">
        <f>IFERROR(__xludf.DUMMYFUNCTION("""COMPUTED_VALUE"""),"FOGO FDF 80 IS")</f>
        <v>FOGO FDF 80 IS</v>
      </c>
      <c r="D16" s="70">
        <f>IFERROR(__xludf.DUMMYFUNCTION("""COMPUTED_VALUE"""),11626.0)</f>
        <v>11626</v>
      </c>
      <c r="E16" s="68" t="str">
        <f>IFERROR(__xludf.DUMMYFUNCTION("""COMPUTED_VALUE"""),"FOGO FDG 80 IS")</f>
        <v>FOGO FDG 80 IS</v>
      </c>
      <c r="F16" s="72">
        <f>IFERROR(__xludf.DUMMYFUNCTION("""COMPUTED_VALUE"""),13342.0)</f>
        <v>13342</v>
      </c>
      <c r="G16" s="74">
        <f>IFERROR(__xludf.DUMMYFUNCTION("""COMPUTED_VALUE"""),1328.0)</f>
        <v>1328</v>
      </c>
      <c r="H16" s="88"/>
    </row>
    <row r="17">
      <c r="A17" s="64">
        <f>IFERROR(__xludf.DUMMYFUNCTION("""COMPUTED_VALUE"""),11.0)</f>
        <v>11</v>
      </c>
      <c r="B17" s="66" t="str">
        <f>IFERROR(__xludf.DUMMYFUNCTION("""COMPUTED_VALUE"""),"99 кВа / 79 кВт")</f>
        <v>99 кВа / 79 кВт</v>
      </c>
      <c r="C17" s="68" t="str">
        <f>IFERROR(__xludf.DUMMYFUNCTION("""COMPUTED_VALUE"""),"FOGO FDF 100 IS")</f>
        <v>FOGO FDF 100 IS</v>
      </c>
      <c r="D17" s="70">
        <f>IFERROR(__xludf.DUMMYFUNCTION("""COMPUTED_VALUE"""),13214.0)</f>
        <v>13214</v>
      </c>
      <c r="E17" s="68" t="str">
        <f>IFERROR(__xludf.DUMMYFUNCTION("""COMPUTED_VALUE"""),"FOGO FDG 100 IS")</f>
        <v>FOGO FDG 100 IS</v>
      </c>
      <c r="F17" s="72">
        <f>IFERROR(__xludf.DUMMYFUNCTION("""COMPUTED_VALUE"""),14974.0)</f>
        <v>14974</v>
      </c>
      <c r="G17" s="74">
        <f>IFERROR(__xludf.DUMMYFUNCTION("""COMPUTED_VALUE"""),1730.0)</f>
        <v>1730</v>
      </c>
      <c r="H17" s="88"/>
    </row>
    <row r="18">
      <c r="A18" s="64">
        <f>IFERROR(__xludf.DUMMYFUNCTION("""COMPUTED_VALUE"""),12.0)</f>
        <v>12</v>
      </c>
      <c r="B18" s="66" t="str">
        <f>IFERROR(__xludf.DUMMYFUNCTION("""COMPUTED_VALUE"""),"123,1 кВа / 98,48 кВт")</f>
        <v>123,1 кВа / 98,48 кВт</v>
      </c>
      <c r="C18" s="68" t="str">
        <f>IFERROR(__xludf.DUMMYFUNCTION("""COMPUTED_VALUE"""),"FOGO FDF 130 IS")</f>
        <v>FOGO FDF 130 IS</v>
      </c>
      <c r="D18" s="70">
        <f>IFERROR(__xludf.DUMMYFUNCTION("""COMPUTED_VALUE"""),15807.0)</f>
        <v>15807</v>
      </c>
      <c r="E18" s="68" t="str">
        <f>IFERROR(__xludf.DUMMYFUNCTION("""COMPUTED_VALUE"""),"FOGO FDG 130 IS")</f>
        <v>FOGO FDG 130 IS</v>
      </c>
      <c r="F18" s="72">
        <f>IFERROR(__xludf.DUMMYFUNCTION("""COMPUTED_VALUE"""),17425.0)</f>
        <v>17425</v>
      </c>
      <c r="G18" s="74">
        <f>IFERROR(__xludf.DUMMYFUNCTION("""COMPUTED_VALUE"""),1742.0)</f>
        <v>1742</v>
      </c>
      <c r="H18" s="88"/>
    </row>
    <row r="19">
      <c r="A19" s="64">
        <f>IFERROR(__xludf.DUMMYFUNCTION("""COMPUTED_VALUE"""),13.0)</f>
        <v>13</v>
      </c>
      <c r="B19" s="66" t="str">
        <f>IFERROR(__xludf.DUMMYFUNCTION("""COMPUTED_VALUE"""),"130 кВа / 104 кВт")</f>
        <v>130 кВа / 104 кВт</v>
      </c>
      <c r="C19" s="68" t="str">
        <f>IFERROR(__xludf.DUMMYFUNCTION("""COMPUTED_VALUE"""),"FOGO FDF 140 IS")</f>
        <v>FOGO FDF 140 IS</v>
      </c>
      <c r="D19" s="70">
        <f>IFERROR(__xludf.DUMMYFUNCTION("""COMPUTED_VALUE"""),15867.0)</f>
        <v>15867</v>
      </c>
      <c r="E19" s="68" t="str">
        <f>IFERROR(__xludf.DUMMYFUNCTION("""COMPUTED_VALUE"""),"FOGO FDG 140 IS")</f>
        <v>FOGO FDG 140 IS</v>
      </c>
      <c r="F19" s="72">
        <f>IFERROR(__xludf.DUMMYFUNCTION("""COMPUTED_VALUE"""),18477.0)</f>
        <v>18477</v>
      </c>
      <c r="G19" s="74">
        <f>IFERROR(__xludf.DUMMYFUNCTION("""COMPUTED_VALUE"""),1956.0)</f>
        <v>1956</v>
      </c>
      <c r="H19" s="88"/>
    </row>
    <row r="20">
      <c r="A20" s="64">
        <f>IFERROR(__xludf.DUMMYFUNCTION("""COMPUTED_VALUE"""),14.0)</f>
        <v>14</v>
      </c>
      <c r="B20" s="66" t="str">
        <f>IFERROR(__xludf.DUMMYFUNCTION("""COMPUTED_VALUE"""),"172 кВа / 138 кВт")</f>
        <v>172 кВа / 138 кВт</v>
      </c>
      <c r="C20" s="68" t="str">
        <f>IFERROR(__xludf.DUMMYFUNCTION("""COMPUTED_VALUE"""),"FOGO FDF 170 IS")</f>
        <v>FOGO FDF 170 IS</v>
      </c>
      <c r="D20" s="70">
        <f>IFERROR(__xludf.DUMMYFUNCTION("""COMPUTED_VALUE"""),17730.0)</f>
        <v>17730</v>
      </c>
      <c r="E20" s="68" t="str">
        <f>IFERROR(__xludf.DUMMYFUNCTION("""COMPUTED_VALUE"""),"FOGO FDG 170 IS")</f>
        <v>FOGO FDG 170 IS</v>
      </c>
      <c r="F20" s="72">
        <f>IFERROR(__xludf.DUMMYFUNCTION("""COMPUTED_VALUE"""),20471.0)</f>
        <v>20471</v>
      </c>
      <c r="G20" s="74">
        <f>IFERROR(__xludf.DUMMYFUNCTION("""COMPUTED_VALUE"""),2384.0)</f>
        <v>2384</v>
      </c>
      <c r="H20" s="88"/>
    </row>
    <row r="21">
      <c r="A21" s="64">
        <f>IFERROR(__xludf.DUMMYFUNCTION("""COMPUTED_VALUE"""),15.0)</f>
        <v>15</v>
      </c>
      <c r="B21" s="66" t="str">
        <f>IFERROR(__xludf.DUMMYFUNCTION("""COMPUTED_VALUE"""),"200 кВа / 160 кВт")</f>
        <v>200 кВа / 160 кВт</v>
      </c>
      <c r="C21" s="68" t="str">
        <f>IFERROR(__xludf.DUMMYFUNCTION("""COMPUTED_VALUE"""),"FOGO FDF 200 IS")</f>
        <v>FOGO FDF 200 IS</v>
      </c>
      <c r="D21" s="70">
        <f>IFERROR(__xludf.DUMMYFUNCTION("""COMPUTED_VALUE"""),20055.0)</f>
        <v>20055</v>
      </c>
      <c r="E21" s="68" t="str">
        <f>IFERROR(__xludf.DUMMYFUNCTION("""COMPUTED_VALUE"""),"FOGO FDG 200 IS")</f>
        <v>FOGO FDG 200 IS</v>
      </c>
      <c r="F21" s="72">
        <f>IFERROR(__xludf.DUMMYFUNCTION("""COMPUTED_VALUE"""),22817.0)</f>
        <v>22817</v>
      </c>
      <c r="G21" s="74">
        <f>IFERROR(__xludf.DUMMYFUNCTION("""COMPUTED_VALUE"""),2384.0)</f>
        <v>2384</v>
      </c>
      <c r="H21" s="88"/>
    </row>
    <row r="22">
      <c r="A22" s="56" t="str">
        <f>IFERROR(__xludf.DUMMYFUNCTION("""COMPUTED_VALUE"""),"Двигатель DOOSAN")</f>
        <v>Двигатель DOOSAN</v>
      </c>
      <c r="B22" s="58"/>
      <c r="C22" s="58"/>
      <c r="D22" s="58"/>
      <c r="E22" s="58"/>
      <c r="F22" s="58"/>
      <c r="G22" s="60"/>
      <c r="H22" s="88"/>
    </row>
    <row r="23">
      <c r="A23" s="64">
        <f>IFERROR(__xludf.DUMMYFUNCTION("""COMPUTED_VALUE"""),16.0)</f>
        <v>16</v>
      </c>
      <c r="B23" s="66" t="str">
        <f>IFERROR(__xludf.DUMMYFUNCTION("""COMPUTED_VALUE"""),"300 кВА / 240 кВт")</f>
        <v>300 кВА / 240 кВт</v>
      </c>
      <c r="C23" s="68" t="str">
        <f>IFERROR(__xludf.DUMMYFUNCTION("""COMPUTED_VALUE"""),"FOGO FDF 300 DS")</f>
        <v>FOGO FDF 300 DS</v>
      </c>
      <c r="D23" s="70">
        <f>IFERROR(__xludf.DUMMYFUNCTION("""COMPUTED_VALUE"""),25040.0)</f>
        <v>25040</v>
      </c>
      <c r="E23" s="68" t="str">
        <f>IFERROR(__xludf.DUMMYFUNCTION("""COMPUTED_VALUE"""),"FOGO FDG 300 DS")</f>
        <v>FOGO FDG 300 DS</v>
      </c>
      <c r="F23" s="70">
        <f>IFERROR(__xludf.DUMMYFUNCTION("""COMPUTED_VALUE"""),27285.0)</f>
        <v>27285</v>
      </c>
      <c r="G23" s="74">
        <f>IFERROR(__xludf.DUMMYFUNCTION("""COMPUTED_VALUE"""),2682.0)</f>
        <v>2682</v>
      </c>
      <c r="H23" s="88"/>
    </row>
    <row r="24">
      <c r="A24" s="64">
        <f>IFERROR(__xludf.DUMMYFUNCTION("""COMPUTED_VALUE"""),17.0)</f>
        <v>17</v>
      </c>
      <c r="B24" s="66" t="str">
        <f>IFERROR(__xludf.DUMMYFUNCTION("""COMPUTED_VALUE"""),"450 кВА / 360 кВт")</f>
        <v>450 кВА / 360 кВт</v>
      </c>
      <c r="C24" s="68" t="str">
        <f>IFERROR(__xludf.DUMMYFUNCTION("""COMPUTED_VALUE"""),"FOGO FDF 450 DS")</f>
        <v>FOGO FDF 450 DS</v>
      </c>
      <c r="D24" s="70">
        <f>IFERROR(__xludf.DUMMYFUNCTION("""COMPUTED_VALUE"""),38887.0)</f>
        <v>38887</v>
      </c>
      <c r="E24" s="68" t="str">
        <f>IFERROR(__xludf.DUMMYFUNCTION("""COMPUTED_VALUE"""),"FOGO FDG 450 DS")</f>
        <v>FOGO FDG 450 DS</v>
      </c>
      <c r="F24" s="70">
        <f>IFERROR(__xludf.DUMMYFUNCTION("""COMPUTED_VALUE"""),41326.0)</f>
        <v>41326</v>
      </c>
      <c r="G24" s="74">
        <f>IFERROR(__xludf.DUMMYFUNCTION("""COMPUTED_VALUE"""),3394.0)</f>
        <v>3394</v>
      </c>
      <c r="H24" s="88"/>
    </row>
    <row r="25">
      <c r="A25" s="64">
        <f>IFERROR(__xludf.DUMMYFUNCTION("""COMPUTED_VALUE"""),18.0)</f>
        <v>18</v>
      </c>
      <c r="B25" s="66" t="str">
        <f>IFERROR(__xludf.DUMMYFUNCTION("""COMPUTED_VALUE"""),"500 кВА / 400 кВт")</f>
        <v>500 кВА / 400 кВт</v>
      </c>
      <c r="C25" s="68" t="str">
        <f>IFERROR(__xludf.DUMMYFUNCTION("""COMPUTED_VALUE"""),"FOGO FDF 500 DS")</f>
        <v>FOGO FDF 500 DS</v>
      </c>
      <c r="D25" s="70">
        <f>IFERROR(__xludf.DUMMYFUNCTION("""COMPUTED_VALUE"""),42304.0)</f>
        <v>42304</v>
      </c>
      <c r="E25" s="68" t="str">
        <f>IFERROR(__xludf.DUMMYFUNCTION("""COMPUTED_VALUE"""),"FOGO FDG 500 DS")</f>
        <v>FOGO FDG 500 DS</v>
      </c>
      <c r="F25" s="70">
        <f>IFERROR(__xludf.DUMMYFUNCTION("""COMPUTED_VALUE"""),44817.0)</f>
        <v>44817</v>
      </c>
      <c r="G25" s="74">
        <f>IFERROR(__xludf.DUMMYFUNCTION("""COMPUTED_VALUE"""),3394.0)</f>
        <v>3394</v>
      </c>
      <c r="H25" s="88"/>
    </row>
    <row r="26">
      <c r="A26" s="64">
        <f>IFERROR(__xludf.DUMMYFUNCTION("""COMPUTED_VALUE"""),19.0)</f>
        <v>19</v>
      </c>
      <c r="B26" s="66" t="str">
        <f>IFERROR(__xludf.DUMMYFUNCTION("""COMPUTED_VALUE"""),"570 кВА / 456 кВт")</f>
        <v>570 кВА / 456 кВт</v>
      </c>
      <c r="C26" s="68" t="str">
        <f>IFERROR(__xludf.DUMMYFUNCTION("""COMPUTED_VALUE"""),"FOGO FDF 600 DS")</f>
        <v>FOGO FDF 600 DS</v>
      </c>
      <c r="D26" s="70">
        <f>IFERROR(__xludf.DUMMYFUNCTION("""COMPUTED_VALUE"""),51678.0)</f>
        <v>51678</v>
      </c>
      <c r="E26" s="68" t="str">
        <f>IFERROR(__xludf.DUMMYFUNCTION("""COMPUTED_VALUE"""),"FOGO FDG 600 DS")</f>
        <v>FOGO FDG 600 DS</v>
      </c>
      <c r="F26" s="70">
        <f>IFERROR(__xludf.DUMMYFUNCTION("""COMPUTED_VALUE"""),54905.0)</f>
        <v>54905</v>
      </c>
      <c r="G26" s="74">
        <f>IFERROR(__xludf.DUMMYFUNCTION("""COMPUTED_VALUE"""),4634.0)</f>
        <v>4634</v>
      </c>
      <c r="H26" s="88"/>
    </row>
    <row r="27">
      <c r="A27" s="64">
        <f>IFERROR(__xludf.DUMMYFUNCTION("""COMPUTED_VALUE"""),20.0)</f>
        <v>20</v>
      </c>
      <c r="B27" s="66" t="str">
        <f>IFERROR(__xludf.DUMMYFUNCTION("""COMPUTED_VALUE"""),"639 кВА / 511 кВт")</f>
        <v>639 кВА / 511 кВт</v>
      </c>
      <c r="C27" s="68" t="str">
        <f>IFERROR(__xludf.DUMMYFUNCTION("""COMPUTED_VALUE"""),"FOGO FDF 650 DS")</f>
        <v>FOGO FDF 650 DS</v>
      </c>
      <c r="D27" s="70">
        <f>IFERROR(__xludf.DUMMYFUNCTION("""COMPUTED_VALUE"""),53893.0)</f>
        <v>53893</v>
      </c>
      <c r="E27" s="68" t="str">
        <f>IFERROR(__xludf.DUMMYFUNCTION("""COMPUTED_VALUE"""),"FOGO FDG 650 DS")</f>
        <v>FOGO FDG 650 DS</v>
      </c>
      <c r="F27" s="70">
        <f>IFERROR(__xludf.DUMMYFUNCTION("""COMPUTED_VALUE"""),57125.0)</f>
        <v>57125</v>
      </c>
      <c r="G27" s="74">
        <f>IFERROR(__xludf.DUMMYFUNCTION("""COMPUTED_VALUE"""),4634.0)</f>
        <v>4634</v>
      </c>
      <c r="H27" s="88"/>
    </row>
    <row r="28">
      <c r="A28" s="64">
        <f>IFERROR(__xludf.DUMMYFUNCTION("""COMPUTED_VALUE"""),21.0)</f>
        <v>21</v>
      </c>
      <c r="B28" s="66" t="str">
        <f>IFERROR(__xludf.DUMMYFUNCTION("""COMPUTED_VALUE"""),"687 кВА / 550 кВт")</f>
        <v>687 кВА / 550 кВт</v>
      </c>
      <c r="C28" s="68" t="str">
        <f>IFERROR(__xludf.DUMMYFUNCTION("""COMPUTED_VALUE"""),"FOGO FDF 700 DS")</f>
        <v>FOGO FDF 700 DS</v>
      </c>
      <c r="D28" s="70">
        <f>IFERROR(__xludf.DUMMYFUNCTION("""COMPUTED_VALUE"""),57364.0)</f>
        <v>57364</v>
      </c>
      <c r="E28" s="68" t="str">
        <f>IFERROR(__xludf.DUMMYFUNCTION("""COMPUTED_VALUE"""),"FOGO FDG 700 DS")</f>
        <v>FOGO FDG 700 DS</v>
      </c>
      <c r="F28" s="70">
        <f>IFERROR(__xludf.DUMMYFUNCTION("""COMPUTED_VALUE"""),62930.0)</f>
        <v>62930</v>
      </c>
      <c r="G28" s="74">
        <f>IFERROR(__xludf.DUMMYFUNCTION("""COMPUTED_VALUE"""),5332.0)</f>
        <v>5332</v>
      </c>
      <c r="H28" s="88"/>
    </row>
    <row r="29">
      <c r="A29" s="64">
        <f>IFERROR(__xludf.DUMMYFUNCTION("""COMPUTED_VALUE"""),22.0)</f>
        <v>22</v>
      </c>
      <c r="B29" s="66" t="str">
        <f>IFERROR(__xludf.DUMMYFUNCTION("""COMPUTED_VALUE"""),"750 кВА / 600 кВт")</f>
        <v>750 кВА / 600 кВт</v>
      </c>
      <c r="C29" s="68" t="str">
        <f>IFERROR(__xludf.DUMMYFUNCTION("""COMPUTED_VALUE"""),"FOGO FDF 750 DS")</f>
        <v>FOGO FDF 750 DS</v>
      </c>
      <c r="D29" s="70">
        <f>IFERROR(__xludf.DUMMYFUNCTION("""COMPUTED_VALUE"""),89268.0)</f>
        <v>89268</v>
      </c>
      <c r="E29" s="68" t="str">
        <f>IFERROR(__xludf.DUMMYFUNCTION("""COMPUTED_VALUE"""),"FOGO FDG 750 DS")</f>
        <v>FOGO FDG 750 DS</v>
      </c>
      <c r="F29" s="70">
        <f>IFERROR(__xludf.DUMMYFUNCTION("""COMPUTED_VALUE"""),93356.0)</f>
        <v>93356</v>
      </c>
      <c r="G29" s="74">
        <f>IFERROR(__xludf.DUMMYFUNCTION("""COMPUTED_VALUE"""),5332.0)</f>
        <v>5332</v>
      </c>
      <c r="H29" s="88"/>
    </row>
    <row r="30">
      <c r="A30" s="56" t="str">
        <f>IFERROR(__xludf.DUMMYFUNCTION("""COMPUTED_VALUE"""),"Двигатель VOLVO")</f>
        <v>Двигатель VOLVO</v>
      </c>
      <c r="B30" s="58"/>
      <c r="C30" s="58"/>
      <c r="D30" s="58"/>
      <c r="E30" s="58"/>
      <c r="F30" s="58"/>
      <c r="G30" s="60"/>
      <c r="H30" s="88"/>
    </row>
    <row r="31">
      <c r="A31" s="64">
        <f>IFERROR(__xludf.DUMMYFUNCTION("""COMPUTED_VALUE"""),23.0)</f>
        <v>23</v>
      </c>
      <c r="B31" s="66" t="str">
        <f>IFERROR(__xludf.DUMMYFUNCTION("""COMPUTED_VALUE"""),"128 кВА / 103 кВт")</f>
        <v>128 кВА / 103 кВт</v>
      </c>
      <c r="C31" s="68" t="str">
        <f>IFERROR(__xludf.DUMMYFUNCTION("""COMPUTED_VALUE"""),"FOGO FDF 130 VS")</f>
        <v>FOGO FDF 130 VS</v>
      </c>
      <c r="D31" s="70">
        <f>IFERROR(__xludf.DUMMYFUNCTION("""COMPUTED_VALUE"""),16534.0)</f>
        <v>16534</v>
      </c>
      <c r="E31" s="68" t="str">
        <f>IFERROR(__xludf.DUMMYFUNCTION("""COMPUTED_VALUE"""),"FOGO FDG 130 VS")</f>
        <v>FOGO FDG 130 VS</v>
      </c>
      <c r="F31" s="70">
        <f>IFERROR(__xludf.DUMMYFUNCTION("""COMPUTED_VALUE"""),18715.0)</f>
        <v>18715</v>
      </c>
      <c r="G31" s="74">
        <f>IFERROR(__xludf.DUMMYFUNCTION("""COMPUTED_VALUE"""),1630.0)</f>
        <v>1630</v>
      </c>
      <c r="H31" s="88"/>
    </row>
    <row r="32">
      <c r="A32" s="64">
        <f>IFERROR(__xludf.DUMMYFUNCTION("""COMPUTED_VALUE"""),24.0)</f>
        <v>24</v>
      </c>
      <c r="B32" s="66" t="str">
        <f>IFERROR(__xludf.DUMMYFUNCTION("""COMPUTED_VALUE"""),"153 кВА / 122 кВт")</f>
        <v>153 кВА / 122 кВт</v>
      </c>
      <c r="C32" s="68" t="str">
        <f>IFERROR(__xludf.DUMMYFUNCTION("""COMPUTED_VALUE"""),"FOGO FDF 150 VS")</f>
        <v>FOGO FDF 150 VS</v>
      </c>
      <c r="D32" s="70">
        <f>IFERROR(__xludf.DUMMYFUNCTION("""COMPUTED_VALUE"""),20672.0)</f>
        <v>20672</v>
      </c>
      <c r="E32" s="68" t="str">
        <f>IFERROR(__xludf.DUMMYFUNCTION("""COMPUTED_VALUE"""),"FOGO FDG 150 VS")</f>
        <v>FOGO FDG 150 VS</v>
      </c>
      <c r="F32" s="70">
        <f>IFERROR(__xludf.DUMMYFUNCTION("""COMPUTED_VALUE"""),22257.0)</f>
        <v>22257</v>
      </c>
      <c r="G32" s="74">
        <f>IFERROR(__xludf.DUMMYFUNCTION("""COMPUTED_VALUE"""),1900.0)</f>
        <v>1900</v>
      </c>
      <c r="H32" s="88"/>
    </row>
    <row r="33">
      <c r="A33" s="64">
        <f>IFERROR(__xludf.DUMMYFUNCTION("""COMPUTED_VALUE"""),25.0)</f>
        <v>25</v>
      </c>
      <c r="B33" s="66" t="str">
        <f>IFERROR(__xludf.DUMMYFUNCTION("""COMPUTED_VALUE"""),"151 кВА / 121 кВт")</f>
        <v>151 кВА / 121 кВт</v>
      </c>
      <c r="C33" s="68" t="str">
        <f>IFERROR(__xludf.DUMMYFUNCTION("""COMPUTED_VALUE"""),"")</f>
        <v/>
      </c>
      <c r="D33" s="70" t="str">
        <f>IFERROR(__xludf.DUMMYFUNCTION("""COMPUTED_VALUE"""),"")</f>
        <v/>
      </c>
      <c r="E33" s="68" t="str">
        <f>IFERROR(__xludf.DUMMYFUNCTION("""COMPUTED_VALUE"""),"FOGO FDG 150 V3S")</f>
        <v>FOGO FDG 150 V3S</v>
      </c>
      <c r="F33" s="70">
        <f>IFERROR(__xludf.DUMMYFUNCTION("""COMPUTED_VALUE"""),23870.0)</f>
        <v>23870</v>
      </c>
      <c r="G33" s="74">
        <f>IFERROR(__xludf.DUMMYFUNCTION("""COMPUTED_VALUE"""),1900.0)</f>
        <v>1900</v>
      </c>
      <c r="H33" s="88"/>
    </row>
    <row r="34">
      <c r="A34" s="64">
        <f>IFERROR(__xludf.DUMMYFUNCTION("""COMPUTED_VALUE"""),26.0)</f>
        <v>26</v>
      </c>
      <c r="B34" s="66" t="str">
        <f>IFERROR(__xludf.DUMMYFUNCTION("""COMPUTED_VALUE"""),"200 кВА / 160 кВт")</f>
        <v>200 кВА / 160 кВт</v>
      </c>
      <c r="C34" s="68" t="str">
        <f>IFERROR(__xludf.DUMMYFUNCTION("""COMPUTED_VALUE"""),"FOGO FDF 200 VS")</f>
        <v>FOGO FDF 200 VS</v>
      </c>
      <c r="D34" s="70">
        <f>IFERROR(__xludf.DUMMYFUNCTION("""COMPUTED_VALUE"""),24423.0)</f>
        <v>24423</v>
      </c>
      <c r="E34" s="68" t="str">
        <f>IFERROR(__xludf.DUMMYFUNCTION("""COMPUTED_VALUE"""),"FOGO FDG 200 VS")</f>
        <v>FOGO FDG 200 VS</v>
      </c>
      <c r="F34" s="70">
        <f>IFERROR(__xludf.DUMMYFUNCTION("""COMPUTED_VALUE"""),26531.0)</f>
        <v>26531</v>
      </c>
      <c r="G34" s="74">
        <f>IFERROR(__xludf.DUMMYFUNCTION("""COMPUTED_VALUE"""),2284.0)</f>
        <v>2284</v>
      </c>
      <c r="H34" s="88"/>
    </row>
    <row r="35">
      <c r="A35" s="64">
        <f>IFERROR(__xludf.DUMMYFUNCTION("""COMPUTED_VALUE"""),27.0)</f>
        <v>27</v>
      </c>
      <c r="B35" s="66" t="str">
        <f>IFERROR(__xludf.DUMMYFUNCTION("""COMPUTED_VALUE"""),"200 кВА / 160 кВт")</f>
        <v>200 кВА / 160 кВт</v>
      </c>
      <c r="C35" s="68" t="str">
        <f>IFERROR(__xludf.DUMMYFUNCTION("""COMPUTED_VALUE"""),"")</f>
        <v/>
      </c>
      <c r="D35" s="70" t="str">
        <f>IFERROR(__xludf.DUMMYFUNCTION("""COMPUTED_VALUE"""),"")</f>
        <v/>
      </c>
      <c r="E35" s="68" t="str">
        <f>IFERROR(__xludf.DUMMYFUNCTION("""COMPUTED_VALUE"""),"FOGO FDG 200 V3S")</f>
        <v>FOGO FDG 200 V3S</v>
      </c>
      <c r="F35" s="70">
        <f>IFERROR(__xludf.DUMMYFUNCTION("""COMPUTED_VALUE"""),29132.0)</f>
        <v>29132</v>
      </c>
      <c r="G35" s="74">
        <f>IFERROR(__xludf.DUMMYFUNCTION("""COMPUTED_VALUE"""),2284.0)</f>
        <v>2284</v>
      </c>
      <c r="H35" s="88"/>
    </row>
    <row r="36">
      <c r="A36" s="64">
        <f>IFERROR(__xludf.DUMMYFUNCTION("""COMPUTED_VALUE"""),28.0)</f>
        <v>28</v>
      </c>
      <c r="B36" s="66" t="str">
        <f>IFERROR(__xludf.DUMMYFUNCTION("""COMPUTED_VALUE"""),"250 кВА / 200 кВт")</f>
        <v>250 кВА / 200 кВт</v>
      </c>
      <c r="C36" s="68" t="str">
        <f>IFERROR(__xludf.DUMMYFUNCTION("""COMPUTED_VALUE"""),"FOGO FDF 250 VS")</f>
        <v>FOGO FDF 250 VS</v>
      </c>
      <c r="D36" s="70">
        <f>IFERROR(__xludf.DUMMYFUNCTION("""COMPUTED_VALUE"""),28072.0)</f>
        <v>28072</v>
      </c>
      <c r="E36" s="68" t="str">
        <f>IFERROR(__xludf.DUMMYFUNCTION("""COMPUTED_VALUE"""),"FOGO FDG 250 VS")</f>
        <v>FOGO FDG 250 VS</v>
      </c>
      <c r="F36" s="70">
        <f>IFERROR(__xludf.DUMMYFUNCTION("""COMPUTED_VALUE"""),30316.0)</f>
        <v>30316</v>
      </c>
      <c r="G36" s="74">
        <f>IFERROR(__xludf.DUMMYFUNCTION("""COMPUTED_VALUE"""),2330.0)</f>
        <v>2330</v>
      </c>
      <c r="H36" s="88"/>
    </row>
    <row r="37">
      <c r="A37" s="64">
        <f>IFERROR(__xludf.DUMMYFUNCTION("""COMPUTED_VALUE"""),29.0)</f>
        <v>29</v>
      </c>
      <c r="B37" s="66" t="str">
        <f>IFERROR(__xludf.DUMMYFUNCTION("""COMPUTED_VALUE"""),"250 кВА / 200 кВт")</f>
        <v>250 кВА / 200 кВт</v>
      </c>
      <c r="C37" s="68" t="str">
        <f>IFERROR(__xludf.DUMMYFUNCTION("""COMPUTED_VALUE"""),"")</f>
        <v/>
      </c>
      <c r="D37" s="70" t="str">
        <f>IFERROR(__xludf.DUMMYFUNCTION("""COMPUTED_VALUE"""),"")</f>
        <v/>
      </c>
      <c r="E37" s="68" t="str">
        <f>IFERROR(__xludf.DUMMYFUNCTION("""COMPUTED_VALUE"""),"FOGO FDG 250 V3S")</f>
        <v>FOGO FDG 250 V3S</v>
      </c>
      <c r="F37" s="70">
        <f>IFERROR(__xludf.DUMMYFUNCTION("""COMPUTED_VALUE"""),32222.0)</f>
        <v>32222</v>
      </c>
      <c r="G37" s="74">
        <f>IFERROR(__xludf.DUMMYFUNCTION("""COMPUTED_VALUE"""),2330.0)</f>
        <v>2330</v>
      </c>
      <c r="H37" s="88"/>
    </row>
    <row r="38">
      <c r="A38" s="64">
        <f>IFERROR(__xludf.DUMMYFUNCTION("""COMPUTED_VALUE"""),30.0)</f>
        <v>30</v>
      </c>
      <c r="B38" s="66" t="str">
        <f>IFERROR(__xludf.DUMMYFUNCTION("""COMPUTED_VALUE"""),"300 кВА / 240 кВт")</f>
        <v>300 кВА / 240 кВт</v>
      </c>
      <c r="C38" s="68" t="str">
        <f>IFERROR(__xludf.DUMMYFUNCTION("""COMPUTED_VALUE"""),"FOGO FDF 300 VS")</f>
        <v>FOGO FDF 300 VS</v>
      </c>
      <c r="D38" s="70">
        <f>IFERROR(__xludf.DUMMYFUNCTION("""COMPUTED_VALUE"""),33212.0)</f>
        <v>33212</v>
      </c>
      <c r="E38" s="68" t="str">
        <f>IFERROR(__xludf.DUMMYFUNCTION("""COMPUTED_VALUE"""),"FOGO FDG 300 VS")</f>
        <v>FOGO FDG 300 VS</v>
      </c>
      <c r="F38" s="70">
        <f>IFERROR(__xludf.DUMMYFUNCTION("""COMPUTED_VALUE"""),35457.0)</f>
        <v>35457</v>
      </c>
      <c r="G38" s="74">
        <f>IFERROR(__xludf.DUMMYFUNCTION("""COMPUTED_VALUE"""),2622.0)</f>
        <v>2622</v>
      </c>
      <c r="H38" s="88"/>
    </row>
    <row r="39">
      <c r="A39" s="64">
        <f>IFERROR(__xludf.DUMMYFUNCTION("""COMPUTED_VALUE"""),31.0)</f>
        <v>31</v>
      </c>
      <c r="B39" s="66" t="str">
        <f>IFERROR(__xludf.DUMMYFUNCTION("""COMPUTED_VALUE"""),"300 кВА / 240 кВт")</f>
        <v>300 кВА / 240 кВт</v>
      </c>
      <c r="C39" s="68" t="str">
        <f>IFERROR(__xludf.DUMMYFUNCTION("""COMPUTED_VALUE"""),"")</f>
        <v/>
      </c>
      <c r="D39" s="70" t="str">
        <f>IFERROR(__xludf.DUMMYFUNCTION("""COMPUTED_VALUE"""),"")</f>
        <v/>
      </c>
      <c r="E39" s="68" t="str">
        <f>IFERROR(__xludf.DUMMYFUNCTION("""COMPUTED_VALUE"""),"FOGO FDG 300 V3S")</f>
        <v>FOGO FDG 300 V3S</v>
      </c>
      <c r="F39" s="70">
        <f>IFERROR(__xludf.DUMMYFUNCTION("""COMPUTED_VALUE"""),36478.0)</f>
        <v>36478</v>
      </c>
      <c r="G39" s="74">
        <f>IFERROR(__xludf.DUMMYFUNCTION("""COMPUTED_VALUE"""),2622.0)</f>
        <v>2622</v>
      </c>
      <c r="H39" s="88"/>
    </row>
    <row r="40">
      <c r="A40" s="64">
        <f>IFERROR(__xludf.DUMMYFUNCTION("""COMPUTED_VALUE"""),32.0)</f>
        <v>32</v>
      </c>
      <c r="B40" s="66" t="str">
        <f>IFERROR(__xludf.DUMMYFUNCTION("""COMPUTED_VALUE"""),"350 кВА / 280 кВт")</f>
        <v>350 кВА / 280 кВт</v>
      </c>
      <c r="C40" s="68" t="str">
        <f>IFERROR(__xludf.DUMMYFUNCTION("""COMPUTED_VALUE"""),"FOGO FDF 350 VS")</f>
        <v>FOGO FDF 350 VS</v>
      </c>
      <c r="D40" s="70">
        <f>IFERROR(__xludf.DUMMYFUNCTION("""COMPUTED_VALUE"""),34758.0)</f>
        <v>34758</v>
      </c>
      <c r="E40" s="68" t="str">
        <f>IFERROR(__xludf.DUMMYFUNCTION("""COMPUTED_VALUE"""),"FOGO FDG 350 VS")</f>
        <v>FOGO FDG 350 VS</v>
      </c>
      <c r="F40" s="70">
        <f>IFERROR(__xludf.DUMMYFUNCTION("""COMPUTED_VALUE"""),37004.0)</f>
        <v>37004</v>
      </c>
      <c r="G40" s="74" t="str">
        <f>IFERROR(__xludf.DUMMYFUNCTION("""COMPUTED_VALUE"""),"")</f>
        <v/>
      </c>
      <c r="H40" s="88"/>
    </row>
    <row r="41">
      <c r="A41" s="64">
        <f>IFERROR(__xludf.DUMMYFUNCTION("""COMPUTED_VALUE"""),33.0)</f>
        <v>33</v>
      </c>
      <c r="B41" s="66" t="str">
        <f>IFERROR(__xludf.DUMMYFUNCTION("""COMPUTED_VALUE"""),"350 кВА / 280 кВт")</f>
        <v>350 кВА / 280 кВт</v>
      </c>
      <c r="C41" s="68" t="str">
        <f>IFERROR(__xludf.DUMMYFUNCTION("""COMPUTED_VALUE"""),"")</f>
        <v/>
      </c>
      <c r="D41" s="70" t="str">
        <f>IFERROR(__xludf.DUMMYFUNCTION("""COMPUTED_VALUE"""),"")</f>
        <v/>
      </c>
      <c r="E41" s="68" t="str">
        <f>IFERROR(__xludf.DUMMYFUNCTION("""COMPUTED_VALUE"""),"FOGO FDG 350 V3S")</f>
        <v>FOGO FDG 350 V3S</v>
      </c>
      <c r="F41" s="70">
        <f>IFERROR(__xludf.DUMMYFUNCTION("""COMPUTED_VALUE"""),38644.0)</f>
        <v>38644</v>
      </c>
      <c r="G41" s="74" t="str">
        <f>IFERROR(__xludf.DUMMYFUNCTION("""COMPUTED_VALUE"""),"")</f>
        <v/>
      </c>
      <c r="H41" s="88"/>
    </row>
    <row r="42">
      <c r="A42" s="64">
        <f>IFERROR(__xludf.DUMMYFUNCTION("""COMPUTED_VALUE"""),34.0)</f>
        <v>34</v>
      </c>
      <c r="B42" s="66" t="str">
        <f>IFERROR(__xludf.DUMMYFUNCTION("""COMPUTED_VALUE"""),"400кВА / 320 кВт")</f>
        <v>400кВА / 320 кВт</v>
      </c>
      <c r="C42" s="68" t="str">
        <f>IFERROR(__xludf.DUMMYFUNCTION("""COMPUTED_VALUE"""),"FOGO FDF 400 VS")</f>
        <v>FOGO FDF 400 VS</v>
      </c>
      <c r="D42" s="70">
        <f>IFERROR(__xludf.DUMMYFUNCTION("""COMPUTED_VALUE"""),39608.0)</f>
        <v>39608</v>
      </c>
      <c r="E42" s="68" t="str">
        <f>IFERROR(__xludf.DUMMYFUNCTION("""COMPUTED_VALUE"""),"FOGO FDG 400 VS")</f>
        <v>FOGO FDG 400 VS</v>
      </c>
      <c r="F42" s="70">
        <f>IFERROR(__xludf.DUMMYFUNCTION("""COMPUTED_VALUE"""),41920.0)</f>
        <v>41920</v>
      </c>
      <c r="G42" s="74" t="str">
        <f>IFERROR(__xludf.DUMMYFUNCTION("""COMPUTED_VALUE"""),"")</f>
        <v/>
      </c>
      <c r="H42" s="88"/>
    </row>
    <row r="43">
      <c r="A43" s="64">
        <f>IFERROR(__xludf.DUMMYFUNCTION("""COMPUTED_VALUE"""),35.0)</f>
        <v>35</v>
      </c>
      <c r="B43" s="66" t="str">
        <f>IFERROR(__xludf.DUMMYFUNCTION("""COMPUTED_VALUE"""),"400кВА / 320 кВт")</f>
        <v>400кВА / 320 кВт</v>
      </c>
      <c r="C43" s="68" t="str">
        <f>IFERROR(__xludf.DUMMYFUNCTION("""COMPUTED_VALUE"""),"")</f>
        <v/>
      </c>
      <c r="D43" s="70" t="str">
        <f>IFERROR(__xludf.DUMMYFUNCTION("""COMPUTED_VALUE"""),"")</f>
        <v/>
      </c>
      <c r="E43" s="68" t="str">
        <f>IFERROR(__xludf.DUMMYFUNCTION("""COMPUTED_VALUE"""),"FOGO FDG 400 V3S")</f>
        <v>FOGO FDG 400 V3S</v>
      </c>
      <c r="F43" s="70">
        <f>IFERROR(__xludf.DUMMYFUNCTION("""COMPUTED_VALUE"""),41308.0)</f>
        <v>41308</v>
      </c>
      <c r="G43" s="74" t="str">
        <f>IFERROR(__xludf.DUMMYFUNCTION("""COMPUTED_VALUE"""),"")</f>
        <v/>
      </c>
      <c r="H43" s="88"/>
    </row>
    <row r="44">
      <c r="A44" s="64">
        <f>IFERROR(__xludf.DUMMYFUNCTION("""COMPUTED_VALUE"""),36.0)</f>
        <v>36</v>
      </c>
      <c r="B44" s="66" t="str">
        <f>IFERROR(__xludf.DUMMYFUNCTION("""COMPUTED_VALUE"""),"450 кВА / 360 кВт")</f>
        <v>450 кВА / 360 кВт</v>
      </c>
      <c r="C44" s="68" t="str">
        <f>IFERROR(__xludf.DUMMYFUNCTION("""COMPUTED_VALUE"""),"FOGO FDF 450 VS")</f>
        <v>FOGO FDF 450 VS</v>
      </c>
      <c r="D44" s="70">
        <f>IFERROR(__xludf.DUMMYFUNCTION("""COMPUTED_VALUE"""),43961.0)</f>
        <v>43961</v>
      </c>
      <c r="E44" s="68" t="str">
        <f>IFERROR(__xludf.DUMMYFUNCTION("""COMPUTED_VALUE"""),"FOGO FDG 450 VS")</f>
        <v>FOGO FDG 450 VS</v>
      </c>
      <c r="F44" s="70">
        <f>IFERROR(__xludf.DUMMYFUNCTION("""COMPUTED_VALUE"""),46273.0)</f>
        <v>46273</v>
      </c>
      <c r="G44" s="74" t="str">
        <f>IFERROR(__xludf.DUMMYFUNCTION("""COMPUTED_VALUE"""),"")</f>
        <v/>
      </c>
      <c r="H44" s="88"/>
    </row>
    <row r="45">
      <c r="A45" s="64">
        <f>IFERROR(__xludf.DUMMYFUNCTION("""COMPUTED_VALUE"""),37.0)</f>
        <v>37</v>
      </c>
      <c r="B45" s="66" t="str">
        <f>IFERROR(__xludf.DUMMYFUNCTION("""COMPUTED_VALUE"""),"500 кВА / 400 кВт")</f>
        <v>500 кВА / 400 кВт</v>
      </c>
      <c r="C45" s="68" t="str">
        <f>IFERROR(__xludf.DUMMYFUNCTION("""COMPUTED_VALUE"""),"FOGO FDF 500 VS")</f>
        <v>FOGO FDF 500 VS</v>
      </c>
      <c r="D45" s="70">
        <f>IFERROR(__xludf.DUMMYFUNCTION("""COMPUTED_VALUE"""),53635.0)</f>
        <v>53635</v>
      </c>
      <c r="E45" s="68" t="str">
        <f>IFERROR(__xludf.DUMMYFUNCTION("""COMPUTED_VALUE"""),"FOGO FDG 500 VS")</f>
        <v>FOGO FDG 500 VS</v>
      </c>
      <c r="F45" s="70">
        <f>IFERROR(__xludf.DUMMYFUNCTION("""COMPUTED_VALUE"""),56349.0)</f>
        <v>56349</v>
      </c>
      <c r="G45" s="74" t="str">
        <f>IFERROR(__xludf.DUMMYFUNCTION("""COMPUTED_VALUE"""),"")</f>
        <v/>
      </c>
      <c r="H45" s="88"/>
    </row>
    <row r="46">
      <c r="A46" s="64">
        <f>IFERROR(__xludf.DUMMYFUNCTION("""COMPUTED_VALUE"""),38.0)</f>
        <v>38</v>
      </c>
      <c r="B46" s="66" t="str">
        <f>IFERROR(__xludf.DUMMYFUNCTION("""COMPUTED_VALUE"""),"500 кВА / 400 кВт")</f>
        <v>500 кВА / 400 кВт</v>
      </c>
      <c r="C46" s="68" t="str">
        <f>IFERROR(__xludf.DUMMYFUNCTION("""COMPUTED_VALUE"""),"")</f>
        <v/>
      </c>
      <c r="D46" s="70" t="str">
        <f>IFERROR(__xludf.DUMMYFUNCTION("""COMPUTED_VALUE"""),"")</f>
        <v/>
      </c>
      <c r="E46" s="68" t="str">
        <f>IFERROR(__xludf.DUMMYFUNCTION("""COMPUTED_VALUE"""),"FOGO FDG 500 V3S")</f>
        <v>FOGO FDG 500 V3S</v>
      </c>
      <c r="F46" s="70">
        <f>IFERROR(__xludf.DUMMYFUNCTION("""COMPUTED_VALUE"""),57355.0)</f>
        <v>57355</v>
      </c>
      <c r="G46" s="74" t="str">
        <f>IFERROR(__xludf.DUMMYFUNCTION("""COMPUTED_VALUE"""),"")</f>
        <v/>
      </c>
      <c r="H46" s="88"/>
    </row>
    <row r="47">
      <c r="A47" s="64">
        <f>IFERROR(__xludf.DUMMYFUNCTION("""COMPUTED_VALUE"""),39.0)</f>
        <v>39</v>
      </c>
      <c r="B47" s="66" t="str">
        <f>IFERROR(__xludf.DUMMYFUNCTION("""COMPUTED_VALUE"""),"594 кВА / 475 кВт")</f>
        <v>594 кВА / 475 кВт</v>
      </c>
      <c r="C47" s="68" t="str">
        <f>IFERROR(__xludf.DUMMYFUNCTION("""COMPUTED_VALUE"""),"FOGO FDF 600 VS")</f>
        <v>FOGO FDF 600 VS</v>
      </c>
      <c r="D47" s="70">
        <f>IFERROR(__xludf.DUMMYFUNCTION("""COMPUTED_VALUE"""),58677.0)</f>
        <v>58677</v>
      </c>
      <c r="E47" s="68" t="str">
        <f>IFERROR(__xludf.DUMMYFUNCTION("""COMPUTED_VALUE"""),"FOGO FDG 600 VS")</f>
        <v>FOGO FDG 600 VS</v>
      </c>
      <c r="F47" s="70">
        <f>IFERROR(__xludf.DUMMYFUNCTION("""COMPUTED_VALUE"""),61399.0)</f>
        <v>61399</v>
      </c>
      <c r="G47" s="74" t="str">
        <f>IFERROR(__xludf.DUMMYFUNCTION("""COMPUTED_VALUE"""),"")</f>
        <v/>
      </c>
      <c r="H47" s="88"/>
    </row>
    <row r="48">
      <c r="A48" s="64">
        <f>IFERROR(__xludf.DUMMYFUNCTION("""COMPUTED_VALUE"""),40.0)</f>
        <v>40</v>
      </c>
      <c r="B48" s="66" t="str">
        <f>IFERROR(__xludf.DUMMYFUNCTION("""COMPUTED_VALUE"""),"597 кВА / 477 кВт")</f>
        <v>597 кВА / 477 кВт</v>
      </c>
      <c r="C48" s="68" t="str">
        <f>IFERROR(__xludf.DUMMYFUNCTION("""COMPUTED_VALUE"""),"")</f>
        <v/>
      </c>
      <c r="D48" s="70" t="str">
        <f>IFERROR(__xludf.DUMMYFUNCTION("""COMPUTED_VALUE"""),"")</f>
        <v/>
      </c>
      <c r="E48" s="68" t="str">
        <f>IFERROR(__xludf.DUMMYFUNCTION("""COMPUTED_VALUE"""),"FOGO FDG 600 V3S")</f>
        <v>FOGO FDG 600 V3S</v>
      </c>
      <c r="F48" s="70">
        <f>IFERROR(__xludf.DUMMYFUNCTION("""COMPUTED_VALUE"""),61670.0)</f>
        <v>61670</v>
      </c>
      <c r="G48" s="74" t="str">
        <f>IFERROR(__xludf.DUMMYFUNCTION("""COMPUTED_VALUE"""),"")</f>
        <v/>
      </c>
      <c r="H48" s="88"/>
    </row>
    <row r="49">
      <c r="A49" s="64">
        <f>IFERROR(__xludf.DUMMYFUNCTION("""COMPUTED_VALUE"""),41.0)</f>
        <v>41</v>
      </c>
      <c r="B49" s="66" t="str">
        <f>IFERROR(__xludf.DUMMYFUNCTION("""COMPUTED_VALUE"""),"634 кВА / 507 кВт")</f>
        <v>634 кВА / 507 кВт</v>
      </c>
      <c r="C49" s="68" t="str">
        <f>IFERROR(__xludf.DUMMYFUNCTION("""COMPUTED_VALUE"""),"FOGO FDF 650 VS")</f>
        <v>FOGO FDF 650 VS</v>
      </c>
      <c r="D49" s="70">
        <f>IFERROR(__xludf.DUMMYFUNCTION("""COMPUTED_VALUE"""),67147.0)</f>
        <v>67147</v>
      </c>
      <c r="E49" s="68" t="str">
        <f>IFERROR(__xludf.DUMMYFUNCTION("""COMPUTED_VALUE"""),"FOGO FDG 650 VS")</f>
        <v>FOGO FDG 650 VS</v>
      </c>
      <c r="F49" s="70">
        <f>IFERROR(__xludf.DUMMYFUNCTION("""COMPUTED_VALUE"""),70213.0)</f>
        <v>70213</v>
      </c>
      <c r="G49" s="74" t="str">
        <f>IFERROR(__xludf.DUMMYFUNCTION("""COMPUTED_VALUE"""),"")</f>
        <v/>
      </c>
      <c r="H49" s="88"/>
    </row>
    <row r="50">
      <c r="A50" s="64">
        <f>IFERROR(__xludf.DUMMYFUNCTION("""COMPUTED_VALUE"""),42.0)</f>
        <v>42</v>
      </c>
      <c r="B50" s="66" t="str">
        <f>IFERROR(__xludf.DUMMYFUNCTION("""COMPUTED_VALUE"""),"634 кВА / 507 кВт")</f>
        <v>634 кВА / 507 кВт</v>
      </c>
      <c r="C50" s="129" t="str">
        <f>IFERROR(__xludf.DUMMYFUNCTION("""COMPUTED_VALUE"""),"")</f>
        <v/>
      </c>
      <c r="D50" s="70" t="str">
        <f>IFERROR(__xludf.DUMMYFUNCTION("""COMPUTED_VALUE"""),"")</f>
        <v/>
      </c>
      <c r="E50" s="68" t="str">
        <f>IFERROR(__xludf.DUMMYFUNCTION("""COMPUTED_VALUE"""),"FOGO FDG 650 V3S")</f>
        <v>FOGO FDG 650 V3S</v>
      </c>
      <c r="F50" s="70">
        <f>IFERROR(__xludf.DUMMYFUNCTION("""COMPUTED_VALUE"""),70712.0)</f>
        <v>70712</v>
      </c>
      <c r="G50" s="74" t="str">
        <f>IFERROR(__xludf.DUMMYFUNCTION("""COMPUTED_VALUE"""),"")</f>
        <v/>
      </c>
      <c r="H50" s="88"/>
    </row>
    <row r="51">
      <c r="A51" s="64">
        <f>IFERROR(__xludf.DUMMYFUNCTION("""COMPUTED_VALUE"""),43.0)</f>
        <v>43</v>
      </c>
      <c r="B51" s="133" t="str">
        <f>IFERROR(__xludf.DUMMYFUNCTION("""COMPUTED_VALUE"""),"")</f>
        <v/>
      </c>
      <c r="D51" s="134"/>
      <c r="E51" s="135" t="str">
        <f>IFERROR(__xludf.DUMMYFUNCTION("""COMPUTED_VALUE"""),"")</f>
        <v/>
      </c>
      <c r="F51" s="136"/>
      <c r="G51" s="74" t="str">
        <f>IFERROR(__xludf.DUMMYFUNCTION("""COMPUTED_VALUE"""),"")</f>
        <v/>
      </c>
      <c r="H51" s="88"/>
    </row>
    <row r="52">
      <c r="A52" s="64">
        <f>IFERROR(__xludf.DUMMYFUNCTION("""COMPUTED_VALUE"""),44.0)</f>
        <v>44</v>
      </c>
      <c r="B52" s="133" t="str">
        <f>IFERROR(__xludf.DUMMYFUNCTION("""COMPUTED_VALUE"""),"800 кВА / 640,0 кВт")</f>
        <v>800 кВА / 640,0 кВт</v>
      </c>
      <c r="D52" s="134"/>
      <c r="E52" s="68" t="str">
        <f>IFERROR(__xludf.DUMMYFUNCTION("""COMPUTED_VALUE"""),"FOGO FDT 800 V3S TWIN")</f>
        <v>FOGO FDT 800 V3S TWIN</v>
      </c>
      <c r="F52" s="70">
        <f>IFERROR(__xludf.DUMMYFUNCTION("""COMPUTED_VALUE"""),108322.0)</f>
        <v>108322</v>
      </c>
      <c r="G52" s="74" t="str">
        <f>IFERROR(__xludf.DUMMYFUNCTION("""COMPUTED_VALUE"""),"")</f>
        <v/>
      </c>
      <c r="H52" s="88"/>
    </row>
    <row r="53">
      <c r="A53" s="64">
        <f>IFERROR(__xludf.DUMMYFUNCTION("""COMPUTED_VALUE"""),45.0)</f>
        <v>45</v>
      </c>
      <c r="B53" s="133" t="str">
        <f>IFERROR(__xludf.DUMMYFUNCTION("""COMPUTED_VALUE"""),"900 кВА / 731,2 кВт")</f>
        <v>900 кВА / 731,2 кВт</v>
      </c>
      <c r="D53" s="134"/>
      <c r="E53" s="68" t="str">
        <f>IFERROR(__xludf.DUMMYFUNCTION("""COMPUTED_VALUE"""),"FOGO FDT 900 VS TWIN")</f>
        <v>FOGO FDT 900 VS TWIN</v>
      </c>
      <c r="F53" s="70">
        <f>IFERROR(__xludf.DUMMYFUNCTION("""COMPUTED_VALUE"""),115744.0)</f>
        <v>115744</v>
      </c>
      <c r="G53" s="74" t="str">
        <f>IFERROR(__xludf.DUMMYFUNCTION("""COMPUTED_VALUE"""),"")</f>
        <v/>
      </c>
      <c r="H53" s="88"/>
    </row>
    <row r="54">
      <c r="A54" s="64">
        <f>IFERROR(__xludf.DUMMYFUNCTION("""COMPUTED_VALUE"""),46.0)</f>
        <v>46</v>
      </c>
      <c r="B54" s="133" t="str">
        <f>IFERROR(__xludf.DUMMYFUNCTION("""COMPUTED_VALUE"""),"1000 кВА / 800,0 кВт")</f>
        <v>1000 кВА / 800,0 кВт</v>
      </c>
      <c r="D54" s="134"/>
      <c r="E54" s="68" t="str">
        <f>IFERROR(__xludf.DUMMYFUNCTION("""COMPUTED_VALUE"""),"FOGO FDT 1000 VS TWIN")</f>
        <v>FOGO FDT 1000 VS TWIN</v>
      </c>
      <c r="F54" s="70">
        <f>IFERROR(__xludf.DUMMYFUNCTION("""COMPUTED_VALUE"""),130442.0)</f>
        <v>130442</v>
      </c>
      <c r="G54" s="74" t="str">
        <f>IFERROR(__xludf.DUMMYFUNCTION("""COMPUTED_VALUE"""),"")</f>
        <v/>
      </c>
      <c r="H54" s="88"/>
    </row>
    <row r="55">
      <c r="A55" s="64">
        <f>IFERROR(__xludf.DUMMYFUNCTION("""COMPUTED_VALUE"""),47.0)</f>
        <v>47</v>
      </c>
      <c r="B55" s="133" t="str">
        <f>IFERROR(__xludf.DUMMYFUNCTION("""COMPUTED_VALUE"""),"1000 кВА / 800,0 кВт")</f>
        <v>1000 кВА / 800,0 кВт</v>
      </c>
      <c r="D55" s="134"/>
      <c r="E55" s="68" t="str">
        <f>IFERROR(__xludf.DUMMYFUNCTION("""COMPUTED_VALUE"""),"FOGO FDT 1000 V3S TWIN")</f>
        <v>FOGO FDT 1000 V3S TWIN</v>
      </c>
      <c r="F55" s="70">
        <f>IFERROR(__xludf.DUMMYFUNCTION("""COMPUTED_VALUE"""),135289.0)</f>
        <v>135289</v>
      </c>
      <c r="G55" s="74" t="str">
        <f>IFERROR(__xludf.DUMMYFUNCTION("""COMPUTED_VALUE"""),"")</f>
        <v/>
      </c>
      <c r="H55" s="88"/>
    </row>
    <row r="56">
      <c r="A56" s="64">
        <f>IFERROR(__xludf.DUMMYFUNCTION("""COMPUTED_VALUE"""),48.0)</f>
        <v>48</v>
      </c>
      <c r="B56" s="133" t="str">
        <f>IFERROR(__xludf.DUMMYFUNCTION("""COMPUTED_VALUE"""),"1200 кВА / 950,4 кВт")</f>
        <v>1200 кВА / 950,4 кВт</v>
      </c>
      <c r="D56" s="134"/>
      <c r="E56" s="68" t="str">
        <f>IFERROR(__xludf.DUMMYFUNCTION("""COMPUTED_VALUE"""),"FOGO FDT 1200 VS TWIN")</f>
        <v>FOGO FDT 1200 VS TWIN</v>
      </c>
      <c r="F56" s="70">
        <f>IFERROR(__xludf.DUMMYFUNCTION("""COMPUTED_VALUE"""),141374.0)</f>
        <v>141374</v>
      </c>
      <c r="G56" s="74" t="str">
        <f>IFERROR(__xludf.DUMMYFUNCTION("""COMPUTED_VALUE"""),"")</f>
        <v/>
      </c>
      <c r="H56" s="88"/>
    </row>
    <row r="57">
      <c r="A57" s="64">
        <f>IFERROR(__xludf.DUMMYFUNCTION("""COMPUTED_VALUE"""),49.0)</f>
        <v>49</v>
      </c>
      <c r="B57" s="133" t="str">
        <f>IFERROR(__xludf.DUMMYFUNCTION("""COMPUTED_VALUE"""),"1200 кВА / 950,4 кВт")</f>
        <v>1200 кВА / 950,4 кВт</v>
      </c>
      <c r="D57" s="134"/>
      <c r="E57" s="68" t="str">
        <f>IFERROR(__xludf.DUMMYFUNCTION("""COMPUTED_VALUE"""),"FOGO FDT 1200 V3S TWIN")</f>
        <v>FOGO FDT 1200 V3S TWIN</v>
      </c>
      <c r="F57" s="70">
        <f>IFERROR(__xludf.DUMMYFUNCTION("""COMPUTED_VALUE"""),142267.0)</f>
        <v>142267</v>
      </c>
      <c r="G57" s="74" t="str">
        <f>IFERROR(__xludf.DUMMYFUNCTION("""COMPUTED_VALUE"""),"")</f>
        <v/>
      </c>
      <c r="H57" s="88"/>
    </row>
    <row r="58">
      <c r="A58" s="64">
        <f>IFERROR(__xludf.DUMMYFUNCTION("""COMPUTED_VALUE"""),50.0)</f>
        <v>50</v>
      </c>
      <c r="B58" s="133" t="str">
        <f>IFERROR(__xludf.DUMMYFUNCTION("""COMPUTED_VALUE"""),"1300 кВА / 1014,4 кВт")</f>
        <v>1300 кВА / 1014,4 кВт</v>
      </c>
      <c r="D58" s="134"/>
      <c r="E58" s="68" t="str">
        <f>IFERROR(__xludf.DUMMYFUNCTION("""COMPUTED_VALUE"""),"FOGO FDT 1300 VS TWIN")</f>
        <v>FOGO FDT 1300 VS TWIN</v>
      </c>
      <c r="F58" s="70">
        <f>IFERROR(__xludf.DUMMYFUNCTION("""COMPUTED_VALUE"""),153730.0)</f>
        <v>153730</v>
      </c>
      <c r="G58" s="74" t="str">
        <f>IFERROR(__xludf.DUMMYFUNCTION("""COMPUTED_VALUE"""),"")</f>
        <v/>
      </c>
      <c r="H58" s="88"/>
    </row>
    <row r="59">
      <c r="A59" s="64">
        <f>IFERROR(__xludf.DUMMYFUNCTION("""COMPUTED_VALUE"""),51.0)</f>
        <v>51</v>
      </c>
      <c r="B59" s="133" t="str">
        <f>IFERROR(__xludf.DUMMYFUNCTION("""COMPUTED_VALUE"""),"1300 кВА / 1014,4 кВт")</f>
        <v>1300 кВА / 1014,4 кВт</v>
      </c>
      <c r="D59" s="134"/>
      <c r="E59" s="143" t="str">
        <f>IFERROR(__xludf.DUMMYFUNCTION("""COMPUTED_VALUE"""),"FOGO FDT 1300 V3S TWIN")</f>
        <v>FOGO FDT 1300 V3S TWIN</v>
      </c>
      <c r="F59" s="70">
        <f>IFERROR(__xludf.DUMMYFUNCTION("""COMPUTED_VALUE"""),154783.0)</f>
        <v>154783</v>
      </c>
      <c r="G59" s="74" t="str">
        <f>IFERROR(__xludf.DUMMYFUNCTION("""COMPUTED_VALUE"""),"")</f>
        <v/>
      </c>
      <c r="H59" s="88"/>
    </row>
    <row r="60">
      <c r="A60" s="56" t="str">
        <f>IFERROR(__xludf.DUMMYFUNCTION("""COMPUTED_VALUE"""),"Двигатель PERKINS")</f>
        <v>Двигатель PERKINS</v>
      </c>
      <c r="B60" s="58"/>
      <c r="C60" s="58"/>
      <c r="D60" s="58"/>
      <c r="E60" s="58"/>
      <c r="F60" s="58"/>
      <c r="G60" s="60"/>
      <c r="H60" s="88"/>
    </row>
    <row r="61">
      <c r="A61" s="64">
        <f>IFERROR(__xludf.DUMMYFUNCTION("""COMPUTED_VALUE"""),52.0)</f>
        <v>52</v>
      </c>
      <c r="B61" s="66" t="str">
        <f>IFERROR(__xludf.DUMMYFUNCTION("""COMPUTED_VALUE"""),"12,5 кВА / 10 кВт")</f>
        <v>12,5 кВА / 10 кВт</v>
      </c>
      <c r="C61" s="68" t="str">
        <f>IFERROR(__xludf.DUMMYFUNCTION("""COMPUTED_VALUE""")," FOGO FDF 13 PD")</f>
        <v> FOGO FDF 13 PD</v>
      </c>
      <c r="D61" s="70">
        <f>IFERROR(__xludf.DUMMYFUNCTION("""COMPUTED_VALUE"""),7525.0)</f>
        <v>7525</v>
      </c>
      <c r="E61" s="148" t="str">
        <f>IFERROR(__xludf.DUMMYFUNCTION("""COMPUTED_VALUE""")," FOGO FDG 13 PD")</f>
        <v> FOGO FDG 13 PD</v>
      </c>
      <c r="F61" s="70">
        <f>IFERROR(__xludf.DUMMYFUNCTION("""COMPUTED_VALUE"""),8685.0)</f>
        <v>8685</v>
      </c>
      <c r="G61" s="74">
        <f>IFERROR(__xludf.DUMMYFUNCTION("""COMPUTED_VALUE"""),550.0)</f>
        <v>550</v>
      </c>
      <c r="H61" s="88"/>
    </row>
    <row r="62">
      <c r="A62" s="64">
        <f>IFERROR(__xludf.DUMMYFUNCTION("""COMPUTED_VALUE"""),53.0)</f>
        <v>53</v>
      </c>
      <c r="B62" s="66" t="str">
        <f>IFERROR(__xludf.DUMMYFUNCTION("""COMPUTED_VALUE"""),"19,8 кВА / 15,84 кВт")</f>
        <v>19,8 кВА / 15,84 кВт</v>
      </c>
      <c r="C62" s="68" t="str">
        <f>IFERROR(__xludf.DUMMYFUNCTION("""COMPUTED_VALUE""")," FOGO FDF 20 PD")</f>
        <v> FOGO FDF 20 PD</v>
      </c>
      <c r="D62" s="70">
        <f>IFERROR(__xludf.DUMMYFUNCTION("""COMPUTED_VALUE"""),8670.0)</f>
        <v>8670</v>
      </c>
      <c r="E62" s="148" t="str">
        <f>IFERROR(__xludf.DUMMYFUNCTION("""COMPUTED_VALUE""")," FOGO FDG 20 PD")</f>
        <v> FOGO FDG 20 PD</v>
      </c>
      <c r="F62" s="70">
        <f>IFERROR(__xludf.DUMMYFUNCTION("""COMPUTED_VALUE"""),9855.0)</f>
        <v>9855</v>
      </c>
      <c r="G62" s="74">
        <f>IFERROR(__xludf.DUMMYFUNCTION("""COMPUTED_VALUE"""),550.0)</f>
        <v>550</v>
      </c>
      <c r="H62" s="88"/>
    </row>
    <row r="63">
      <c r="A63" s="64">
        <f>IFERROR(__xludf.DUMMYFUNCTION("""COMPUTED_VALUE"""),54.0)</f>
        <v>54</v>
      </c>
      <c r="B63" s="66" t="str">
        <f>IFERROR(__xludf.DUMMYFUNCTION("""COMPUTED_VALUE"""),"30 кВА / 24 кВт")</f>
        <v>30 кВА / 24 кВт</v>
      </c>
      <c r="C63" s="68" t="str">
        <f>IFERROR(__xludf.DUMMYFUNCTION("""COMPUTED_VALUE""")," FOGO FDF 30 PD")</f>
        <v> FOGO FDF 30 PD</v>
      </c>
      <c r="D63" s="70">
        <f>IFERROR(__xludf.DUMMYFUNCTION("""COMPUTED_VALUE"""),9255.0)</f>
        <v>9255</v>
      </c>
      <c r="E63" s="148" t="str">
        <f>IFERROR(__xludf.DUMMYFUNCTION("""COMPUTED_VALUE""")," FOGO FDG 30 PD")</f>
        <v> FOGO FDG 30 PD</v>
      </c>
      <c r="F63" s="70">
        <f>IFERROR(__xludf.DUMMYFUNCTION("""COMPUTED_VALUE"""),10120.0)</f>
        <v>10120</v>
      </c>
      <c r="G63" s="74">
        <f>IFERROR(__xludf.DUMMYFUNCTION("""COMPUTED_VALUE"""),590.0)</f>
        <v>590</v>
      </c>
      <c r="H63" s="88"/>
    </row>
    <row r="64">
      <c r="A64" s="64">
        <f>IFERROR(__xludf.DUMMYFUNCTION("""COMPUTED_VALUE"""),55.0)</f>
        <v>55</v>
      </c>
      <c r="B64" s="66" t="str">
        <f>IFERROR(__xludf.DUMMYFUNCTION("""COMPUTED_VALUE"""),"")</f>
        <v/>
      </c>
      <c r="C64" s="68" t="str">
        <f>IFERROR(__xludf.DUMMYFUNCTION("""COMPUTED_VALUE"""),"")</f>
        <v/>
      </c>
      <c r="D64" s="70" t="str">
        <f>IFERROR(__xludf.DUMMYFUNCTION("""COMPUTED_VALUE"""),"")</f>
        <v/>
      </c>
      <c r="E64" s="148" t="str">
        <f>IFERROR(__xludf.DUMMYFUNCTION("""COMPUTED_VALUE""")," FOGO FDG 30 P3D")</f>
        <v> FOGO FDG 30 P3D</v>
      </c>
      <c r="F64" s="70">
        <f>IFERROR(__xludf.DUMMYFUNCTION("""COMPUTED_VALUE"""),11260.0)</f>
        <v>11260</v>
      </c>
      <c r="G64" s="74">
        <f>IFERROR(__xludf.DUMMYFUNCTION("""COMPUTED_VALUE"""),665.0)</f>
        <v>665</v>
      </c>
      <c r="H64" s="88"/>
    </row>
    <row r="65">
      <c r="A65" s="64">
        <f>IFERROR(__xludf.DUMMYFUNCTION("""COMPUTED_VALUE"""),56.0)</f>
        <v>56</v>
      </c>
      <c r="B65" s="66" t="str">
        <f>IFERROR(__xludf.DUMMYFUNCTION("""COMPUTED_VALUE"""),"40 кВА / 32 кВт")</f>
        <v>40 кВА / 32 кВт</v>
      </c>
      <c r="C65" s="68" t="str">
        <f>IFERROR(__xludf.DUMMYFUNCTION("""COMPUTED_VALUE""")," FOGO FDF 40 PD")</f>
        <v> FOGO FDF 40 PD</v>
      </c>
      <c r="D65" s="70">
        <f>IFERROR(__xludf.DUMMYFUNCTION("""COMPUTED_VALUE"""),10010.0)</f>
        <v>10010</v>
      </c>
      <c r="E65" s="148" t="str">
        <f>IFERROR(__xludf.DUMMYFUNCTION("""COMPUTED_VALUE""")," FOGO FDG 40 PD")</f>
        <v> FOGO FDG 40 PD</v>
      </c>
      <c r="F65" s="70">
        <f>IFERROR(__xludf.DUMMYFUNCTION("""COMPUTED_VALUE"""),10925.0)</f>
        <v>10925</v>
      </c>
      <c r="G65" s="74">
        <f>IFERROR(__xludf.DUMMYFUNCTION("""COMPUTED_VALUE"""),700.0)</f>
        <v>700</v>
      </c>
      <c r="H65" s="88"/>
    </row>
    <row r="66">
      <c r="A66" s="64">
        <f>IFERROR(__xludf.DUMMYFUNCTION("""COMPUTED_VALUE"""),57.0)</f>
        <v>57</v>
      </c>
      <c r="B66" s="66" t="str">
        <f>IFERROR(__xludf.DUMMYFUNCTION("""COMPUTED_VALUE"""),"45 кВА / 36 кВт")</f>
        <v>45 кВА / 36 кВт</v>
      </c>
      <c r="C66" s="68" t="str">
        <f>IFERROR(__xludf.DUMMYFUNCTION("""COMPUTED_VALUE"""),"FOGO  FDF 50 PD")</f>
        <v>FOGO  FDF 50 PD</v>
      </c>
      <c r="D66" s="70">
        <f>IFERROR(__xludf.DUMMYFUNCTION("""COMPUTED_VALUE"""),10215.0)</f>
        <v>10215</v>
      </c>
      <c r="E66" s="148" t="str">
        <f>IFERROR(__xludf.DUMMYFUNCTION("""COMPUTED_VALUE""")," FOGO FDG 50 PD")</f>
        <v> FOGO FDG 50 PD</v>
      </c>
      <c r="F66" s="70">
        <f>IFERROR(__xludf.DUMMYFUNCTION("""COMPUTED_VALUE"""),11080.0)</f>
        <v>11080</v>
      </c>
      <c r="G66" s="74">
        <f>IFERROR(__xludf.DUMMYFUNCTION("""COMPUTED_VALUE"""),700.0)</f>
        <v>700</v>
      </c>
      <c r="H66" s="88"/>
    </row>
    <row r="67">
      <c r="A67" s="64">
        <f>IFERROR(__xludf.DUMMYFUNCTION("""COMPUTED_VALUE"""),58.0)</f>
        <v>58</v>
      </c>
      <c r="B67" s="66" t="str">
        <f>IFERROR(__xludf.DUMMYFUNCTION("""COMPUTED_VALUE"""),"60 кВА / 48 кВт")</f>
        <v>60 кВА / 48 кВт</v>
      </c>
      <c r="C67" s="68" t="str">
        <f>IFERROR(__xludf.DUMMYFUNCTION("""COMPUTED_VALUE""")," FOGO FDF 60 PD")</f>
        <v> FOGO FDF 60 PD</v>
      </c>
      <c r="D67" s="70">
        <f>IFERROR(__xludf.DUMMYFUNCTION("""COMPUTED_VALUE"""),11525.0)</f>
        <v>11525</v>
      </c>
      <c r="E67" s="148" t="str">
        <f>IFERROR(__xludf.DUMMYFUNCTION("""COMPUTED_VALUE""")," FOGO FDG 60 PD")</f>
        <v> FOGO FDG 60 PD</v>
      </c>
      <c r="F67" s="70">
        <f>IFERROR(__xludf.DUMMYFUNCTION("""COMPUTED_VALUE"""),12525.0)</f>
        <v>12525</v>
      </c>
      <c r="G67" s="74">
        <f>IFERROR(__xludf.DUMMYFUNCTION("""COMPUTED_VALUE"""),830.0)</f>
        <v>830</v>
      </c>
      <c r="H67" s="88"/>
    </row>
    <row r="68">
      <c r="A68" s="64">
        <f>IFERROR(__xludf.DUMMYFUNCTION("""COMPUTED_VALUE"""),59.0)</f>
        <v>59</v>
      </c>
      <c r="B68" s="66" t="str">
        <f>IFERROR(__xludf.DUMMYFUNCTION("""COMPUTED_VALUE"""),"")</f>
        <v/>
      </c>
      <c r="C68" s="68" t="str">
        <f>IFERROR(__xludf.DUMMYFUNCTION("""COMPUTED_VALUE"""),"")</f>
        <v/>
      </c>
      <c r="D68" s="70" t="str">
        <f>IFERROR(__xludf.DUMMYFUNCTION("""COMPUTED_VALUE"""),"")</f>
        <v/>
      </c>
      <c r="E68" s="148" t="str">
        <f>IFERROR(__xludf.DUMMYFUNCTION("""COMPUTED_VALUE""")," FOGO FDG 60 P3D")</f>
        <v> FOGO FDG 60 P3D</v>
      </c>
      <c r="F68" s="70">
        <f>IFERROR(__xludf.DUMMYFUNCTION("""COMPUTED_VALUE"""),13215.0)</f>
        <v>13215</v>
      </c>
      <c r="G68" s="74">
        <f>IFERROR(__xludf.DUMMYFUNCTION("""COMPUTED_VALUE"""),1075.0)</f>
        <v>1075</v>
      </c>
      <c r="H68" s="88"/>
    </row>
    <row r="69">
      <c r="A69" s="64">
        <f>IFERROR(__xludf.DUMMYFUNCTION("""COMPUTED_VALUE"""),60.0)</f>
        <v>60</v>
      </c>
      <c r="B69" s="66" t="str">
        <f>IFERROR(__xludf.DUMMYFUNCTION("""COMPUTED_VALUE"""),"80 кВА / 64 кВт")</f>
        <v>80 кВА / 64 кВт</v>
      </c>
      <c r="C69" s="68" t="str">
        <f>IFERROR(__xludf.DUMMYFUNCTION("""COMPUTED_VALUE""")," FOGO FDF 80 PD")</f>
        <v> FOGO FDF 80 PD</v>
      </c>
      <c r="D69" s="70">
        <f>IFERROR(__xludf.DUMMYFUNCTION("""COMPUTED_VALUE"""),12600.0)</f>
        <v>12600</v>
      </c>
      <c r="E69" s="148" t="str">
        <f>IFERROR(__xludf.DUMMYFUNCTION("""COMPUTED_VALUE""")," FOGO FDG 80 PD")</f>
        <v> FOGO FDG 80 PD</v>
      </c>
      <c r="F69" s="70">
        <f>IFERROR(__xludf.DUMMYFUNCTION("""COMPUTED_VALUE"""),13600.0)</f>
        <v>13600</v>
      </c>
      <c r="G69" s="74" t="str">
        <f>IFERROR(__xludf.DUMMYFUNCTION("""COMPUTED_VALUE"""),"")</f>
        <v/>
      </c>
      <c r="H69" s="88"/>
    </row>
    <row r="70">
      <c r="A70" s="64">
        <f>IFERROR(__xludf.DUMMYFUNCTION("""COMPUTED_VALUE"""),61.0)</f>
        <v>61</v>
      </c>
      <c r="B70" s="66" t="str">
        <f>IFERROR(__xludf.DUMMYFUNCTION("""COMPUTED_VALUE"""),"")</f>
        <v/>
      </c>
      <c r="C70" s="68" t="str">
        <f>IFERROR(__xludf.DUMMYFUNCTION("""COMPUTED_VALUE"""),"")</f>
        <v/>
      </c>
      <c r="D70" s="70" t="str">
        <f>IFERROR(__xludf.DUMMYFUNCTION("""COMPUTED_VALUE"""),"")</f>
        <v/>
      </c>
      <c r="E70" s="148" t="str">
        <f>IFERROR(__xludf.DUMMYFUNCTION("""COMPUTED_VALUE""")," FOGO FDG 80 P3D")</f>
        <v> FOGO FDG 80 P3D</v>
      </c>
      <c r="F70" s="70">
        <f>IFERROR(__xludf.DUMMYFUNCTION("""COMPUTED_VALUE"""),15120.0)</f>
        <v>15120</v>
      </c>
      <c r="G70" s="74" t="str">
        <f>IFERROR(__xludf.DUMMYFUNCTION("""COMPUTED_VALUE"""),"")</f>
        <v/>
      </c>
      <c r="H70" s="88"/>
    </row>
    <row r="71">
      <c r="A71" s="64">
        <f>IFERROR(__xludf.DUMMYFUNCTION("""COMPUTED_VALUE"""),62.0)</f>
        <v>62</v>
      </c>
      <c r="B71" s="66" t="str">
        <f>IFERROR(__xludf.DUMMYFUNCTION("""COMPUTED_VALUE"""),"100 кВА / 80 кВт")</f>
        <v>100 кВА / 80 кВт</v>
      </c>
      <c r="C71" s="68" t="str">
        <f>IFERROR(__xludf.DUMMYFUNCTION("""COMPUTED_VALUE""")," FOGO FDF 100 PD")</f>
        <v> FOGO FDF 100 PD</v>
      </c>
      <c r="D71" s="70">
        <f>IFERROR(__xludf.DUMMYFUNCTION("""COMPUTED_VALUE"""),14110.0)</f>
        <v>14110</v>
      </c>
      <c r="E71" s="148" t="str">
        <f>IFERROR(__xludf.DUMMYFUNCTION("""COMPUTED_VALUE""")," FOGO FDG 100 PD")</f>
        <v> FOGO FDG 100 PD</v>
      </c>
      <c r="F71" s="70">
        <f>IFERROR(__xludf.DUMMYFUNCTION("""COMPUTED_VALUE"""),15110.0)</f>
        <v>15110</v>
      </c>
      <c r="G71" s="74" t="str">
        <f>IFERROR(__xludf.DUMMYFUNCTION("""COMPUTED_VALUE"""),"")</f>
        <v/>
      </c>
      <c r="H71" s="88"/>
    </row>
    <row r="72">
      <c r="A72" s="64">
        <f>IFERROR(__xludf.DUMMYFUNCTION("""COMPUTED_VALUE"""),63.0)</f>
        <v>63</v>
      </c>
      <c r="B72" s="66" t="str">
        <f>IFERROR(__xludf.DUMMYFUNCTION("""COMPUTED_VALUE"""),"")</f>
        <v/>
      </c>
      <c r="C72" s="68" t="str">
        <f>IFERROR(__xludf.DUMMYFUNCTION("""COMPUTED_VALUE"""),"")</f>
        <v/>
      </c>
      <c r="D72" s="70" t="str">
        <f>IFERROR(__xludf.DUMMYFUNCTION("""COMPUTED_VALUE"""),"")</f>
        <v/>
      </c>
      <c r="E72" s="148" t="str">
        <f>IFERROR(__xludf.DUMMYFUNCTION("""COMPUTED_VALUE""")," FOGO FDG 100 P3D")</f>
        <v> FOGO FDG 100 P3D</v>
      </c>
      <c r="F72" s="70">
        <f>IFERROR(__xludf.DUMMYFUNCTION("""COMPUTED_VALUE"""),16910.0)</f>
        <v>16910</v>
      </c>
      <c r="G72" s="74" t="str">
        <f>IFERROR(__xludf.DUMMYFUNCTION("""COMPUTED_VALUE"""),"")</f>
        <v/>
      </c>
      <c r="H72" s="88"/>
    </row>
    <row r="73">
      <c r="A73" s="64">
        <f>IFERROR(__xludf.DUMMYFUNCTION("""COMPUTED_VALUE"""),64.0)</f>
        <v>64</v>
      </c>
      <c r="B73" s="66" t="str">
        <f>IFERROR(__xludf.DUMMYFUNCTION("""COMPUTED_VALUE"""),"800 кВА / 640 кВт")</f>
        <v>800 кВА / 640 кВт</v>
      </c>
      <c r="C73" s="68" t="str">
        <f>IFERROR(__xludf.DUMMYFUNCTION("""COMPUTED_VALUE""")," FOGO FDF 800 PD")</f>
        <v> FOGO FDF 800 PD</v>
      </c>
      <c r="D73" s="70">
        <f>IFERROR(__xludf.DUMMYFUNCTION("""COMPUTED_VALUE"""),111985.0)</f>
        <v>111985</v>
      </c>
      <c r="E73" s="148" t="str">
        <f>IFERROR(__xludf.DUMMYFUNCTION("""COMPUTED_VALUE""")," FOGO FDG 800 PD")</f>
        <v> FOGO FDG 800 PD</v>
      </c>
      <c r="F73" s="70">
        <f>IFERROR(__xludf.DUMMYFUNCTION("""COMPUTED_VALUE"""),115240.0)</f>
        <v>115240</v>
      </c>
      <c r="G73" s="74" t="str">
        <f>IFERROR(__xludf.DUMMYFUNCTION("""COMPUTED_VALUE"""),"")</f>
        <v/>
      </c>
      <c r="H73" s="88"/>
    </row>
    <row r="74">
      <c r="A74" s="64">
        <f>IFERROR(__xludf.DUMMYFUNCTION("""COMPUTED_VALUE"""),65.0)</f>
        <v>65</v>
      </c>
      <c r="B74" s="66" t="str">
        <f>IFERROR(__xludf.DUMMYFUNCTION("""COMPUTED_VALUE"""),"1000 кВА / 800 кВт")</f>
        <v>1000 кВА / 800 кВт</v>
      </c>
      <c r="C74" s="68" t="str">
        <f>IFERROR(__xludf.DUMMYFUNCTION("""COMPUTED_VALUE""")," FOGO FDF 1000 PD")</f>
        <v> FOGO FDF 1000 PD</v>
      </c>
      <c r="D74" s="70">
        <f>IFERROR(__xludf.DUMMYFUNCTION("""COMPUTED_VALUE"""),143140.0)</f>
        <v>143140</v>
      </c>
      <c r="E74" s="148" t="str">
        <f>IFERROR(__xludf.DUMMYFUNCTION("""COMPUTED_VALUE""")," FOGO FDG 1000 PD")</f>
        <v> FOGO FDG 1000 PD</v>
      </c>
      <c r="F74" s="70">
        <f>IFERROR(__xludf.DUMMYFUNCTION("""COMPUTED_VALUE"""),147620.0)</f>
        <v>147620</v>
      </c>
      <c r="G74" s="74" t="str">
        <f>IFERROR(__xludf.DUMMYFUNCTION("""COMPUTED_VALUE"""),"")</f>
        <v/>
      </c>
      <c r="H74" s="88"/>
    </row>
    <row r="75">
      <c r="A75" s="56" t="str">
        <f>IFERROR(__xludf.DUMMYFUNCTION("""COMPUTED_VALUE"""),"Двигатель SCANIA")</f>
        <v>Двигатель SCANIA</v>
      </c>
      <c r="B75" s="58"/>
      <c r="C75" s="58"/>
      <c r="D75" s="58"/>
      <c r="E75" s="58"/>
      <c r="F75" s="58"/>
      <c r="G75" s="60"/>
      <c r="H75" s="88"/>
    </row>
    <row r="76">
      <c r="A76" s="64">
        <f>IFERROR(__xludf.DUMMYFUNCTION("""COMPUTED_VALUE"""),66.0)</f>
        <v>66</v>
      </c>
      <c r="B76" s="66" t="str">
        <f>IFERROR(__xludf.DUMMYFUNCTION("""COMPUTED_VALUE"""),"280 кВа / 224,8 кВт")</f>
        <v>280 кВа / 224,8 кВт</v>
      </c>
      <c r="C76" s="68" t="str">
        <f>IFERROR(__xludf.DUMMYFUNCTION("""COMPUTED_VALUE"""),"FOGO FDF 280 SS")</f>
        <v>FOGO FDF 280 SS</v>
      </c>
      <c r="D76" s="70">
        <f>IFERROR(__xludf.DUMMYFUNCTION("""COMPUTED_VALUE"""),28690.0)</f>
        <v>28690</v>
      </c>
      <c r="E76" s="148" t="str">
        <f>IFERROR(__xludf.DUMMYFUNCTION("""COMPUTED_VALUE"""),"FOGO FDG 280 SS")</f>
        <v>FOGO FDG 280 SS</v>
      </c>
      <c r="F76" s="70">
        <f>IFERROR(__xludf.DUMMYFUNCTION("""COMPUTED_VALUE"""),32540.0)</f>
        <v>32540</v>
      </c>
      <c r="G76" s="74" t="str">
        <f>IFERROR(__xludf.DUMMYFUNCTION("""COMPUTED_VALUE"""),"")</f>
        <v/>
      </c>
      <c r="H76" s="88"/>
    </row>
    <row r="77">
      <c r="A77" s="64">
        <f>IFERROR(__xludf.DUMMYFUNCTION("""COMPUTED_VALUE"""),67.0)</f>
        <v>67</v>
      </c>
      <c r="B77" s="66" t="str">
        <f>IFERROR(__xludf.DUMMYFUNCTION("""COMPUTED_VALUE"""),"280 кВа / 224,8 кВт")</f>
        <v>280 кВа / 224,8 кВт</v>
      </c>
      <c r="C77" s="68" t="str">
        <f>IFERROR(__xludf.DUMMYFUNCTION("""COMPUTED_VALUE"""),"FOGO FDF 280 S2S")</f>
        <v>FOGO FDF 280 S2S</v>
      </c>
      <c r="D77" s="70">
        <f>IFERROR(__xludf.DUMMYFUNCTION("""COMPUTED_VALUE"""),29485.0)</f>
        <v>29485</v>
      </c>
      <c r="E77" s="148" t="str">
        <f>IFERROR(__xludf.DUMMYFUNCTION("""COMPUTED_VALUE"""),"FOGO FDG 280 S2S")</f>
        <v>FOGO FDG 280 S2S</v>
      </c>
      <c r="F77" s="70">
        <f>IFERROR(__xludf.DUMMYFUNCTION("""COMPUTED_VALUE"""),33335.0)</f>
        <v>33335</v>
      </c>
      <c r="G77" s="74" t="str">
        <f>IFERROR(__xludf.DUMMYFUNCTION("""COMPUTED_VALUE"""),"")</f>
        <v/>
      </c>
      <c r="H77" s="88"/>
    </row>
    <row r="78">
      <c r="A78" s="64">
        <f>IFERROR(__xludf.DUMMYFUNCTION("""COMPUTED_VALUE"""),68.0)</f>
        <v>68</v>
      </c>
      <c r="B78" s="66" t="str">
        <f>IFERROR(__xludf.DUMMYFUNCTION("""COMPUTED_VALUE"""),"280 кВа / 224,8 кВт")</f>
        <v>280 кВа / 224,8 кВт</v>
      </c>
      <c r="C78" s="68" t="str">
        <f>IFERROR(__xludf.DUMMYFUNCTION("""COMPUTED_VALUE"""),"FOGO FDF 280 S3S")</f>
        <v>FOGO FDF 280 S3S</v>
      </c>
      <c r="D78" s="70">
        <f>IFERROR(__xludf.DUMMYFUNCTION("""COMPUTED_VALUE"""),31850.0)</f>
        <v>31850</v>
      </c>
      <c r="E78" s="148" t="str">
        <f>IFERROR(__xludf.DUMMYFUNCTION("""COMPUTED_VALUE"""),"FOGO FDG 280 S3S")</f>
        <v>FOGO FDG 280 S3S</v>
      </c>
      <c r="F78" s="70">
        <f>IFERROR(__xludf.DUMMYFUNCTION("""COMPUTED_VALUE"""),35700.0)</f>
        <v>35700</v>
      </c>
      <c r="G78" s="74" t="str">
        <f>IFERROR(__xludf.DUMMYFUNCTION("""COMPUTED_VALUE"""),"")</f>
        <v/>
      </c>
      <c r="H78" s="88"/>
    </row>
    <row r="79">
      <c r="A79" s="64">
        <f>IFERROR(__xludf.DUMMYFUNCTION("""COMPUTED_VALUE"""),69.0)</f>
        <v>69</v>
      </c>
      <c r="B79" s="66" t="str">
        <f>IFERROR(__xludf.DUMMYFUNCTION("""COMPUTED_VALUE"""),"300 кВа / 240,0 кВт")</f>
        <v>300 кВа / 240,0 кВт</v>
      </c>
      <c r="C79" s="68" t="str">
        <f>IFERROR(__xludf.DUMMYFUNCTION("""COMPUTED_VALUE"""),"FOGO FDF 300 SS")</f>
        <v>FOGO FDF 300 SS</v>
      </c>
      <c r="D79" s="70">
        <f>IFERROR(__xludf.DUMMYFUNCTION("""COMPUTED_VALUE"""),29610.0)</f>
        <v>29610</v>
      </c>
      <c r="E79" s="148" t="str">
        <f>IFERROR(__xludf.DUMMYFUNCTION("""COMPUTED_VALUE"""),"FOGO FDG 300 SS")</f>
        <v>FOGO FDG 300 SS</v>
      </c>
      <c r="F79" s="70">
        <f>IFERROR(__xludf.DUMMYFUNCTION("""COMPUTED_VALUE"""),33460.0)</f>
        <v>33460</v>
      </c>
      <c r="G79" s="74" t="str">
        <f>IFERROR(__xludf.DUMMYFUNCTION("""COMPUTED_VALUE"""),"")</f>
        <v/>
      </c>
      <c r="H79" s="88"/>
    </row>
    <row r="80">
      <c r="A80" s="64">
        <f>IFERROR(__xludf.DUMMYFUNCTION("""COMPUTED_VALUE"""),70.0)</f>
        <v>70</v>
      </c>
      <c r="B80" s="66" t="str">
        <f>IFERROR(__xludf.DUMMYFUNCTION("""COMPUTED_VALUE"""),"300 кВа / 240,0 кВт")</f>
        <v>300 кВа / 240,0 кВт</v>
      </c>
      <c r="C80" s="68" t="str">
        <f>IFERROR(__xludf.DUMMYFUNCTION("""COMPUTED_VALUE"""),"FOGO FDF 300 S2S")</f>
        <v>FOGO FDF 300 S2S</v>
      </c>
      <c r="D80" s="70">
        <f>IFERROR(__xludf.DUMMYFUNCTION("""COMPUTED_VALUE"""),30405.0)</f>
        <v>30405</v>
      </c>
      <c r="E80" s="148" t="str">
        <f>IFERROR(__xludf.DUMMYFUNCTION("""COMPUTED_VALUE"""),"FOGO FDG 300 S2S")</f>
        <v>FOGO FDG 300 S2S</v>
      </c>
      <c r="F80" s="70">
        <f>IFERROR(__xludf.DUMMYFUNCTION("""COMPUTED_VALUE"""),34255.0)</f>
        <v>34255</v>
      </c>
      <c r="G80" s="74" t="str">
        <f>IFERROR(__xludf.DUMMYFUNCTION("""COMPUTED_VALUE"""),"")</f>
        <v/>
      </c>
      <c r="H80" s="88"/>
    </row>
    <row r="81">
      <c r="A81" s="64">
        <f>IFERROR(__xludf.DUMMYFUNCTION("""COMPUTED_VALUE"""),71.0)</f>
        <v>71</v>
      </c>
      <c r="B81" s="66" t="str">
        <f>IFERROR(__xludf.DUMMYFUNCTION("""COMPUTED_VALUE"""),"300 кВа / 240,0 кВт")</f>
        <v>300 кВа / 240,0 кВт</v>
      </c>
      <c r="C81" s="68" t="str">
        <f>IFERROR(__xludf.DUMMYFUNCTION("""COMPUTED_VALUE"""),"FOGO FDF 300 S3S")</f>
        <v>FOGO FDF 300 S3S</v>
      </c>
      <c r="D81" s="70">
        <f>IFERROR(__xludf.DUMMYFUNCTION("""COMPUTED_VALUE"""),32845.0)</f>
        <v>32845</v>
      </c>
      <c r="E81" s="148" t="str">
        <f>IFERROR(__xludf.DUMMYFUNCTION("""COMPUTED_VALUE"""),"FOGO FDG 300 S3S")</f>
        <v>FOGO FDG 300 S3S</v>
      </c>
      <c r="F81" s="70">
        <f>IFERROR(__xludf.DUMMYFUNCTION("""COMPUTED_VALUE"""),36695.0)</f>
        <v>36695</v>
      </c>
      <c r="G81" s="74" t="str">
        <f>IFERROR(__xludf.DUMMYFUNCTION("""COMPUTED_VALUE"""),"")</f>
        <v/>
      </c>
      <c r="H81" s="88"/>
    </row>
    <row r="82">
      <c r="A82" s="64">
        <f>IFERROR(__xludf.DUMMYFUNCTION("""COMPUTED_VALUE"""),72.0)</f>
        <v>72</v>
      </c>
      <c r="B82" s="66" t="str">
        <f>IFERROR(__xludf.DUMMYFUNCTION("""COMPUTED_VALUE"""),"330 кВа / 263,0 кВт")</f>
        <v>330 кВа / 263,0 кВт</v>
      </c>
      <c r="C82" s="68" t="str">
        <f>IFERROR(__xludf.DUMMYFUNCTION("""COMPUTED_VALUE"""),"FOGO FDF 330 SS")</f>
        <v>FOGO FDF 330 SS</v>
      </c>
      <c r="D82" s="70">
        <f>IFERROR(__xludf.DUMMYFUNCTION("""COMPUTED_VALUE"""),30765.0)</f>
        <v>30765</v>
      </c>
      <c r="E82" s="148" t="str">
        <f>IFERROR(__xludf.DUMMYFUNCTION("""COMPUTED_VALUE"""),"FOGO FDG 330 SS")</f>
        <v>FOGO FDG 330 SS</v>
      </c>
      <c r="F82" s="70">
        <f>IFERROR(__xludf.DUMMYFUNCTION("""COMPUTED_VALUE"""),34590.0)</f>
        <v>34590</v>
      </c>
      <c r="G82" s="74" t="str">
        <f>IFERROR(__xludf.DUMMYFUNCTION("""COMPUTED_VALUE"""),"")</f>
        <v/>
      </c>
      <c r="H82" s="88"/>
    </row>
    <row r="83">
      <c r="A83" s="64">
        <f>IFERROR(__xludf.DUMMYFUNCTION("""COMPUTED_VALUE"""),73.0)</f>
        <v>73</v>
      </c>
      <c r="B83" s="66" t="str">
        <f>IFERROR(__xludf.DUMMYFUNCTION("""COMPUTED_VALUE"""),"330 кВа / 263,0 кВт")</f>
        <v>330 кВа / 263,0 кВт</v>
      </c>
      <c r="C83" s="68" t="str">
        <f>IFERROR(__xludf.DUMMYFUNCTION("""COMPUTED_VALUE"""),"FOGO FDF 330 S2S")</f>
        <v>FOGO FDF 330 S2S</v>
      </c>
      <c r="D83" s="70">
        <f>IFERROR(__xludf.DUMMYFUNCTION("""COMPUTED_VALUE"""),31560.0)</f>
        <v>31560</v>
      </c>
      <c r="E83" s="148" t="str">
        <f>IFERROR(__xludf.DUMMYFUNCTION("""COMPUTED_VALUE"""),"FOGO FDG 330 S2S")</f>
        <v>FOGO FDG 330 S2S</v>
      </c>
      <c r="F83" s="70">
        <f>IFERROR(__xludf.DUMMYFUNCTION("""COMPUTED_VALUE"""),35410.0)</f>
        <v>35410</v>
      </c>
      <c r="G83" s="74" t="str">
        <f>IFERROR(__xludf.DUMMYFUNCTION("""COMPUTED_VALUE"""),"")</f>
        <v/>
      </c>
      <c r="H83" s="88"/>
    </row>
    <row r="84">
      <c r="A84" s="64">
        <f>IFERROR(__xludf.DUMMYFUNCTION("""COMPUTED_VALUE"""),74.0)</f>
        <v>74</v>
      </c>
      <c r="B84" s="66" t="str">
        <f>IFERROR(__xludf.DUMMYFUNCTION("""COMPUTED_VALUE"""),"330 кВа / 263,0 кВт")</f>
        <v>330 кВа / 263,0 кВт</v>
      </c>
      <c r="C84" s="68" t="str">
        <f>IFERROR(__xludf.DUMMYFUNCTION("""COMPUTED_VALUE"""),"FOGO FDF 330 S3S")</f>
        <v>FOGO FDF 330 S3S</v>
      </c>
      <c r="D84" s="70">
        <f>IFERROR(__xludf.DUMMYFUNCTION("""COMPUTED_VALUE"""),34000.0)</f>
        <v>34000</v>
      </c>
      <c r="E84" s="148" t="str">
        <f>IFERROR(__xludf.DUMMYFUNCTION("""COMPUTED_VALUE"""),"FOGO FDG 330 S3S")</f>
        <v>FOGO FDG 330 S3S</v>
      </c>
      <c r="F84" s="70">
        <f>IFERROR(__xludf.DUMMYFUNCTION("""COMPUTED_VALUE"""),37850.0)</f>
        <v>37850</v>
      </c>
      <c r="G84" s="74" t="str">
        <f>IFERROR(__xludf.DUMMYFUNCTION("""COMPUTED_VALUE"""),"")</f>
        <v/>
      </c>
      <c r="H84" s="88"/>
    </row>
    <row r="85">
      <c r="A85" s="64">
        <f>IFERROR(__xludf.DUMMYFUNCTION("""COMPUTED_VALUE"""),75.0)</f>
        <v>75</v>
      </c>
      <c r="B85" s="66" t="str">
        <f>IFERROR(__xludf.DUMMYFUNCTION("""COMPUTED_VALUE"""),"380 кВа / 299,2 кВт")</f>
        <v>380 кВа / 299,2 кВт</v>
      </c>
      <c r="C85" s="68" t="str">
        <f>IFERROR(__xludf.DUMMYFUNCTION("""COMPUTED_VALUE"""),"FOGO FDF 380 SS")</f>
        <v>FOGO FDF 380 SS</v>
      </c>
      <c r="D85" s="70">
        <f>IFERROR(__xludf.DUMMYFUNCTION("""COMPUTED_VALUE"""),32840.0)</f>
        <v>32840</v>
      </c>
      <c r="E85" s="148" t="str">
        <f>IFERROR(__xludf.DUMMYFUNCTION("""COMPUTED_VALUE"""),"FOGO FDG 380 SS")</f>
        <v>FOGO FDG 380 SS</v>
      </c>
      <c r="F85" s="70">
        <f>IFERROR(__xludf.DUMMYFUNCTION("""COMPUTED_VALUE"""),36665.0)</f>
        <v>36665</v>
      </c>
      <c r="G85" s="74" t="str">
        <f>IFERROR(__xludf.DUMMYFUNCTION("""COMPUTED_VALUE"""),"")</f>
        <v/>
      </c>
      <c r="H85" s="88"/>
    </row>
    <row r="86">
      <c r="A86" s="64">
        <f>IFERROR(__xludf.DUMMYFUNCTION("""COMPUTED_VALUE"""),76.0)</f>
        <v>76</v>
      </c>
      <c r="B86" s="66" t="str">
        <f>IFERROR(__xludf.DUMMYFUNCTION("""COMPUTED_VALUE"""),"380 кВа / 299,2 кВт")</f>
        <v>380 кВа / 299,2 кВт</v>
      </c>
      <c r="C86" s="68" t="str">
        <f>IFERROR(__xludf.DUMMYFUNCTION("""COMPUTED_VALUE"""),"FOGO FDF 380 S2S")</f>
        <v>FOGO FDF 380 S2S</v>
      </c>
      <c r="D86" s="70">
        <f>IFERROR(__xludf.DUMMYFUNCTION("""COMPUTED_VALUE"""),33635.0)</f>
        <v>33635</v>
      </c>
      <c r="E86" s="148" t="str">
        <f>IFERROR(__xludf.DUMMYFUNCTION("""COMPUTED_VALUE"""),"FOGO FDG 380 S2S")</f>
        <v>FOGO FDG 380 S2S</v>
      </c>
      <c r="F86" s="70">
        <f>IFERROR(__xludf.DUMMYFUNCTION("""COMPUTED_VALUE"""),37460.0)</f>
        <v>37460</v>
      </c>
      <c r="G86" s="74" t="str">
        <f>IFERROR(__xludf.DUMMYFUNCTION("""COMPUTED_VALUE"""),"")</f>
        <v/>
      </c>
      <c r="H86" s="88"/>
    </row>
    <row r="87">
      <c r="A87" s="64">
        <f>IFERROR(__xludf.DUMMYFUNCTION("""COMPUTED_VALUE"""),77.0)</f>
        <v>77</v>
      </c>
      <c r="B87" s="66" t="str">
        <f>IFERROR(__xludf.DUMMYFUNCTION("""COMPUTED_VALUE"""),"380 кВа / 299,2 кВт")</f>
        <v>380 кВа / 299,2 кВт</v>
      </c>
      <c r="C87" s="68" t="str">
        <f>IFERROR(__xludf.DUMMYFUNCTION("""COMPUTED_VALUE"""),"FOGO FDF 380 S3S")</f>
        <v>FOGO FDF 380 S3S</v>
      </c>
      <c r="D87" s="70">
        <f>IFERROR(__xludf.DUMMYFUNCTION("""COMPUTED_VALUE"""),36150.0)</f>
        <v>36150</v>
      </c>
      <c r="E87" s="148" t="str">
        <f>IFERROR(__xludf.DUMMYFUNCTION("""COMPUTED_VALUE"""),"FOGO FDG 380 S3S")</f>
        <v>FOGO FDG 380 S3S</v>
      </c>
      <c r="F87" s="70">
        <f>IFERROR(__xludf.DUMMYFUNCTION("""COMPUTED_VALUE"""),39975.0)</f>
        <v>39975</v>
      </c>
      <c r="G87" s="74" t="str">
        <f>IFERROR(__xludf.DUMMYFUNCTION("""COMPUTED_VALUE"""),"")</f>
        <v/>
      </c>
      <c r="H87" s="88"/>
    </row>
    <row r="88">
      <c r="A88" s="64">
        <f>IFERROR(__xludf.DUMMYFUNCTION("""COMPUTED_VALUE"""),78.0)</f>
        <v>78</v>
      </c>
      <c r="B88" s="66" t="str">
        <f>IFERROR(__xludf.DUMMYFUNCTION("""COMPUTED_VALUE"""),"400 кВа / 320,0 кВт")</f>
        <v>400 кВа / 320,0 кВт</v>
      </c>
      <c r="C88" s="68" t="str">
        <f>IFERROR(__xludf.DUMMYFUNCTION("""COMPUTED_VALUE"""),"FOGO FDF 400 SS")</f>
        <v>FOGO FDF 400 SS</v>
      </c>
      <c r="D88" s="70">
        <f>IFERROR(__xludf.DUMMYFUNCTION("""COMPUTED_VALUE"""),35190.0)</f>
        <v>35190</v>
      </c>
      <c r="E88" s="148" t="str">
        <f>IFERROR(__xludf.DUMMYFUNCTION("""COMPUTED_VALUE"""),"FOGO FDG 400 SS")</f>
        <v>FOGO FDG 400 SS</v>
      </c>
      <c r="F88" s="70">
        <f>IFERROR(__xludf.DUMMYFUNCTION("""COMPUTED_VALUE"""),39015.0)</f>
        <v>39015</v>
      </c>
      <c r="G88" s="74" t="str">
        <f>IFERROR(__xludf.DUMMYFUNCTION("""COMPUTED_VALUE"""),"")</f>
        <v/>
      </c>
      <c r="H88" s="88"/>
    </row>
    <row r="89">
      <c r="A89" s="64">
        <f>IFERROR(__xludf.DUMMYFUNCTION("""COMPUTED_VALUE"""),79.0)</f>
        <v>79</v>
      </c>
      <c r="B89" s="66" t="str">
        <f>IFERROR(__xludf.DUMMYFUNCTION("""COMPUTED_VALUE"""),"400 кВа / 320,0 кВт")</f>
        <v>400 кВа / 320,0 кВт</v>
      </c>
      <c r="C89" s="68" t="str">
        <f>IFERROR(__xludf.DUMMYFUNCTION("""COMPUTED_VALUE"""),"FOGO FDF 400 S2S")</f>
        <v>FOGO FDF 400 S2S</v>
      </c>
      <c r="D89" s="70">
        <f>IFERROR(__xludf.DUMMYFUNCTION("""COMPUTED_VALUE"""),35985.0)</f>
        <v>35985</v>
      </c>
      <c r="E89" s="148" t="str">
        <f>IFERROR(__xludf.DUMMYFUNCTION("""COMPUTED_VALUE"""),"FOGO FDG 400 S2S")</f>
        <v>FOGO FDG 400 S2S</v>
      </c>
      <c r="F89" s="70">
        <f>IFERROR(__xludf.DUMMYFUNCTION("""COMPUTED_VALUE"""),39810.0)</f>
        <v>39810</v>
      </c>
      <c r="G89" s="74" t="str">
        <f>IFERROR(__xludf.DUMMYFUNCTION("""COMPUTED_VALUE"""),"")</f>
        <v/>
      </c>
      <c r="H89" s="88"/>
    </row>
    <row r="90">
      <c r="A90" s="64">
        <f>IFERROR(__xludf.DUMMYFUNCTION("""COMPUTED_VALUE"""),80.0)</f>
        <v>80</v>
      </c>
      <c r="B90" s="66" t="str">
        <f>IFERROR(__xludf.DUMMYFUNCTION("""COMPUTED_VALUE"""),"400 кВа / 320,0 кВт")</f>
        <v>400 кВа / 320,0 кВт</v>
      </c>
      <c r="C90" s="68" t="str">
        <f>IFERROR(__xludf.DUMMYFUNCTION("""COMPUTED_VALUE"""),"FOGO FDF 400 S3S")</f>
        <v>FOGO FDF 400 S3S</v>
      </c>
      <c r="D90" s="70">
        <f>IFERROR(__xludf.DUMMYFUNCTION("""COMPUTED_VALUE"""),42550.0)</f>
        <v>42550</v>
      </c>
      <c r="E90" s="148" t="str">
        <f>IFERROR(__xludf.DUMMYFUNCTION("""COMPUTED_VALUE"""),"FOGO FDG 400 S3S")</f>
        <v>FOGO FDG 400 S3S</v>
      </c>
      <c r="F90" s="70">
        <f>IFERROR(__xludf.DUMMYFUNCTION("""COMPUTED_VALUE"""),42550.0)</f>
        <v>42550</v>
      </c>
      <c r="G90" s="74" t="str">
        <f>IFERROR(__xludf.DUMMYFUNCTION("""COMPUTED_VALUE"""),"")</f>
        <v/>
      </c>
      <c r="H90" s="88"/>
    </row>
    <row r="91">
      <c r="A91" s="64">
        <f>IFERROR(__xludf.DUMMYFUNCTION("""COMPUTED_VALUE"""),81.0)</f>
        <v>81</v>
      </c>
      <c r="B91" s="66" t="str">
        <f>IFERROR(__xludf.DUMMYFUNCTION("""COMPUTED_VALUE"""),"450 кВа / 360,0 кВт")</f>
        <v>450 кВа / 360,0 кВт</v>
      </c>
      <c r="C91" s="68" t="str">
        <f>IFERROR(__xludf.DUMMYFUNCTION("""COMPUTED_VALUE"""),"FOGO FDF 450 SS")</f>
        <v>FOGO FDF 450 SS</v>
      </c>
      <c r="D91" s="70">
        <f>IFERROR(__xludf.DUMMYFUNCTION("""COMPUTED_VALUE"""),37785.0)</f>
        <v>37785</v>
      </c>
      <c r="E91" s="148" t="str">
        <f>IFERROR(__xludf.DUMMYFUNCTION("""COMPUTED_VALUE"""),"FOGO FDG 450 SS")</f>
        <v>FOGO FDG 450 SS</v>
      </c>
      <c r="F91" s="70">
        <f>IFERROR(__xludf.DUMMYFUNCTION("""COMPUTED_VALUE"""),41605.0)</f>
        <v>41605</v>
      </c>
      <c r="G91" s="74" t="str">
        <f>IFERROR(__xludf.DUMMYFUNCTION("""COMPUTED_VALUE"""),"")</f>
        <v/>
      </c>
      <c r="H91" s="88"/>
    </row>
    <row r="92">
      <c r="A92" s="64">
        <f>IFERROR(__xludf.DUMMYFUNCTION("""COMPUTED_VALUE"""),82.0)</f>
        <v>82</v>
      </c>
      <c r="B92" s="66" t="str">
        <f>IFERROR(__xludf.DUMMYFUNCTION("""COMPUTED_VALUE"""),"450 кВа / 360,0 кВт")</f>
        <v>450 кВа / 360,0 кВт</v>
      </c>
      <c r="C92" s="68" t="str">
        <f>IFERROR(__xludf.DUMMYFUNCTION("""COMPUTED_VALUE"""),"FOGO FDF 450 S2S")</f>
        <v>FOGO FDF 450 S2S</v>
      </c>
      <c r="D92" s="70">
        <f>IFERROR(__xludf.DUMMYFUNCTION("""COMPUTED_VALUE"""),38580.0)</f>
        <v>38580</v>
      </c>
      <c r="E92" s="148" t="str">
        <f>IFERROR(__xludf.DUMMYFUNCTION("""COMPUTED_VALUE"""),"FOGO FDG 450 S2S")</f>
        <v>FOGO FDG 450 S2S</v>
      </c>
      <c r="F92" s="70">
        <f>IFERROR(__xludf.DUMMYFUNCTION("""COMPUTED_VALUE"""),42400.0)</f>
        <v>42400</v>
      </c>
      <c r="G92" s="74" t="str">
        <f>IFERROR(__xludf.DUMMYFUNCTION("""COMPUTED_VALUE"""),"")</f>
        <v/>
      </c>
      <c r="H92" s="88"/>
    </row>
    <row r="93">
      <c r="A93" s="64">
        <f>IFERROR(__xludf.DUMMYFUNCTION("""COMPUTED_VALUE"""),83.0)</f>
        <v>83</v>
      </c>
      <c r="B93" s="66" t="str">
        <f>IFERROR(__xludf.DUMMYFUNCTION("""COMPUTED_VALUE"""),"500 кВа / 400,0 кВт")</f>
        <v>500 кВа / 400,0 кВт</v>
      </c>
      <c r="C93" s="68" t="str">
        <f>IFERROR(__xludf.DUMMYFUNCTION("""COMPUTED_VALUE"""),"FOGO FDF 500 SS")</f>
        <v>FOGO FDF 500 SS</v>
      </c>
      <c r="D93" s="70">
        <f>IFERROR(__xludf.DUMMYFUNCTION("""COMPUTED_VALUE"""),39870.0)</f>
        <v>39870</v>
      </c>
      <c r="E93" s="148" t="str">
        <f>IFERROR(__xludf.DUMMYFUNCTION("""COMPUTED_VALUE"""),"FOGO FDG 500 SS")</f>
        <v>FOGO FDG 500 SS</v>
      </c>
      <c r="F93" s="70">
        <f>IFERROR(__xludf.DUMMYFUNCTION("""COMPUTED_VALUE"""),43670.0)</f>
        <v>43670</v>
      </c>
      <c r="G93" s="74" t="str">
        <f>IFERROR(__xludf.DUMMYFUNCTION("""COMPUTED_VALUE"""),"")</f>
        <v/>
      </c>
      <c r="H93" s="88"/>
    </row>
    <row r="94">
      <c r="A94" s="64">
        <f>IFERROR(__xludf.DUMMYFUNCTION("""COMPUTED_VALUE"""),84.0)</f>
        <v>84</v>
      </c>
      <c r="B94" s="66" t="str">
        <f>IFERROR(__xludf.DUMMYFUNCTION("""COMPUTED_VALUE"""),"500 кВа / 400,0 кВт")</f>
        <v>500 кВа / 400,0 кВт</v>
      </c>
      <c r="C94" s="68" t="str">
        <f>IFERROR(__xludf.DUMMYFUNCTION("""COMPUTED_VALUE"""),"FOGO FDF 500 S2S")</f>
        <v>FOGO FDF 500 S2S</v>
      </c>
      <c r="D94" s="70">
        <f>IFERROR(__xludf.DUMMYFUNCTION("""COMPUTED_VALUE"""),40665.0)</f>
        <v>40665</v>
      </c>
      <c r="E94" s="148" t="str">
        <f>IFERROR(__xludf.DUMMYFUNCTION("""COMPUTED_VALUE"""),"FOGO FDG 500 S2S")</f>
        <v>FOGO FDG 500 S2S</v>
      </c>
      <c r="F94" s="70">
        <f>IFERROR(__xludf.DUMMYFUNCTION("""COMPUTED_VALUE"""),44470.0)</f>
        <v>44470</v>
      </c>
      <c r="G94" s="74" t="str">
        <f>IFERROR(__xludf.DUMMYFUNCTION("""COMPUTED_VALUE"""),"")</f>
        <v/>
      </c>
      <c r="H94" s="88"/>
    </row>
    <row r="95">
      <c r="A95" s="64">
        <f>IFERROR(__xludf.DUMMYFUNCTION("""COMPUTED_VALUE"""),85.0)</f>
        <v>85</v>
      </c>
      <c r="B95" s="66" t="str">
        <f>IFERROR(__xludf.DUMMYFUNCTION("""COMPUTED_VALUE"""),"600 кВа / 480,0 кВт")</f>
        <v>600 кВа / 480,0 кВт</v>
      </c>
      <c r="C95" s="68" t="str">
        <f>IFERROR(__xludf.DUMMYFUNCTION("""COMPUTED_VALUE"""),"FOGO FDF 600 SS")</f>
        <v>FOGO FDF 600 SS</v>
      </c>
      <c r="D95" s="70">
        <f>IFERROR(__xludf.DUMMYFUNCTION("""COMPUTED_VALUE"""),52465.0)</f>
        <v>52465</v>
      </c>
      <c r="E95" s="148" t="str">
        <f>IFERROR(__xludf.DUMMYFUNCTION("""COMPUTED_VALUE"""),"FOGO FDG 600 SS")</f>
        <v>FOGO FDG 600 SS</v>
      </c>
      <c r="F95" s="70">
        <f>IFERROR(__xludf.DUMMYFUNCTION("""COMPUTED_VALUE"""),57225.0)</f>
        <v>57225</v>
      </c>
      <c r="G95" s="74" t="str">
        <f>IFERROR(__xludf.DUMMYFUNCTION("""COMPUTED_VALUE"""),"")</f>
        <v/>
      </c>
      <c r="H95" s="88"/>
    </row>
    <row r="96">
      <c r="A96" s="64">
        <f>IFERROR(__xludf.DUMMYFUNCTION("""COMPUTED_VALUE"""),86.0)</f>
        <v>86</v>
      </c>
      <c r="B96" s="66" t="str">
        <f>IFERROR(__xludf.DUMMYFUNCTION("""COMPUTED_VALUE"""),"650 кВа / 520,0 кВт")</f>
        <v>650 кВа / 520,0 кВт</v>
      </c>
      <c r="C96" s="68" t="str">
        <f>IFERROR(__xludf.DUMMYFUNCTION("""COMPUTED_VALUE"""),"FOGO FDF 650 SS")</f>
        <v>FOGO FDF 650 SS</v>
      </c>
      <c r="D96" s="70">
        <f>IFERROR(__xludf.DUMMYFUNCTION("""COMPUTED_VALUE"""),57460.0)</f>
        <v>57460</v>
      </c>
      <c r="E96" s="148" t="str">
        <f>IFERROR(__xludf.DUMMYFUNCTION("""COMPUTED_VALUE"""),"FOGO FDG 650 SS")</f>
        <v>FOGO FDG 650 SS</v>
      </c>
      <c r="F96" s="70">
        <f>IFERROR(__xludf.DUMMYFUNCTION("""COMPUTED_VALUE"""),62195.0)</f>
        <v>62195</v>
      </c>
      <c r="G96" s="74" t="str">
        <f>IFERROR(__xludf.DUMMYFUNCTION("""COMPUTED_VALUE"""),"")</f>
        <v/>
      </c>
      <c r="H96" s="88"/>
    </row>
    <row r="97">
      <c r="A97" s="64">
        <f>IFERROR(__xludf.DUMMYFUNCTION("""COMPUTED_VALUE"""),87.0)</f>
        <v>87</v>
      </c>
      <c r="B97" s="66" t="str">
        <f>IFERROR(__xludf.DUMMYFUNCTION("""COMPUTED_VALUE"""),"700 кВа / 564,8 кВт")</f>
        <v>700 кВа / 564,8 кВт</v>
      </c>
      <c r="C97" s="68" t="str">
        <f>IFERROR(__xludf.DUMMYFUNCTION("""COMPUTED_VALUE"""),"FOGO FDF 700 SS")</f>
        <v>FOGO FDF 700 SS</v>
      </c>
      <c r="D97" s="70">
        <f>IFERROR(__xludf.DUMMYFUNCTION("""COMPUTED_VALUE"""),62520.0)</f>
        <v>62520</v>
      </c>
      <c r="E97" s="148" t="str">
        <f>IFERROR(__xludf.DUMMYFUNCTION("""COMPUTED_VALUE"""),"FOGO FDG 700 SS")</f>
        <v>FOGO FDG 700 SS</v>
      </c>
      <c r="F97" s="70">
        <f>IFERROR(__xludf.DUMMYFUNCTION("""COMPUTED_VALUE"""),66630.0)</f>
        <v>66630</v>
      </c>
      <c r="G97" s="74" t="str">
        <f>IFERROR(__xludf.DUMMYFUNCTION("""COMPUTED_VALUE"""),"")</f>
        <v/>
      </c>
      <c r="H97" s="88"/>
    </row>
    <row r="98">
      <c r="A98" s="64" t="str">
        <f>IFERROR(__xludf.DUMMYFUNCTION("""COMPUTED_VALUE"""),"")</f>
        <v/>
      </c>
      <c r="B98" s="133" t="str">
        <f>IFERROR(__xludf.DUMMYFUNCTION("""COMPUTED_VALUE"""),"")</f>
        <v/>
      </c>
      <c r="D98" s="134"/>
      <c r="E98" s="135" t="str">
        <f>IFERROR(__xludf.DUMMYFUNCTION("""COMPUTED_VALUE"""),"Серия TWIN")</f>
        <v>Серия TWIN</v>
      </c>
      <c r="F98" s="136"/>
      <c r="G98" s="189" t="str">
        <f>IFERROR(__xludf.DUMMYFUNCTION("""COMPUTED_VALUE"""),"")</f>
        <v/>
      </c>
      <c r="H98" s="88"/>
    </row>
    <row r="99">
      <c r="A99" s="64">
        <f>IFERROR(__xludf.DUMMYFUNCTION("""COMPUTED_VALUE"""),88.0)</f>
        <v>88</v>
      </c>
      <c r="B99" s="133" t="str">
        <f>IFERROR(__xludf.DUMMYFUNCTION("""COMPUTED_VALUE"""),"800 кВа / 640,0 кВт")</f>
        <v>800 кВа / 640,0 кВт</v>
      </c>
      <c r="D99" s="134"/>
      <c r="E99" s="148" t="str">
        <f>IFERROR(__xludf.DUMMYFUNCTION("""COMPUTED_VALUE"""),"FOGO FDT 800 SS")</f>
        <v>FOGO FDT 800 SS</v>
      </c>
      <c r="F99" s="70">
        <f>IFERROR(__xludf.DUMMYFUNCTION("""COMPUTED_VALUE"""),102245.0)</f>
        <v>102245</v>
      </c>
      <c r="G99" s="74" t="str">
        <f>IFERROR(__xludf.DUMMYFUNCTION("""COMPUTED_VALUE"""),"")</f>
        <v/>
      </c>
      <c r="H99" s="88"/>
    </row>
    <row r="100">
      <c r="A100" s="64">
        <f>IFERROR(__xludf.DUMMYFUNCTION("""COMPUTED_VALUE"""),89.0)</f>
        <v>89</v>
      </c>
      <c r="B100" s="133" t="str">
        <f>IFERROR(__xludf.DUMMYFUNCTION("""COMPUTED_VALUE"""),"900 кВа / 720,0 кВт")</f>
        <v>900 кВа / 720,0 кВт</v>
      </c>
      <c r="D100" s="134"/>
      <c r="E100" s="148" t="str">
        <f>IFERROR(__xludf.DUMMYFUNCTION("""COMPUTED_VALUE"""),"FOGO FDT 900 SS")</f>
        <v>FOGO FDT 900 SS</v>
      </c>
      <c r="F100" s="70">
        <f>IFERROR(__xludf.DUMMYFUNCTION("""COMPUTED_VALUE"""),108780.0)</f>
        <v>108780</v>
      </c>
      <c r="G100" s="74" t="str">
        <f>IFERROR(__xludf.DUMMYFUNCTION("""COMPUTED_VALUE"""),"")</f>
        <v/>
      </c>
      <c r="H100" s="88"/>
    </row>
    <row r="101">
      <c r="A101" s="64">
        <f>IFERROR(__xludf.DUMMYFUNCTION("""COMPUTED_VALUE"""),90.0)</f>
        <v>90</v>
      </c>
      <c r="B101" s="133" t="str">
        <f>IFERROR(__xludf.DUMMYFUNCTION("""COMPUTED_VALUE"""),"1000 кВа / 800,0 кВт")</f>
        <v>1000 кВа / 800,0 кВт</v>
      </c>
      <c r="D101" s="134"/>
      <c r="E101" s="148" t="str">
        <f>IFERROR(__xludf.DUMMYFUNCTION("""COMPUTED_VALUE"""),"FOGO FDT 1000 SS")</f>
        <v>FOGO FDT 1000 SS</v>
      </c>
      <c r="F101" s="70">
        <f>IFERROR(__xludf.DUMMYFUNCTION("""COMPUTED_VALUE"""),113155.0)</f>
        <v>113155</v>
      </c>
      <c r="G101" s="74" t="str">
        <f>IFERROR(__xludf.DUMMYFUNCTION("""COMPUTED_VALUE"""),"")</f>
        <v/>
      </c>
      <c r="H101" s="88"/>
    </row>
    <row r="102">
      <c r="A102" s="64">
        <f>IFERROR(__xludf.DUMMYFUNCTION("""COMPUTED_VALUE"""),91.0)</f>
        <v>91</v>
      </c>
      <c r="B102" s="133" t="str">
        <f>IFERROR(__xludf.DUMMYFUNCTION("""COMPUTED_VALUE"""),"1200 кВа / 960,0 кВт")</f>
        <v>1200 кВа / 960,0 кВт</v>
      </c>
      <c r="D102" s="134"/>
      <c r="E102" s="148" t="str">
        <f>IFERROR(__xludf.DUMMYFUNCTION("""COMPUTED_VALUE"""),"FOGO FDT 1200 SS")</f>
        <v>FOGO FDT 1200 SS</v>
      </c>
      <c r="F102" s="70">
        <f>IFERROR(__xludf.DUMMYFUNCTION("""COMPUTED_VALUE"""),135785.0)</f>
        <v>135785</v>
      </c>
      <c r="G102" s="74" t="str">
        <f>IFERROR(__xludf.DUMMYFUNCTION("""COMPUTED_VALUE"""),"")</f>
        <v/>
      </c>
      <c r="H102" s="88"/>
    </row>
    <row r="103">
      <c r="A103" s="64">
        <f>IFERROR(__xludf.DUMMYFUNCTION("""COMPUTED_VALUE"""),92.0)</f>
        <v>92</v>
      </c>
      <c r="B103" s="133" t="str">
        <f>IFERROR(__xludf.DUMMYFUNCTION("""COMPUTED_VALUE"""),"1300 кВа / 1040,0 кВт")</f>
        <v>1300 кВа / 1040,0 кВт</v>
      </c>
      <c r="D103" s="134"/>
      <c r="E103" s="148" t="str">
        <f>IFERROR(__xludf.DUMMYFUNCTION("""COMPUTED_VALUE"""),"FOGO FDT 1300 SS")</f>
        <v>FOGO FDT 1300 SS</v>
      </c>
      <c r="F103" s="70">
        <f>IFERROR(__xludf.DUMMYFUNCTION("""COMPUTED_VALUE"""),142800.0)</f>
        <v>142800</v>
      </c>
      <c r="G103" s="74" t="str">
        <f>IFERROR(__xludf.DUMMYFUNCTION("""COMPUTED_VALUE"""),"")</f>
        <v/>
      </c>
      <c r="H103" s="88"/>
    </row>
    <row r="104">
      <c r="A104" s="64">
        <f>IFERROR(__xludf.DUMMYFUNCTION("""COMPUTED_VALUE"""),93.0)</f>
        <v>93</v>
      </c>
      <c r="B104" s="133" t="str">
        <f>IFERROR(__xludf.DUMMYFUNCTION("""COMPUTED_VALUE"""),"1400 кВа / 1120,0 кВт")</f>
        <v>1400 кВа / 1120,0 кВт</v>
      </c>
      <c r="D104" s="134"/>
      <c r="E104" s="148" t="str">
        <f>IFERROR(__xludf.DUMMYFUNCTION("""COMPUTED_VALUE"""),"FOGO FDT 1400 SS")</f>
        <v>FOGO FDT 1400 SS</v>
      </c>
      <c r="F104" s="70">
        <f>IFERROR(__xludf.DUMMYFUNCTION("""COMPUTED_VALUE"""),150200.0)</f>
        <v>150200</v>
      </c>
      <c r="G104" s="74" t="str">
        <f>IFERROR(__xludf.DUMMYFUNCTION("""COMPUTED_VALUE"""),"")</f>
        <v/>
      </c>
      <c r="H104" s="88"/>
    </row>
    <row r="105">
      <c r="A105" s="56" t="str">
        <f>IFERROR(__xludf.DUMMYFUNCTION("""COMPUTED_VALUE"""),"Двигатель Mitsubishi (Специальная арендная серия)")</f>
        <v>Двигатель Mitsubishi (Специальная арендная серия)</v>
      </c>
      <c r="B105" s="58"/>
      <c r="C105" s="58"/>
      <c r="D105" s="58"/>
      <c r="E105" s="58"/>
      <c r="F105" s="58"/>
      <c r="G105" s="60"/>
      <c r="H105" s="88"/>
    </row>
    <row r="106">
      <c r="A106" s="64">
        <f>IFERROR(__xludf.DUMMYFUNCTION("""COMPUTED_VALUE"""),94.0)</f>
        <v>94</v>
      </c>
      <c r="B106" s="133" t="str">
        <f>IFERROR(__xludf.DUMMYFUNCTION("""COMPUTED_VALUE"""),"20 кВа / 16,0 кВт")</f>
        <v>20 кВа / 16,0 кВт</v>
      </c>
      <c r="D106" s="134"/>
      <c r="E106" s="148" t="str">
        <f>IFERROR(__xludf.DUMMYFUNCTION("""COMPUTED_VALUE"""),"FDR 20 M3S")</f>
        <v>FDR 20 M3S</v>
      </c>
      <c r="F106" s="70">
        <f>IFERROR(__xludf.DUMMYFUNCTION("""COMPUTED_VALUE"""),10410.0)</f>
        <v>10410</v>
      </c>
      <c r="G106" s="74" t="str">
        <f>IFERROR(__xludf.DUMMYFUNCTION("""COMPUTED_VALUE"""),"")</f>
        <v/>
      </c>
      <c r="H106" s="88"/>
    </row>
    <row r="107">
      <c r="A107" s="64">
        <f>IFERROR(__xludf.DUMMYFUNCTION("""COMPUTED_VALUE"""),95.0)</f>
        <v>95</v>
      </c>
      <c r="B107" s="133" t="str">
        <f>IFERROR(__xludf.DUMMYFUNCTION("""COMPUTED_VALUE"""),"30 кВа / 24,0 кВт")</f>
        <v>30 кВа / 24,0 кВт</v>
      </c>
      <c r="D107" s="134"/>
      <c r="E107" s="148" t="str">
        <f>IFERROR(__xludf.DUMMYFUNCTION("""COMPUTED_VALUE"""),"FDR 30 M3S")</f>
        <v>FDR 30 M3S</v>
      </c>
      <c r="F107" s="70">
        <f>IFERROR(__xludf.DUMMYFUNCTION("""COMPUTED_VALUE"""),11090.0)</f>
        <v>11090</v>
      </c>
      <c r="G107" s="74" t="str">
        <f>IFERROR(__xludf.DUMMYFUNCTION("""COMPUTED_VALUE"""),"")</f>
        <v/>
      </c>
      <c r="H107" s="88"/>
    </row>
    <row r="108">
      <c r="A108" s="64">
        <f>IFERROR(__xludf.DUMMYFUNCTION("""COMPUTED_VALUE"""),96.0)</f>
        <v>96</v>
      </c>
      <c r="B108" s="133" t="str">
        <f>IFERROR(__xludf.DUMMYFUNCTION("""COMPUTED_VALUE"""),"40 кВа / 32,0 кВт")</f>
        <v>40 кВа / 32,0 кВт</v>
      </c>
      <c r="D108" s="134"/>
      <c r="E108" s="148" t="str">
        <f>IFERROR(__xludf.DUMMYFUNCTION("""COMPUTED_VALUE"""),"FDR 40 M3S")</f>
        <v>FDR 40 M3S</v>
      </c>
      <c r="F108" s="70">
        <f>IFERROR(__xludf.DUMMYFUNCTION("""COMPUTED_VALUE"""),12305.0)</f>
        <v>12305</v>
      </c>
      <c r="G108" s="74" t="str">
        <f>IFERROR(__xludf.DUMMYFUNCTION("""COMPUTED_VALUE"""),"")</f>
        <v/>
      </c>
      <c r="H108" s="88"/>
    </row>
    <row r="109">
      <c r="A109" s="56" t="str">
        <f>IFERROR(__xludf.DUMMYFUNCTION("""COMPUTED_VALUE"""),"Двигатель JSB (Специальная арендная серия)")</f>
        <v>Двигатель JSB (Специальная арендная серия)</v>
      </c>
      <c r="B109" s="58"/>
      <c r="C109" s="58"/>
      <c r="D109" s="58"/>
      <c r="E109" s="58"/>
      <c r="F109" s="58"/>
      <c r="G109" s="60"/>
      <c r="H109" s="88"/>
    </row>
    <row r="110">
      <c r="A110" s="64">
        <f>IFERROR(__xludf.DUMMYFUNCTION("""COMPUTED_VALUE"""),97.0)</f>
        <v>97</v>
      </c>
      <c r="B110" s="133" t="str">
        <f>IFERROR(__xludf.DUMMYFUNCTION("""COMPUTED_VALUE"""),"60 кВа / 50,4 кВт")</f>
        <v>60 кВа / 50,4 кВт</v>
      </c>
      <c r="D110" s="134"/>
      <c r="E110" s="148" t="str">
        <f>IFERROR(__xludf.DUMMYFUNCTION("""COMPUTED_VALUE"""),"FDR 60 B3S")</f>
        <v>FDR 60 B3S</v>
      </c>
      <c r="F110" s="70">
        <f>IFERROR(__xludf.DUMMYFUNCTION("""COMPUTED_VALUE"""),15820.0)</f>
        <v>15820</v>
      </c>
      <c r="G110" s="74" t="str">
        <f>IFERROR(__xludf.DUMMYFUNCTION("""COMPUTED_VALUE"""),"")</f>
        <v/>
      </c>
      <c r="H110" s="88"/>
    </row>
    <row r="111">
      <c r="A111" s="64">
        <f>IFERROR(__xludf.DUMMYFUNCTION("""COMPUTED_VALUE"""),98.0)</f>
        <v>98</v>
      </c>
      <c r="B111" s="133" t="str">
        <f>IFERROR(__xludf.DUMMYFUNCTION("""COMPUTED_VALUE"""),"80 кВа / 64,0 кВт")</f>
        <v>80 кВа / 64,0 кВт</v>
      </c>
      <c r="D111" s="134"/>
      <c r="E111" s="148" t="str">
        <f>IFERROR(__xludf.DUMMYFUNCTION("""COMPUTED_VALUE"""),"FDR 80 B3S")</f>
        <v>FDR 80 B3S</v>
      </c>
      <c r="F111" s="70">
        <f>IFERROR(__xludf.DUMMYFUNCTION("""COMPUTED_VALUE"""),16360.0)</f>
        <v>16360</v>
      </c>
      <c r="G111" s="74" t="str">
        <f>IFERROR(__xludf.DUMMYFUNCTION("""COMPUTED_VALUE"""),"")</f>
        <v/>
      </c>
      <c r="H111" s="88"/>
    </row>
    <row r="112">
      <c r="A112" s="64">
        <f>IFERROR(__xludf.DUMMYFUNCTION("""COMPUTED_VALUE"""),99.0)</f>
        <v>99</v>
      </c>
      <c r="B112" s="133" t="str">
        <f>IFERROR(__xludf.DUMMYFUNCTION("""COMPUTED_VALUE"""),"100 кВа / 80,0 кВт")</f>
        <v>100 кВа / 80,0 кВт</v>
      </c>
      <c r="D112" s="134"/>
      <c r="E112" s="148" t="str">
        <f>IFERROR(__xludf.DUMMYFUNCTION("""COMPUTED_VALUE"""),"FDR 100 B3S")</f>
        <v>FDR 100 B3S</v>
      </c>
      <c r="F112" s="70">
        <f>IFERROR(__xludf.DUMMYFUNCTION("""COMPUTED_VALUE"""),17715.0)</f>
        <v>17715</v>
      </c>
      <c r="G112" s="74" t="str">
        <f>IFERROR(__xludf.DUMMYFUNCTION("""COMPUTED_VALUE"""),"")</f>
        <v/>
      </c>
      <c r="H112" s="88"/>
    </row>
    <row r="113">
      <c r="A113" s="64">
        <f>IFERROR(__xludf.DUMMYFUNCTION("""COMPUTED_VALUE"""),100.0)</f>
        <v>100</v>
      </c>
      <c r="B113" s="133" t="str">
        <f>IFERROR(__xludf.DUMMYFUNCTION("""COMPUTED_VALUE"""),"130 кВа / 104,0 кВт")</f>
        <v>130 кВа / 104,0 кВт</v>
      </c>
      <c r="D113" s="134"/>
      <c r="E113" s="148" t="str">
        <f>IFERROR(__xludf.DUMMYFUNCTION("""COMPUTED_VALUE"""),"FDR 130 B3S")</f>
        <v>FDR 130 B3S</v>
      </c>
      <c r="F113" s="70">
        <f>IFERROR(__xludf.DUMMYFUNCTION("""COMPUTED_VALUE"""),19605.0)</f>
        <v>19605</v>
      </c>
      <c r="G113" s="74" t="str">
        <f>IFERROR(__xludf.DUMMYFUNCTION("""COMPUTED_VALUE"""),"")</f>
        <v/>
      </c>
      <c r="H113" s="88"/>
    </row>
    <row r="114">
      <c r="A114" s="198" t="str">
        <f>IFERROR(__xludf.DUMMYFUNCTION("""COMPUTED_VALUE"""),"")</f>
        <v/>
      </c>
      <c r="B114" s="200" t="str">
        <f>IFERROR(__xludf.DUMMYFUNCTION("""COMPUTED_VALUE"""),"")</f>
        <v/>
      </c>
      <c r="C114" s="200" t="str">
        <f>IFERROR(__xludf.DUMMYFUNCTION("""COMPUTED_VALUE"""),"")</f>
        <v/>
      </c>
      <c r="D114" s="201" t="str">
        <f>IFERROR(__xludf.DUMMYFUNCTION("""COMPUTED_VALUE"""),"")</f>
        <v/>
      </c>
      <c r="E114" s="203" t="str">
        <f>IFERROR(__xludf.DUMMYFUNCTION("""COMPUTED_VALUE"""),"")</f>
        <v/>
      </c>
      <c r="F114" s="197" t="str">
        <f>IFERROR(__xludf.DUMMYFUNCTION("""COMPUTED_VALUE"""),"")</f>
        <v/>
      </c>
      <c r="G114" s="86" t="str">
        <f>IFERROR(__xludf.DUMMYFUNCTION("""COMPUTED_VALUE"""),"")</f>
        <v/>
      </c>
      <c r="H114" s="88"/>
    </row>
    <row r="115">
      <c r="A115" s="198" t="str">
        <f>IFERROR(__xludf.DUMMYFUNCTION("""COMPUTED_VALUE"""),"")</f>
        <v/>
      </c>
      <c r="B115" s="200" t="str">
        <f>IFERROR(__xludf.DUMMYFUNCTION("""COMPUTED_VALUE"""),"")</f>
        <v/>
      </c>
      <c r="C115" s="200" t="str">
        <f>IFERROR(__xludf.DUMMYFUNCTION("""COMPUTED_VALUE"""),"")</f>
        <v/>
      </c>
      <c r="D115" s="201" t="str">
        <f>IFERROR(__xludf.DUMMYFUNCTION("""COMPUTED_VALUE"""),"")</f>
        <v/>
      </c>
      <c r="E115" s="203" t="str">
        <f>IFERROR(__xludf.DUMMYFUNCTION("""COMPUTED_VALUE"""),"")</f>
        <v/>
      </c>
      <c r="F115" s="197" t="str">
        <f>IFERROR(__xludf.DUMMYFUNCTION("""COMPUTED_VALUE"""),"")</f>
        <v/>
      </c>
      <c r="G115" s="86" t="str">
        <f>IFERROR(__xludf.DUMMYFUNCTION("""COMPUTED_VALUE"""),"")</f>
        <v/>
      </c>
      <c r="H115" s="88"/>
    </row>
    <row r="116">
      <c r="A116" s="198" t="str">
        <f>IFERROR(__xludf.DUMMYFUNCTION("""COMPUTED_VALUE"""),"")</f>
        <v/>
      </c>
      <c r="B116" s="200" t="str">
        <f>IFERROR(__xludf.DUMMYFUNCTION("""COMPUTED_VALUE"""),"")</f>
        <v/>
      </c>
      <c r="C116" s="200" t="str">
        <f>IFERROR(__xludf.DUMMYFUNCTION("""COMPUTED_VALUE"""),"")</f>
        <v/>
      </c>
      <c r="D116" s="201" t="str">
        <f>IFERROR(__xludf.DUMMYFUNCTION("""COMPUTED_VALUE"""),"")</f>
        <v/>
      </c>
      <c r="E116" s="203" t="str">
        <f>IFERROR(__xludf.DUMMYFUNCTION("""COMPUTED_VALUE"""),"")</f>
        <v/>
      </c>
      <c r="F116" s="197" t="str">
        <f>IFERROR(__xludf.DUMMYFUNCTION("""COMPUTED_VALUE"""),"")</f>
        <v/>
      </c>
      <c r="G116" s="86" t="str">
        <f>IFERROR(__xludf.DUMMYFUNCTION("""COMPUTED_VALUE"""),"")</f>
        <v/>
      </c>
      <c r="H116" s="88"/>
    </row>
    <row r="117">
      <c r="A117" s="198" t="str">
        <f>IFERROR(__xludf.DUMMYFUNCTION("""COMPUTED_VALUE"""),"")</f>
        <v/>
      </c>
      <c r="B117" s="200" t="str">
        <f>IFERROR(__xludf.DUMMYFUNCTION("""COMPUTED_VALUE"""),"")</f>
        <v/>
      </c>
      <c r="C117" s="200" t="str">
        <f>IFERROR(__xludf.DUMMYFUNCTION("""COMPUTED_VALUE"""),"")</f>
        <v/>
      </c>
      <c r="D117" s="201" t="str">
        <f>IFERROR(__xludf.DUMMYFUNCTION("""COMPUTED_VALUE"""),"")</f>
        <v/>
      </c>
      <c r="E117" s="203" t="str">
        <f>IFERROR(__xludf.DUMMYFUNCTION("""COMPUTED_VALUE"""),"")</f>
        <v/>
      </c>
      <c r="F117" s="197" t="str">
        <f>IFERROR(__xludf.DUMMYFUNCTION("""COMPUTED_VALUE"""),"")</f>
        <v/>
      </c>
      <c r="G117" s="86" t="str">
        <f>IFERROR(__xludf.DUMMYFUNCTION("""COMPUTED_VALUE"""),"")</f>
        <v/>
      </c>
      <c r="H117" s="88"/>
    </row>
    <row r="118">
      <c r="A118" s="198" t="str">
        <f>IFERROR(__xludf.DUMMYFUNCTION("""COMPUTED_VALUE"""),"")</f>
        <v/>
      </c>
      <c r="B118" s="200" t="str">
        <f>IFERROR(__xludf.DUMMYFUNCTION("""COMPUTED_VALUE"""),"")</f>
        <v/>
      </c>
      <c r="C118" s="200" t="str">
        <f>IFERROR(__xludf.DUMMYFUNCTION("""COMPUTED_VALUE"""),"")</f>
        <v/>
      </c>
      <c r="D118" s="201" t="str">
        <f>IFERROR(__xludf.DUMMYFUNCTION("""COMPUTED_VALUE"""),"")</f>
        <v/>
      </c>
      <c r="E118" s="203" t="str">
        <f>IFERROR(__xludf.DUMMYFUNCTION("""COMPUTED_VALUE"""),"")</f>
        <v/>
      </c>
      <c r="F118" s="197" t="str">
        <f>IFERROR(__xludf.DUMMYFUNCTION("""COMPUTED_VALUE"""),"")</f>
        <v/>
      </c>
      <c r="G118" s="86" t="str">
        <f>IFERROR(__xludf.DUMMYFUNCTION("""COMPUTED_VALUE"""),"")</f>
        <v/>
      </c>
      <c r="H118" s="88"/>
    </row>
    <row r="119">
      <c r="A119" s="198" t="str">
        <f>IFERROR(__xludf.DUMMYFUNCTION("""COMPUTED_VALUE"""),"")</f>
        <v/>
      </c>
      <c r="B119" s="200" t="str">
        <f>IFERROR(__xludf.DUMMYFUNCTION("""COMPUTED_VALUE"""),"")</f>
        <v/>
      </c>
      <c r="C119" s="200" t="str">
        <f>IFERROR(__xludf.DUMMYFUNCTION("""COMPUTED_VALUE"""),"")</f>
        <v/>
      </c>
      <c r="D119" s="201" t="str">
        <f>IFERROR(__xludf.DUMMYFUNCTION("""COMPUTED_VALUE"""),"")</f>
        <v/>
      </c>
      <c r="E119" s="203" t="str">
        <f>IFERROR(__xludf.DUMMYFUNCTION("""COMPUTED_VALUE"""),"")</f>
        <v/>
      </c>
      <c r="F119" s="197" t="str">
        <f>IFERROR(__xludf.DUMMYFUNCTION("""COMPUTED_VALUE"""),"")</f>
        <v/>
      </c>
      <c r="G119" s="86" t="str">
        <f>IFERROR(__xludf.DUMMYFUNCTION("""COMPUTED_VALUE"""),"")</f>
        <v/>
      </c>
      <c r="H119" s="88"/>
    </row>
    <row r="120">
      <c r="A120" s="198" t="str">
        <f>IFERROR(__xludf.DUMMYFUNCTION("""COMPUTED_VALUE"""),"")</f>
        <v/>
      </c>
      <c r="B120" s="200" t="str">
        <f>IFERROR(__xludf.DUMMYFUNCTION("""COMPUTED_VALUE"""),"")</f>
        <v/>
      </c>
      <c r="C120" s="200" t="str">
        <f>IFERROR(__xludf.DUMMYFUNCTION("""COMPUTED_VALUE"""),"")</f>
        <v/>
      </c>
      <c r="D120" s="201" t="str">
        <f>IFERROR(__xludf.DUMMYFUNCTION("""COMPUTED_VALUE"""),"")</f>
        <v/>
      </c>
      <c r="E120" s="203" t="str">
        <f>IFERROR(__xludf.DUMMYFUNCTION("""COMPUTED_VALUE"""),"")</f>
        <v/>
      </c>
      <c r="F120" s="197" t="str">
        <f>IFERROR(__xludf.DUMMYFUNCTION("""COMPUTED_VALUE"""),"")</f>
        <v/>
      </c>
      <c r="G120" s="86" t="str">
        <f>IFERROR(__xludf.DUMMYFUNCTION("""COMPUTED_VALUE"""),"")</f>
        <v/>
      </c>
      <c r="H120" s="88"/>
    </row>
    <row r="121">
      <c r="A121" s="198" t="str">
        <f>IFERROR(__xludf.DUMMYFUNCTION("""COMPUTED_VALUE"""),"")</f>
        <v/>
      </c>
      <c r="B121" s="200" t="str">
        <f>IFERROR(__xludf.DUMMYFUNCTION("""COMPUTED_VALUE"""),"")</f>
        <v/>
      </c>
      <c r="C121" s="200" t="str">
        <f>IFERROR(__xludf.DUMMYFUNCTION("""COMPUTED_VALUE"""),"")</f>
        <v/>
      </c>
      <c r="D121" s="201" t="str">
        <f>IFERROR(__xludf.DUMMYFUNCTION("""COMPUTED_VALUE"""),"")</f>
        <v/>
      </c>
      <c r="E121" s="203" t="str">
        <f>IFERROR(__xludf.DUMMYFUNCTION("""COMPUTED_VALUE"""),"")</f>
        <v/>
      </c>
      <c r="F121" s="197" t="str">
        <f>IFERROR(__xludf.DUMMYFUNCTION("""COMPUTED_VALUE"""),"")</f>
        <v/>
      </c>
      <c r="G121" s="86" t="str">
        <f>IFERROR(__xludf.DUMMYFUNCTION("""COMPUTED_VALUE"""),"")</f>
        <v/>
      </c>
      <c r="H121" s="88"/>
    </row>
  </sheetData>
  <mergeCells count="34">
    <mergeCell ref="A60:G60"/>
    <mergeCell ref="A75:G75"/>
    <mergeCell ref="A30:G30"/>
    <mergeCell ref="A22:G22"/>
    <mergeCell ref="A14:G14"/>
    <mergeCell ref="A4:G4"/>
    <mergeCell ref="B1:G1"/>
    <mergeCell ref="B55:D55"/>
    <mergeCell ref="B56:D56"/>
    <mergeCell ref="B98:D98"/>
    <mergeCell ref="B99:D99"/>
    <mergeCell ref="B108:D108"/>
    <mergeCell ref="A109:G109"/>
    <mergeCell ref="B59:D59"/>
    <mergeCell ref="B101:D101"/>
    <mergeCell ref="B54:D54"/>
    <mergeCell ref="B51:D51"/>
    <mergeCell ref="B52:D52"/>
    <mergeCell ref="B53:D53"/>
    <mergeCell ref="E51:F51"/>
    <mergeCell ref="E98:F98"/>
    <mergeCell ref="B107:D107"/>
    <mergeCell ref="A105:G105"/>
    <mergeCell ref="B106:D106"/>
    <mergeCell ref="B113:D113"/>
    <mergeCell ref="B112:D112"/>
    <mergeCell ref="B110:D110"/>
    <mergeCell ref="B111:D111"/>
    <mergeCell ref="B57:D57"/>
    <mergeCell ref="B58:D58"/>
    <mergeCell ref="B100:D100"/>
    <mergeCell ref="B102:D102"/>
    <mergeCell ref="B103:D103"/>
    <mergeCell ref="B104:D104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.86"/>
    <col customWidth="1" min="2" max="2" width="20.0"/>
    <col customWidth="1" min="3" max="3" width="16.71"/>
    <col customWidth="1" min="4" max="4" width="17.43"/>
    <col customWidth="1" min="5" max="5" width="11.57"/>
    <col customWidth="1" min="6" max="6" width="13.29"/>
    <col customWidth="1" min="7" max="7" width="11.43"/>
    <col customWidth="1" min="8" max="8" width="13.0"/>
    <col customWidth="1" min="9" max="9" width="11.14"/>
    <col customWidth="1" min="10" max="10" width="11.86"/>
    <col customWidth="1" min="11" max="11" width="23.0"/>
    <col customWidth="1" min="12" max="12" width="12.86"/>
  </cols>
  <sheetData>
    <row r="1" ht="17.25" customHeight="1">
      <c r="A1" s="4"/>
      <c r="B1" s="6"/>
      <c r="C1" s="8" t="s">
        <v>1</v>
      </c>
      <c r="G1" s="11" t="s">
        <v>2</v>
      </c>
      <c r="H1" s="12"/>
      <c r="I1" s="14"/>
      <c r="J1" s="18" t="str">
        <f>HYPERLINK("www.fogo.by","www.fogo.by")</f>
        <v>www.fogo.by</v>
      </c>
      <c r="K1" s="19"/>
      <c r="L1" s="21">
        <f>TODAY()</f>
        <v>43451</v>
      </c>
    </row>
    <row r="2">
      <c r="A2" s="23"/>
      <c r="C2" s="25" t="s">
        <v>4</v>
      </c>
      <c r="E2" s="27" t="s">
        <v>5</v>
      </c>
      <c r="F2" s="12"/>
      <c r="G2" s="12"/>
      <c r="H2" s="12"/>
      <c r="I2" s="29"/>
      <c r="L2" s="31"/>
    </row>
    <row r="3">
      <c r="A3" s="33">
        <v>1.0</v>
      </c>
      <c r="B3" s="35" t="s">
        <v>6</v>
      </c>
      <c r="C3" s="37"/>
      <c r="D3" s="39" t="s">
        <v>7</v>
      </c>
      <c r="E3" s="41" t="s">
        <v>8</v>
      </c>
      <c r="F3" s="43" t="s">
        <v>9</v>
      </c>
      <c r="G3" s="43" t="s">
        <v>10</v>
      </c>
      <c r="H3" s="43" t="s">
        <v>11</v>
      </c>
      <c r="I3" s="73" t="s">
        <v>13</v>
      </c>
      <c r="J3" s="75" t="str">
        <f>HYPERLINK("https://drive.google.com/drive/folders/0B2JBEVPSDCTuLWJ0dDlqYXNiTG8?usp=sharing","Ссылка на скачивание фотографий генераторов")</f>
        <v>Ссылка на скачивание фотографий генераторов</v>
      </c>
      <c r="L3" s="31"/>
    </row>
    <row r="4" ht="10.5" customHeight="1">
      <c r="A4" s="78" t="str">
        <f>IFERROR(__xludf.DUMMYFUNCTION("ImportRange(""https://docs.google.com/spreadsheets/d/1r0lhijDIYDre7zcEkHlxmuKQpLLpFtwEumVe6Xh0n3Q/edit#gid=1404195784"", ""Ген-ры FOGO, FIRMAN!a4:b46"")"),"")</f>
        <v/>
      </c>
      <c r="B4" s="80" t="str">
        <f>IFERROR(__xludf.DUMMYFUNCTION("""COMPUTED_VALUE"""),"FH 2001")</f>
        <v>FH 2001</v>
      </c>
      <c r="C4" s="83" t="str">
        <f>IFERROR(__xludf.DUMMYFUNCTION("ImportRange(""https://docs.google.com/spreadsheets/d/1r0lhijDIYDre7zcEkHlxmuKQpLLpFtwEumVe6Xh0n3Q/edit#gid=1404195784"", ""Ген-ры FOGO, FIRMAN!e4:e46"")"),"GX160 HONDA")</f>
        <v>GX160 HONDA</v>
      </c>
      <c r="D4" s="86" t="str">
        <f>IFERROR(__xludf.DUMMYFUNCTION("ImportRange(""https://docs.google.com/spreadsheets/d/1r0lhijDIYDre7zcEkHlxmuKQpLLpFtwEumVe6Xh0n3Q/edit#gid=1404195784"", ""Ген-ры FOGO, FIRMAN!c4:c46"")"),"2,3 кВт")</f>
        <v>2,3 кВт</v>
      </c>
      <c r="E4" s="90">
        <f>IFERROR(__xludf.DUMMYFUNCTION("ImportRange(""https://docs.google.com/spreadsheets/d/1r0lhijDIYDre7zcEkHlxmuKQpLLpFtwEumVe6Xh0n3Q/edit#gid=1404195784"", ""Ген-ры FOGO, FIRMAN!G4:I46"")"),1242.0)</f>
        <v>1242</v>
      </c>
      <c r="F4" s="93">
        <f>IFERROR(__xludf.DUMMYFUNCTION("""COMPUTED_VALUE"""),1738.8)</f>
        <v>1738.8</v>
      </c>
      <c r="G4" s="95" t="str">
        <f>IFERROR(__xludf.DUMMYFUNCTION("""COMPUTED_VALUE"""),"x")</f>
        <v>x</v>
      </c>
      <c r="H4" s="97">
        <f>IFERROR(__xludf.DUMMYFUNCTION("ImportRange(""https://docs.google.com/spreadsheets/d/1r0lhijDIYDre7zcEkHlxmuKQpLLpFtwEumVe6Xh0n3Q/edit#gid=1404195784"", ""Ген-ры FOGO, FIRMAN!K4:L46"")"),1427.0)</f>
        <v>1427</v>
      </c>
      <c r="I4" s="99" t="str">
        <f>IFERROR(__xludf.DUMMYFUNCTION("""COMPUTED_VALUE"""),"x")</f>
        <v>x</v>
      </c>
      <c r="J4" s="101" t="s">
        <v>20</v>
      </c>
      <c r="L4" s="103"/>
    </row>
    <row r="5" ht="10.5" customHeight="1">
      <c r="A5" s="105" t="str">
        <f>IFERROR(__xludf.DUMMYFUNCTION("""COMPUTED_VALUE"""),"")</f>
        <v/>
      </c>
      <c r="B5" s="80" t="str">
        <f>IFERROR(__xludf.DUMMYFUNCTION("""COMPUTED_VALUE"""),"F 3001")</f>
        <v>F 3001</v>
      </c>
      <c r="C5" s="83" t="str">
        <f>IFERROR(__xludf.DUMMYFUNCTION("""COMPUTED_VALUE"""),"212CC FOGO")</f>
        <v>212CC FOGO</v>
      </c>
      <c r="D5" s="86" t="str">
        <f>IFERROR(__xludf.DUMMYFUNCTION("""COMPUTED_VALUE"""),"2,5 кВт")</f>
        <v>2,5 кВт</v>
      </c>
      <c r="E5" s="107">
        <f>IFERROR(__xludf.DUMMYFUNCTION("""COMPUTED_VALUE"""),911.0)</f>
        <v>911</v>
      </c>
      <c r="F5" s="109">
        <f>IFERROR(__xludf.DUMMYFUNCTION("""COMPUTED_VALUE"""),1366.5)</f>
        <v>1366.5</v>
      </c>
      <c r="G5" s="110" t="str">
        <f>IFERROR(__xludf.DUMMYFUNCTION("""COMPUTED_VALUE"""),"x")</f>
        <v>x</v>
      </c>
      <c r="H5" s="112">
        <f>IFERROR(__xludf.DUMMYFUNCTION("""COMPUTED_VALUE"""),1096.0)</f>
        <v>1096</v>
      </c>
      <c r="I5" s="113" t="str">
        <f>IFERROR(__xludf.DUMMYFUNCTION("""COMPUTED_VALUE"""),"x")</f>
        <v>x</v>
      </c>
      <c r="J5" s="101" t="s">
        <v>23</v>
      </c>
    </row>
    <row r="6" ht="10.5" customHeight="1">
      <c r="A6" s="105" t="str">
        <f>IFERROR(__xludf.DUMMYFUNCTION("""COMPUTED_VALUE"""),"")</f>
        <v/>
      </c>
      <c r="B6" s="80" t="str">
        <f>IFERROR(__xludf.DUMMYFUNCTION("""COMPUTED_VALUE"""),"FH 3001 - под заказ")</f>
        <v>FH 3001 - под заказ</v>
      </c>
      <c r="C6" s="83" t="str">
        <f>IFERROR(__xludf.DUMMYFUNCTION("""COMPUTED_VALUE"""),"GX200 HONDA")</f>
        <v>GX200 HONDA</v>
      </c>
      <c r="D6" s="86" t="str">
        <f>IFERROR(__xludf.DUMMYFUNCTION("""COMPUTED_VALUE"""),"2,7 кВт")</f>
        <v>2,7 кВт</v>
      </c>
      <c r="E6" s="107">
        <f>IFERROR(__xludf.DUMMYFUNCTION("""COMPUTED_VALUE"""),1414.0)</f>
        <v>1414</v>
      </c>
      <c r="F6" s="109">
        <f>IFERROR(__xludf.DUMMYFUNCTION("""COMPUTED_VALUE"""),2050.2999999999997)</f>
        <v>2050.3</v>
      </c>
      <c r="G6" s="110" t="str">
        <f>IFERROR(__xludf.DUMMYFUNCTION("""COMPUTED_VALUE"""),"x")</f>
        <v>x</v>
      </c>
      <c r="H6" s="112">
        <f>IFERROR(__xludf.DUMMYFUNCTION("""COMPUTED_VALUE"""),1623.0)</f>
        <v>1623</v>
      </c>
      <c r="I6" s="113" t="str">
        <f>IFERROR(__xludf.DUMMYFUNCTION("""COMPUTED_VALUE"""),"x")</f>
        <v>x</v>
      </c>
      <c r="J6" s="101" t="s">
        <v>25</v>
      </c>
    </row>
    <row r="7" ht="10.5" customHeight="1">
      <c r="A7" s="105" t="str">
        <f>IFERROR(__xludf.DUMMYFUNCTION("""COMPUTED_VALUE"""),"")</f>
        <v/>
      </c>
      <c r="B7" s="80" t="str">
        <f>IFERROR(__xludf.DUMMYFUNCTION("""COMPUTED_VALUE"""),"FP 3001")</f>
        <v>FP 3001</v>
      </c>
      <c r="C7" s="83" t="str">
        <f>IFERROR(__xludf.DUMMYFUNCTION("""COMPUTED_VALUE"""),"GP200 HONDA")</f>
        <v>GP200 HONDA</v>
      </c>
      <c r="D7" s="86" t="str">
        <f>IFERROR(__xludf.DUMMYFUNCTION("""COMPUTED_VALUE"""),"2,7 кВт")</f>
        <v>2,7 кВт</v>
      </c>
      <c r="E7" s="107">
        <f>IFERROR(__xludf.DUMMYFUNCTION("""COMPUTED_VALUE"""),1163.0)</f>
        <v>1163</v>
      </c>
      <c r="F7" s="109">
        <f>IFERROR(__xludf.DUMMYFUNCTION("""COMPUTED_VALUE"""),1686.35)</f>
        <v>1686.35</v>
      </c>
      <c r="G7" s="110" t="str">
        <f>IFERROR(__xludf.DUMMYFUNCTION("""COMPUTED_VALUE"""),"x")</f>
        <v>x</v>
      </c>
      <c r="H7" s="112">
        <f>IFERROR(__xludf.DUMMYFUNCTION("""COMPUTED_VALUE"""),1343.0)</f>
        <v>1343</v>
      </c>
      <c r="I7" s="113" t="str">
        <f>IFERROR(__xludf.DUMMYFUNCTION("""COMPUTED_VALUE"""),"x")</f>
        <v>x</v>
      </c>
    </row>
    <row r="8" ht="10.5" customHeight="1">
      <c r="A8" s="105" t="str">
        <f>IFERROR(__xludf.DUMMYFUNCTION("""COMPUTED_VALUE"""),"")</f>
        <v/>
      </c>
      <c r="B8" s="80" t="str">
        <f>IFERROR(__xludf.DUMMYFUNCTION("""COMPUTED_VALUE"""),"FH 4001")</f>
        <v>FH 4001</v>
      </c>
      <c r="C8" s="83" t="str">
        <f>IFERROR(__xludf.DUMMYFUNCTION("""COMPUTED_VALUE"""),"GX270 HONDA")</f>
        <v>GX270 HONDA</v>
      </c>
      <c r="D8" s="86" t="str">
        <f>IFERROR(__xludf.DUMMYFUNCTION("""COMPUTED_VALUE"""),"3,8 кВт")</f>
        <v>3,8 кВт</v>
      </c>
      <c r="E8" s="107">
        <f>IFERROR(__xludf.DUMMYFUNCTION("""COMPUTED_VALUE"""),2239.0)</f>
        <v>2239</v>
      </c>
      <c r="F8" s="109">
        <f>IFERROR(__xludf.DUMMYFUNCTION("""COMPUTED_VALUE"""),2910.0)</f>
        <v>2910</v>
      </c>
      <c r="G8" s="110" t="str">
        <f>IFERROR(__xludf.DUMMYFUNCTION("""COMPUTED_VALUE"""),"x")</f>
        <v>x</v>
      </c>
      <c r="H8" s="112">
        <f>IFERROR(__xludf.DUMMYFUNCTION("""COMPUTED_VALUE"""),2519.0)</f>
        <v>2519</v>
      </c>
      <c r="I8" s="113">
        <f>IFERROR(__xludf.DUMMYFUNCTION("""COMPUTED_VALUE"""),3731.0)</f>
        <v>3731</v>
      </c>
      <c r="J8" s="101" t="s">
        <v>26</v>
      </c>
    </row>
    <row r="9" ht="10.5" customHeight="1">
      <c r="A9" s="105" t="str">
        <f>IFERROR(__xludf.DUMMYFUNCTION("""COMPUTED_VALUE"""),"")</f>
        <v/>
      </c>
      <c r="B9" s="80" t="str">
        <f>IFERROR(__xludf.DUMMYFUNCTION("""COMPUTED_VALUE"""),"FH 5001")</f>
        <v>FH 5001</v>
      </c>
      <c r="C9" s="83" t="str">
        <f>IFERROR(__xludf.DUMMYFUNCTION("""COMPUTED_VALUE"""),"GX390 HONDA")</f>
        <v>GX390 HONDA</v>
      </c>
      <c r="D9" s="86" t="str">
        <f>IFERROR(__xludf.DUMMYFUNCTION("""COMPUTED_VALUE"""),"4,5 кВт")</f>
        <v>4,5 кВт</v>
      </c>
      <c r="E9" s="107">
        <f>IFERROR(__xludf.DUMMYFUNCTION("""COMPUTED_VALUE"""),2376.0)</f>
        <v>2376</v>
      </c>
      <c r="F9" s="112">
        <f>IFERROR(__xludf.DUMMYFUNCTION("""COMPUTED_VALUE"""),2970.0)</f>
        <v>2970</v>
      </c>
      <c r="G9" s="110" t="str">
        <f>IFERROR(__xludf.DUMMYFUNCTION("""COMPUTED_VALUE"""),"x")</f>
        <v>x</v>
      </c>
      <c r="H9" s="112">
        <f>IFERROR(__xludf.DUMMYFUNCTION("""COMPUTED_VALUE"""),2710.0)</f>
        <v>2710</v>
      </c>
      <c r="I9" s="113">
        <f>IFERROR(__xludf.DUMMYFUNCTION("""COMPUTED_VALUE"""),4192.0)</f>
        <v>4192</v>
      </c>
      <c r="J9" s="101" t="s">
        <v>27</v>
      </c>
    </row>
    <row r="10" ht="10.5" customHeight="1">
      <c r="A10" s="105" t="str">
        <f>IFERROR(__xludf.DUMMYFUNCTION("""COMPUTED_VALUE"""),"")</f>
        <v/>
      </c>
      <c r="B10" s="80" t="str">
        <f>IFERROR(__xludf.DUMMYFUNCTION("""COMPUTED_VALUE"""),"FH 6001")</f>
        <v>FH 6001</v>
      </c>
      <c r="C10" s="83" t="str">
        <f>IFERROR(__xludf.DUMMYFUNCTION("""COMPUTED_VALUE"""),"GX390 HONDA")</f>
        <v>GX390 HONDA</v>
      </c>
      <c r="D10" s="86" t="str">
        <f>IFERROR(__xludf.DUMMYFUNCTION("""COMPUTED_VALUE"""),"5,6 кВт")</f>
        <v>5,6 кВт</v>
      </c>
      <c r="E10" s="107">
        <f>IFERROR(__xludf.DUMMYFUNCTION("""COMPUTED_VALUE"""),2472.0)</f>
        <v>2472</v>
      </c>
      <c r="F10" s="112">
        <f>IFERROR(__xludf.DUMMYFUNCTION("""COMPUTED_VALUE"""),3070.0)</f>
        <v>3070</v>
      </c>
      <c r="G10" s="110" t="str">
        <f>IFERROR(__xludf.DUMMYFUNCTION("""COMPUTED_VALUE"""),"x")</f>
        <v>x</v>
      </c>
      <c r="H10" s="112">
        <f>IFERROR(__xludf.DUMMYFUNCTION("""COMPUTED_VALUE"""),2782.0)</f>
        <v>2782</v>
      </c>
      <c r="I10" s="113">
        <f>IFERROR(__xludf.DUMMYFUNCTION("""COMPUTED_VALUE"""),4263.0)</f>
        <v>4263</v>
      </c>
      <c r="J10" s="101" t="s">
        <v>28</v>
      </c>
    </row>
    <row r="11" ht="10.5" customHeight="1">
      <c r="A11" s="105" t="str">
        <f>IFERROR(__xludf.DUMMYFUNCTION("""COMPUTED_VALUE"""),"")</f>
        <v/>
      </c>
      <c r="B11" s="80" t="str">
        <f>IFERROR(__xludf.DUMMYFUNCTION("""COMPUTED_VALUE"""),"FH 6001 T")</f>
        <v>FH 6001 T</v>
      </c>
      <c r="C11" s="83" t="str">
        <f>IFERROR(__xludf.DUMMYFUNCTION("""COMPUTED_VALUE"""),"GX390 HONDA")</f>
        <v>GX390 HONDA</v>
      </c>
      <c r="D11" s="86" t="str">
        <f>IFERROR(__xludf.DUMMYFUNCTION("""COMPUTED_VALUE"""),"5,6 кВт")</f>
        <v>5,6 кВт</v>
      </c>
      <c r="E11" s="107">
        <f>IFERROR(__xludf.DUMMYFUNCTION("""COMPUTED_VALUE"""),3193.0)</f>
        <v>3193</v>
      </c>
      <c r="F11" s="112">
        <f>IFERROR(__xludf.DUMMYFUNCTION("""COMPUTED_VALUE"""),3900.0)</f>
        <v>3900</v>
      </c>
      <c r="G11" s="110" t="str">
        <f>IFERROR(__xludf.DUMMYFUNCTION("""COMPUTED_VALUE"""),"x")</f>
        <v>x</v>
      </c>
      <c r="H11" s="112" t="str">
        <f>IFERROR(__xludf.DUMMYFUNCTION("""COMPUTED_VALUE"""),"x")</f>
        <v>x</v>
      </c>
      <c r="I11" s="113">
        <f>IFERROR(__xludf.DUMMYFUNCTION("""COMPUTED_VALUE"""),4729.0)</f>
        <v>4729</v>
      </c>
    </row>
    <row r="12" ht="10.5" customHeight="1">
      <c r="A12" s="105" t="str">
        <f>IFERROR(__xludf.DUMMYFUNCTION("""COMPUTED_VALUE"""),"")</f>
        <v/>
      </c>
      <c r="B12" s="80" t="str">
        <f>IFERROR(__xludf.DUMMYFUNCTION("""COMPUTED_VALUE"""),"FV 10001")</f>
        <v>FV 10001</v>
      </c>
      <c r="C12" s="83" t="str">
        <f>IFERROR(__xludf.DUMMYFUNCTION("""COMPUTED_VALUE"""),"VNG18 VANGUARD B&amp;S")</f>
        <v>VNG18 VANGUARD B&amp;S</v>
      </c>
      <c r="D12" s="86" t="str">
        <f>IFERROR(__xludf.DUMMYFUNCTION("""COMPUTED_VALUE"""),"8,6 кВт")</f>
        <v>8,6 кВт</v>
      </c>
      <c r="E12" s="120" t="str">
        <f>IFERROR(__xludf.DUMMYFUNCTION("""COMPUTED_VALUE"""),"x")</f>
        <v>x</v>
      </c>
      <c r="F12" s="122" t="str">
        <f>IFERROR(__xludf.DUMMYFUNCTION("""COMPUTED_VALUE"""),"x")</f>
        <v>x</v>
      </c>
      <c r="G12" s="110">
        <f>IFERROR(__xludf.DUMMYFUNCTION("""COMPUTED_VALUE"""),6590.0)</f>
        <v>6590</v>
      </c>
      <c r="H12" s="122" t="str">
        <f>IFERROR(__xludf.DUMMYFUNCTION("""COMPUTED_VALUE"""),"x")</f>
        <v>x</v>
      </c>
      <c r="I12" s="113" t="str">
        <f>IFERROR(__xludf.DUMMYFUNCTION("""COMPUTED_VALUE"""),"x")</f>
        <v>x</v>
      </c>
    </row>
    <row r="13" ht="10.5" customHeight="1">
      <c r="A13" s="105" t="str">
        <f>IFERROR(__xludf.DUMMYFUNCTION("""COMPUTED_VALUE"""),"")</f>
        <v/>
      </c>
      <c r="B13" s="80" t="str">
        <f>IFERROR(__xludf.DUMMYFUNCTION("""COMPUTED_VALUE"""),"FV 11001")</f>
        <v>FV 11001</v>
      </c>
      <c r="C13" s="83" t="str">
        <f>IFERROR(__xludf.DUMMYFUNCTION("""COMPUTED_VALUE"""),"VNG21 VANGUARD B&amp;S")</f>
        <v>VNG21 VANGUARD B&amp;S</v>
      </c>
      <c r="D13" s="86" t="str">
        <f>IFERROR(__xludf.DUMMYFUNCTION("""COMPUTED_VALUE"""),"9,9 кВт")</f>
        <v>9,9 кВт</v>
      </c>
      <c r="E13" s="120" t="str">
        <f>IFERROR(__xludf.DUMMYFUNCTION("""COMPUTED_VALUE"""),"x")</f>
        <v>x</v>
      </c>
      <c r="F13" s="122" t="str">
        <f>IFERROR(__xludf.DUMMYFUNCTION("""COMPUTED_VALUE"""),"x")</f>
        <v>x</v>
      </c>
      <c r="G13" s="110">
        <f>IFERROR(__xludf.DUMMYFUNCTION("""COMPUTED_VALUE"""),7022.0)</f>
        <v>7022</v>
      </c>
      <c r="H13" s="122" t="str">
        <f>IFERROR(__xludf.DUMMYFUNCTION("""COMPUTED_VALUE"""),"x")</f>
        <v>x</v>
      </c>
      <c r="I13" s="113" t="str">
        <f>IFERROR(__xludf.DUMMYFUNCTION("""COMPUTED_VALUE"""),"x")</f>
        <v>x</v>
      </c>
      <c r="J13" s="123"/>
      <c r="K13" s="123"/>
    </row>
    <row r="14" ht="10.5" customHeight="1">
      <c r="A14" s="105" t="str">
        <f>IFERROR(__xludf.DUMMYFUNCTION("""COMPUTED_VALUE"""),"")</f>
        <v/>
      </c>
      <c r="B14" s="80" t="str">
        <f>IFERROR(__xludf.DUMMYFUNCTION("""COMPUTED_VALUE"""),"FV 17001")</f>
        <v>FV 17001</v>
      </c>
      <c r="C14" s="83" t="str">
        <f>IFERROR(__xludf.DUMMYFUNCTION("""COMPUTED_VALUE"""),"VNG31 VANGUARD B&amp;S")</f>
        <v>VNG31 VANGUARD B&amp;S</v>
      </c>
      <c r="D14" s="86" t="str">
        <f>IFERROR(__xludf.DUMMYFUNCTION("""COMPUTED_VALUE"""),"14,9 кВт")</f>
        <v>14,9 кВт</v>
      </c>
      <c r="E14" s="120" t="str">
        <f>IFERROR(__xludf.DUMMYFUNCTION("""COMPUTED_VALUE"""),"x")</f>
        <v>x</v>
      </c>
      <c r="F14" s="122" t="str">
        <f>IFERROR(__xludf.DUMMYFUNCTION("""COMPUTED_VALUE"""),"x")</f>
        <v>x</v>
      </c>
      <c r="G14" s="110">
        <f>IFERROR(__xludf.DUMMYFUNCTION("""COMPUTED_VALUE"""),10321.0)</f>
        <v>10321</v>
      </c>
      <c r="H14" s="122" t="str">
        <f>IFERROR(__xludf.DUMMYFUNCTION("""COMPUTED_VALUE"""),"x")</f>
        <v>x</v>
      </c>
      <c r="I14" s="113" t="str">
        <f>IFERROR(__xludf.DUMMYFUNCTION("""COMPUTED_VALUE"""),"x")</f>
        <v>x</v>
      </c>
    </row>
    <row r="15" ht="10.5" customHeight="1">
      <c r="A15" s="33">
        <f>IFERROR(__xludf.DUMMYFUNCTION("""COMPUTED_VALUE"""),2.0)</f>
        <v>2</v>
      </c>
      <c r="B15" s="35" t="str">
        <f>IFERROR(__xludf.DUMMYFUNCTION("""COMPUTED_VALUE"""),"Трехфазный генератор 400V IP23")</f>
        <v>Трехфазный генератор 400V IP23</v>
      </c>
      <c r="C15" s="125" t="str">
        <f>IFERROR(__xludf.DUMMYFUNCTION("""COMPUTED_VALUE"""),"")</f>
        <v/>
      </c>
      <c r="D15" s="127" t="str">
        <f>IFERROR(__xludf.DUMMYFUNCTION("""COMPUTED_VALUE"""),"")</f>
        <v/>
      </c>
      <c r="E15" s="128" t="str">
        <f>IFERROR(__xludf.DUMMYFUNCTION("""COMPUTED_VALUE"""),"Стандарт")</f>
        <v>Стандарт</v>
      </c>
      <c r="F15" s="130" t="str">
        <f>IFERROR(__xludf.DUMMYFUNCTION("""COMPUTED_VALUE"""),"E")</f>
        <v>E</v>
      </c>
      <c r="G15" s="130" t="str">
        <f>IFERROR(__xludf.DUMMYFUNCTION("""COMPUTED_VALUE"""),"RTE")</f>
        <v>RTE</v>
      </c>
      <c r="H15" s="130" t="str">
        <f>IFERROR(__xludf.DUMMYFUNCTION("""COMPUTED_VALUE"""),"R")</f>
        <v>R</v>
      </c>
      <c r="I15" s="132" t="str">
        <f>IFERROR(__xludf.DUMMYFUNCTION("""COMPUTED_VALUE"""),"RE")</f>
        <v>RE</v>
      </c>
    </row>
    <row r="16" ht="10.5" customHeight="1">
      <c r="A16" s="105" t="str">
        <f>IFERROR(__xludf.DUMMYFUNCTION("""COMPUTED_VALUE"""),"")</f>
        <v/>
      </c>
      <c r="B16" s="80" t="str">
        <f>IFERROR(__xludf.DUMMYFUNCTION("""COMPUTED_VALUE"""),"FH 5000")</f>
        <v>FH 5000</v>
      </c>
      <c r="C16" s="83" t="str">
        <f>IFERROR(__xludf.DUMMYFUNCTION("""COMPUTED_VALUE"""),"GX270 HONDA")</f>
        <v>GX270 HONDA</v>
      </c>
      <c r="D16" s="86" t="str">
        <f>IFERROR(__xludf.DUMMYFUNCTION("""COMPUTED_VALUE"""),"4,5 / 4,0 кВт")</f>
        <v>4,5 / 4,0 кВт</v>
      </c>
      <c r="E16" s="107">
        <f>IFERROR(__xludf.DUMMYFUNCTION("""COMPUTED_VALUE"""),2757.0)</f>
        <v>2757</v>
      </c>
      <c r="F16" s="112">
        <f>IFERROR(__xludf.DUMMYFUNCTION("""COMPUTED_VALUE"""),3171.0)</f>
        <v>3171</v>
      </c>
      <c r="G16" s="110" t="str">
        <f>IFERROR(__xludf.DUMMYFUNCTION("""COMPUTED_VALUE"""),"x")</f>
        <v>x</v>
      </c>
      <c r="H16" s="112" t="str">
        <f>IFERROR(__xludf.DUMMYFUNCTION("""COMPUTED_VALUE"""),"x")</f>
        <v>x</v>
      </c>
      <c r="I16" s="113" t="str">
        <f>IFERROR(__xludf.DUMMYFUNCTION("""COMPUTED_VALUE"""),"x")</f>
        <v>x</v>
      </c>
    </row>
    <row r="17" ht="10.5" customHeight="1">
      <c r="A17" s="105" t="str">
        <f>IFERROR(__xludf.DUMMYFUNCTION("""COMPUTED_VALUE"""),"")</f>
        <v/>
      </c>
      <c r="B17" s="80" t="str">
        <f>IFERROR(__xludf.DUMMYFUNCTION("""COMPUTED_VALUE"""),"FH 8000")</f>
        <v>FH 8000</v>
      </c>
      <c r="C17" s="83" t="str">
        <f>IFERROR(__xludf.DUMMYFUNCTION("""COMPUTED_VALUE"""),"GX390 HONDA")</f>
        <v>GX390 HONDA</v>
      </c>
      <c r="D17" s="86" t="str">
        <f>IFERROR(__xludf.DUMMYFUNCTION("""COMPUTED_VALUE"""),"5,6 / 4,0 кВт")</f>
        <v>5,6 / 4,0 кВт</v>
      </c>
      <c r="E17" s="107">
        <f>IFERROR(__xludf.DUMMYFUNCTION("""COMPUTED_VALUE"""),3024.0)</f>
        <v>3024</v>
      </c>
      <c r="F17" s="112">
        <f>IFERROR(__xludf.DUMMYFUNCTION("""COMPUTED_VALUE"""),3478.0)</f>
        <v>3478</v>
      </c>
      <c r="G17" s="110" t="str">
        <f>IFERROR(__xludf.DUMMYFUNCTION("""COMPUTED_VALUE"""),"x")</f>
        <v>x</v>
      </c>
      <c r="H17" s="112" t="str">
        <f>IFERROR(__xludf.DUMMYFUNCTION("""COMPUTED_VALUE"""),"x")</f>
        <v>x</v>
      </c>
      <c r="I17" s="113" t="str">
        <f>IFERROR(__xludf.DUMMYFUNCTION("""COMPUTED_VALUE"""),"x")</f>
        <v>x</v>
      </c>
    </row>
    <row r="18" ht="10.5" customHeight="1">
      <c r="A18" s="105" t="str">
        <f>IFERROR(__xludf.DUMMYFUNCTION("""COMPUTED_VALUE"""),"")</f>
        <v/>
      </c>
      <c r="B18" s="80" t="str">
        <f>IFERROR(__xludf.DUMMYFUNCTION("""COMPUTED_VALUE"""),"FH 7000 T")</f>
        <v>FH 7000 T</v>
      </c>
      <c r="C18" s="83" t="str">
        <f>IFERROR(__xludf.DUMMYFUNCTION("""COMPUTED_VALUE"""),"GX390 HONDA")</f>
        <v>GX390 HONDA</v>
      </c>
      <c r="D18" s="86" t="str">
        <f>IFERROR(__xludf.DUMMYFUNCTION("""COMPUTED_VALUE"""),"5,6 / 4,0 кВт")</f>
        <v>5,6 / 4,0 кВт</v>
      </c>
      <c r="E18" s="107">
        <f>IFERROR(__xludf.DUMMYFUNCTION("""COMPUTED_VALUE"""),3305.0)</f>
        <v>3305</v>
      </c>
      <c r="F18" s="112">
        <f>IFERROR(__xludf.DUMMYFUNCTION("""COMPUTED_VALUE"""),3735.0)</f>
        <v>3735</v>
      </c>
      <c r="G18" s="110" t="str">
        <f>IFERROR(__xludf.DUMMYFUNCTION("""COMPUTED_VALUE"""),"x")</f>
        <v>x</v>
      </c>
      <c r="H18" s="112" t="str">
        <f>IFERROR(__xludf.DUMMYFUNCTION("""COMPUTED_VALUE"""),"x")</f>
        <v>x</v>
      </c>
      <c r="I18" s="113" t="str">
        <f>IFERROR(__xludf.DUMMYFUNCTION("""COMPUTED_VALUE"""),"x")</f>
        <v>x</v>
      </c>
    </row>
    <row r="19" ht="10.5" customHeight="1">
      <c r="A19" s="105" t="str">
        <f>IFERROR(__xludf.DUMMYFUNCTION("""COMPUTED_VALUE"""),"")</f>
        <v/>
      </c>
      <c r="B19" s="80" t="str">
        <f>IFERROR(__xludf.DUMMYFUNCTION("""COMPUTED_VALUE"""),"FH 9000")</f>
        <v>FH 9000</v>
      </c>
      <c r="C19" s="83" t="str">
        <f>IFERROR(__xludf.DUMMYFUNCTION("""COMPUTED_VALUE"""),"GX390 HONDA")</f>
        <v>GX390 HONDA</v>
      </c>
      <c r="D19" s="86" t="str">
        <f>IFERROR(__xludf.DUMMYFUNCTION("""COMPUTED_VALUE"""),"6,2 / 5,6 кВт")</f>
        <v>6,2 / 5,6 кВт</v>
      </c>
      <c r="E19" s="107">
        <f>IFERROR(__xludf.DUMMYFUNCTION("""COMPUTED_VALUE"""),3284.0)</f>
        <v>3284</v>
      </c>
      <c r="F19" s="112">
        <f>IFERROR(__xludf.DUMMYFUNCTION("""COMPUTED_VALUE"""),3941.0)</f>
        <v>3941</v>
      </c>
      <c r="G19" s="110" t="str">
        <f>IFERROR(__xludf.DUMMYFUNCTION("""COMPUTED_VALUE"""),"x")</f>
        <v>x</v>
      </c>
      <c r="H19" s="112">
        <f>IFERROR(__xludf.DUMMYFUNCTION("""COMPUTED_VALUE"""),3706.0)</f>
        <v>3706</v>
      </c>
      <c r="I19" s="113">
        <f>IFERROR(__xludf.DUMMYFUNCTION("""COMPUTED_VALUE"""),5305.0)</f>
        <v>5305</v>
      </c>
    </row>
    <row r="20" ht="10.5" customHeight="1">
      <c r="A20" s="105" t="str">
        <f>IFERROR(__xludf.DUMMYFUNCTION("""COMPUTED_VALUE"""),"")</f>
        <v/>
      </c>
      <c r="B20" s="80" t="str">
        <f>IFERROR(__xludf.DUMMYFUNCTION("""COMPUTED_VALUE"""),"FV 11000")</f>
        <v>FV 11000</v>
      </c>
      <c r="C20" s="83" t="str">
        <f>IFERROR(__xludf.DUMMYFUNCTION("""COMPUTED_VALUE"""),"VNG 16 VANGUARD B&amp;S")</f>
        <v>VNG 16 VANGUARD B&amp;S</v>
      </c>
      <c r="D20" s="86" t="str">
        <f>IFERROR(__xludf.DUMMYFUNCTION("""COMPUTED_VALUE"""),"7,6 / 5,6 кВт")</f>
        <v>7,6 / 5,6 кВт</v>
      </c>
      <c r="E20" s="107">
        <f>IFERROR(__xludf.DUMMYFUNCTION("""COMPUTED_VALUE"""),5781.0)</f>
        <v>5781</v>
      </c>
      <c r="F20" s="112" t="str">
        <f>IFERROR(__xludf.DUMMYFUNCTION("""COMPUTED_VALUE"""),"x")</f>
        <v>x</v>
      </c>
      <c r="G20" s="110" t="str">
        <f>IFERROR(__xludf.DUMMYFUNCTION("""COMPUTED_VALUE"""),"x")</f>
        <v>x</v>
      </c>
      <c r="H20" s="112" t="str">
        <f>IFERROR(__xludf.DUMMYFUNCTION("""COMPUTED_VALUE"""),"x")</f>
        <v>x</v>
      </c>
      <c r="I20" s="113" t="str">
        <f>IFERROR(__xludf.DUMMYFUNCTION("""COMPUTED_VALUE"""),"x")</f>
        <v>x</v>
      </c>
    </row>
    <row r="21" ht="10.5" customHeight="1">
      <c r="A21" s="105" t="str">
        <f>IFERROR(__xludf.DUMMYFUNCTION("""COMPUTED_VALUE"""),"")</f>
        <v/>
      </c>
      <c r="B21" s="80" t="str">
        <f>IFERROR(__xludf.DUMMYFUNCTION("""COMPUTED_VALUE"""),"FV 13000")</f>
        <v>FV 13000</v>
      </c>
      <c r="C21" s="83" t="str">
        <f>IFERROR(__xludf.DUMMYFUNCTION("""COMPUTED_VALUE"""),"VNG 18 VANGUARD B&amp;S")</f>
        <v>VNG 18 VANGUARD B&amp;S</v>
      </c>
      <c r="D21" s="86" t="str">
        <f>IFERROR(__xludf.DUMMYFUNCTION("""COMPUTED_VALUE"""),"9,1 / 5,4 кВт")</f>
        <v>9,1 / 5,4 кВт</v>
      </c>
      <c r="E21" s="120" t="str">
        <f>IFERROR(__xludf.DUMMYFUNCTION("""COMPUTED_VALUE"""),"x")</f>
        <v>x</v>
      </c>
      <c r="F21" s="112" t="str">
        <f>IFERROR(__xludf.DUMMYFUNCTION("""COMPUTED_VALUE"""),"x")</f>
        <v>x</v>
      </c>
      <c r="G21" s="110">
        <f>IFERROR(__xludf.DUMMYFUNCTION("""COMPUTED_VALUE"""),6898.0)</f>
        <v>6898</v>
      </c>
      <c r="H21" s="112" t="str">
        <f>IFERROR(__xludf.DUMMYFUNCTION("""COMPUTED_VALUE"""),"x")</f>
        <v>x</v>
      </c>
      <c r="I21" s="113" t="str">
        <f>IFERROR(__xludf.DUMMYFUNCTION("""COMPUTED_VALUE"""),"x")</f>
        <v>x</v>
      </c>
    </row>
    <row r="22" ht="10.5" customHeight="1">
      <c r="A22" s="105" t="str">
        <f>IFERROR(__xludf.DUMMYFUNCTION("""COMPUTED_VALUE"""),"")</f>
        <v/>
      </c>
      <c r="B22" s="80" t="str">
        <f>IFERROR(__xludf.DUMMYFUNCTION("""COMPUTED_VALUE"""),"FV 15000")</f>
        <v>FV 15000</v>
      </c>
      <c r="C22" s="83" t="str">
        <f>IFERROR(__xludf.DUMMYFUNCTION("""COMPUTED_VALUE"""),"VNG 21 VANGUARD B&amp;S")</f>
        <v>VNG 21 VANGUARD B&amp;S</v>
      </c>
      <c r="D22" s="86" t="str">
        <f>IFERROR(__xludf.DUMMYFUNCTION("""COMPUTED_VALUE"""),"10,4 / 5,4 кВт")</f>
        <v>10,4 / 5,4 кВт</v>
      </c>
      <c r="E22" s="120" t="str">
        <f>IFERROR(__xludf.DUMMYFUNCTION("""COMPUTED_VALUE"""),"x")</f>
        <v>x</v>
      </c>
      <c r="F22" s="112" t="str">
        <f>IFERROR(__xludf.DUMMYFUNCTION("""COMPUTED_VALUE"""),"x")</f>
        <v>x</v>
      </c>
      <c r="G22" s="110">
        <f>IFERROR(__xludf.DUMMYFUNCTION("""COMPUTED_VALUE"""),7440.0)</f>
        <v>7440</v>
      </c>
      <c r="H22" s="112" t="str">
        <f>IFERROR(__xludf.DUMMYFUNCTION("""COMPUTED_VALUE"""),"x")</f>
        <v>x</v>
      </c>
      <c r="I22" s="113" t="str">
        <f>IFERROR(__xludf.DUMMYFUNCTION("""COMPUTED_VALUE"""),"x")</f>
        <v>x</v>
      </c>
    </row>
    <row r="23" ht="10.5" customHeight="1">
      <c r="A23" s="105" t="str">
        <f>IFERROR(__xludf.DUMMYFUNCTION("""COMPUTED_VALUE"""),"")</f>
        <v/>
      </c>
      <c r="B23" s="80" t="str">
        <f>IFERROR(__xludf.DUMMYFUNCTION("""COMPUTED_VALUE"""),"FV 20000")</f>
        <v>FV 20000</v>
      </c>
      <c r="C23" s="83" t="str">
        <f>IFERROR(__xludf.DUMMYFUNCTION("""COMPUTED_VALUE"""),"VNG 31 VANGUARD B&amp;S")</f>
        <v>VNG 31 VANGUARD B&amp;S</v>
      </c>
      <c r="D23" s="86" t="str">
        <f>IFERROR(__xludf.DUMMYFUNCTION("""COMPUTED_VALUE"""),"14 / 7,2 кВт")</f>
        <v>14 / 7,2 кВт</v>
      </c>
      <c r="E23" s="120" t="str">
        <f>IFERROR(__xludf.DUMMYFUNCTION("""COMPUTED_VALUE"""),"x")</f>
        <v>x</v>
      </c>
      <c r="F23" s="112" t="str">
        <f>IFERROR(__xludf.DUMMYFUNCTION("""COMPUTED_VALUE"""),"x")</f>
        <v>x</v>
      </c>
      <c r="G23" s="110">
        <f>IFERROR(__xludf.DUMMYFUNCTION("""COMPUTED_VALUE"""),10424.0)</f>
        <v>10424</v>
      </c>
      <c r="H23" s="112" t="str">
        <f>IFERROR(__xludf.DUMMYFUNCTION("""COMPUTED_VALUE"""),"x")</f>
        <v>x</v>
      </c>
      <c r="I23" s="113" t="str">
        <f>IFERROR(__xludf.DUMMYFUNCTION("""COMPUTED_VALUE"""),"x")</f>
        <v>x</v>
      </c>
    </row>
    <row r="24" ht="10.5" customHeight="1">
      <c r="A24" s="138">
        <f>IFERROR(__xludf.DUMMYFUNCTION("""COMPUTED_VALUE"""),3.0)</f>
        <v>3</v>
      </c>
      <c r="B24" s="139" t="str">
        <f>IFERROR(__xludf.DUMMYFUNCTION("""COMPUTED_VALUE"""),"Сварочный генератор 400V IP23")</f>
        <v>Сварочный генератор 400V IP23</v>
      </c>
      <c r="C24" s="140" t="str">
        <f>IFERROR(__xludf.DUMMYFUNCTION("""COMPUTED_VALUE"""),"")</f>
        <v/>
      </c>
      <c r="D24" s="141" t="str">
        <f>IFERROR(__xludf.DUMMYFUNCTION("""COMPUTED_VALUE"""),"")</f>
        <v/>
      </c>
      <c r="E24" s="128" t="str">
        <f>IFERROR(__xludf.DUMMYFUNCTION("""COMPUTED_VALUE"""),"Стандарт")</f>
        <v>Стандарт</v>
      </c>
      <c r="F24" s="130" t="str">
        <f>IFERROR(__xludf.DUMMYFUNCTION("""COMPUTED_VALUE"""),"E")</f>
        <v>E</v>
      </c>
      <c r="G24" s="130" t="str">
        <f>IFERROR(__xludf.DUMMYFUNCTION("""COMPUTED_VALUE"""),"RTE")</f>
        <v>RTE</v>
      </c>
      <c r="H24" s="130" t="str">
        <f>IFERROR(__xludf.DUMMYFUNCTION("""COMPUTED_VALUE"""),"R")</f>
        <v>R</v>
      </c>
      <c r="I24" s="132" t="str">
        <f>IFERROR(__xludf.DUMMYFUNCTION("""COMPUTED_VALUE"""),"RE")</f>
        <v>RE</v>
      </c>
    </row>
    <row r="25" ht="10.5" customHeight="1">
      <c r="A25" s="105" t="str">
        <f>IFERROR(__xludf.DUMMYFUNCTION("""COMPUTED_VALUE"""),"")</f>
        <v/>
      </c>
      <c r="B25" s="80" t="str">
        <f>IFERROR(__xludf.DUMMYFUNCTION("""COMPUTED_VALUE"""),"FH 5221 S")</f>
        <v>FH 5221 S</v>
      </c>
      <c r="C25" s="83" t="str">
        <f>IFERROR(__xludf.DUMMYFUNCTION("""COMPUTED_VALUE"""),"GX390 HONDA")</f>
        <v>GX390 HONDA</v>
      </c>
      <c r="D25" s="86" t="str">
        <f>IFERROR(__xludf.DUMMYFUNCTION("""COMPUTED_VALUE"""),"5,0 кВт")</f>
        <v>5,0 кВт</v>
      </c>
      <c r="E25" s="107">
        <f>IFERROR(__xludf.DUMMYFUNCTION("""COMPUTED_VALUE"""),3539.0)</f>
        <v>3539</v>
      </c>
      <c r="F25" s="112">
        <f>IFERROR(__xludf.DUMMYFUNCTION("""COMPUTED_VALUE"""),4247.0)</f>
        <v>4247</v>
      </c>
      <c r="G25" s="110" t="str">
        <f>IFERROR(__xludf.DUMMYFUNCTION("""COMPUTED_VALUE"""),"")</f>
        <v/>
      </c>
      <c r="H25" s="112" t="str">
        <f>IFERROR(__xludf.DUMMYFUNCTION("""COMPUTED_VALUE"""),"")</f>
        <v/>
      </c>
      <c r="I25" s="113" t="str">
        <f>IFERROR(__xludf.DUMMYFUNCTION("""COMPUTED_VALUE"""),"")</f>
        <v/>
      </c>
    </row>
    <row r="26" ht="10.5" customHeight="1">
      <c r="A26" s="105" t="str">
        <f>IFERROR(__xludf.DUMMYFUNCTION("""COMPUTED_VALUE"""),"")</f>
        <v/>
      </c>
      <c r="B26" s="80" t="str">
        <f>IFERROR(__xludf.DUMMYFUNCTION("""COMPUTED_VALUE"""),"FH 8220 W")</f>
        <v>FH 8220 W</v>
      </c>
      <c r="C26" s="83" t="str">
        <f>IFERROR(__xludf.DUMMYFUNCTION("""COMPUTED_VALUE"""),"GX390 HONDA")</f>
        <v>GX390 HONDA</v>
      </c>
      <c r="D26" s="86" t="str">
        <f>IFERROR(__xludf.DUMMYFUNCTION("""COMPUTED_VALUE"""),"5,2 / 3,4 кВт")</f>
        <v>5,2 / 3,4 кВт</v>
      </c>
      <c r="E26" s="107">
        <f>IFERROR(__xludf.DUMMYFUNCTION("""COMPUTED_VALUE"""),3854.0)</f>
        <v>3854</v>
      </c>
      <c r="F26" s="112">
        <f>IFERROR(__xludf.DUMMYFUNCTION("""COMPUTED_VALUE"""),4625.0)</f>
        <v>4625</v>
      </c>
      <c r="G26" s="110" t="str">
        <f>IFERROR(__xludf.DUMMYFUNCTION("""COMPUTED_VALUE"""),"x")</f>
        <v>x</v>
      </c>
      <c r="H26" s="112" t="str">
        <f>IFERROR(__xludf.DUMMYFUNCTION("""COMPUTED_VALUE"""),"x")</f>
        <v>x</v>
      </c>
      <c r="I26" s="113" t="str">
        <f>IFERROR(__xludf.DUMMYFUNCTION("""COMPUTED_VALUE"""),"x")</f>
        <v>x</v>
      </c>
    </row>
    <row r="27" ht="10.5" customHeight="1">
      <c r="A27" s="105" t="str">
        <f>IFERROR(__xludf.DUMMYFUNCTION("""COMPUTED_VALUE"""),"")</f>
        <v/>
      </c>
      <c r="B27" s="80" t="str">
        <f>IFERROR(__xludf.DUMMYFUNCTION("""COMPUTED_VALUE"""),"FV 11300 WTE")</f>
        <v>FV 11300 WTE</v>
      </c>
      <c r="C27" s="83" t="str">
        <f>IFERROR(__xludf.DUMMYFUNCTION("""COMPUTED_VALUE"""),"VNG 21 VANGUARD B&amp;S")</f>
        <v>VNG 21 VANGUARD B&amp;S</v>
      </c>
      <c r="D27" s="86" t="str">
        <f>IFERROR(__xludf.DUMMYFUNCTION("""COMPUTED_VALUE"""),"8 / 4 кВт")</f>
        <v>8 / 4 кВт</v>
      </c>
      <c r="E27" s="142">
        <f>IFERROR(__xludf.DUMMYFUNCTION("""COMPUTED_VALUE"""),10317.0)</f>
        <v>10317</v>
      </c>
      <c r="F27" s="144" t="str">
        <f>IFERROR(__xludf.DUMMYFUNCTION("""COMPUTED_VALUE"""),"x")</f>
        <v>x</v>
      </c>
      <c r="G27" s="145" t="str">
        <f>IFERROR(__xludf.DUMMYFUNCTION("""COMPUTED_VALUE"""),"x")</f>
        <v>x</v>
      </c>
      <c r="H27" s="144" t="str">
        <f>IFERROR(__xludf.DUMMYFUNCTION("""COMPUTED_VALUE"""),"x")</f>
        <v>x</v>
      </c>
      <c r="I27" s="146" t="str">
        <f>IFERROR(__xludf.DUMMYFUNCTION("""COMPUTED_VALUE"""),"x")</f>
        <v>x</v>
      </c>
    </row>
    <row r="28" ht="10.5" customHeight="1">
      <c r="A28" s="147">
        <f>IFERROR(__xludf.DUMMYFUNCTION("""COMPUTED_VALUE"""),4.0)</f>
        <v>4</v>
      </c>
      <c r="B28" s="150" t="str">
        <f>IFERROR(__xludf.DUMMYFUNCTION("""COMPUTED_VALUE"""),"Однофазный генератор 230V IP54 (повышенная 
защита электронной части от внешней среды)")</f>
        <v>Однофазный генератор 230V IP54 (повышенная 
защита электронной части от внешней среды)</v>
      </c>
      <c r="C28" s="151" t="str">
        <f>IFERROR(__xludf.DUMMYFUNCTION("""COMPUTED_VALUE"""),"")</f>
        <v/>
      </c>
      <c r="D28" s="152" t="str">
        <f>IFERROR(__xludf.DUMMYFUNCTION("""COMPUTED_VALUE"""),"")</f>
        <v/>
      </c>
      <c r="E28" s="153" t="str">
        <f>IFERROR(__xludf.DUMMYFUNCTION("""COMPUTED_VALUE"""),"Стандарт")</f>
        <v>Стандарт</v>
      </c>
      <c r="F28" s="154" t="str">
        <f>IFERROR(__xludf.DUMMYFUNCTION("""COMPUTED_VALUE"""),"E")</f>
        <v>E</v>
      </c>
      <c r="G28" s="154" t="str">
        <f>IFERROR(__xludf.DUMMYFUNCTION("""COMPUTED_VALUE"""),"RTE")</f>
        <v>RTE</v>
      </c>
      <c r="H28" s="154" t="str">
        <f>IFERROR(__xludf.DUMMYFUNCTION("""COMPUTED_VALUE"""),"R")</f>
        <v>R</v>
      </c>
      <c r="I28" s="156" t="str">
        <f>IFERROR(__xludf.DUMMYFUNCTION("""COMPUTED_VALUE"""),"RE")</f>
        <v>RE</v>
      </c>
    </row>
    <row r="29" ht="10.5" customHeight="1">
      <c r="A29" s="105" t="str">
        <f>IFERROR(__xludf.DUMMYFUNCTION("""COMPUTED_VALUE"""),"")</f>
        <v/>
      </c>
      <c r="B29" s="80" t="str">
        <f>IFERROR(__xludf.DUMMYFUNCTION("""COMPUTED_VALUE"""),"FH 2541")</f>
        <v>FH 2541</v>
      </c>
      <c r="C29" s="83" t="str">
        <f>IFERROR(__xludf.DUMMYFUNCTION("""COMPUTED_VALUE"""),"GX160 HONDA")</f>
        <v>GX160 HONDA</v>
      </c>
      <c r="D29" s="86" t="str">
        <f>IFERROR(__xludf.DUMMYFUNCTION("""COMPUTED_VALUE"""),"1,8 кВт")</f>
        <v>1,8 кВт</v>
      </c>
      <c r="E29" s="107">
        <f>IFERROR(__xludf.DUMMYFUNCTION("""COMPUTED_VALUE"""),1364.0)</f>
        <v>1364</v>
      </c>
      <c r="F29" s="112" t="str">
        <f>IFERROR(__xludf.DUMMYFUNCTION("""COMPUTED_VALUE"""),"x")</f>
        <v>x</v>
      </c>
      <c r="G29" s="110" t="str">
        <f>IFERROR(__xludf.DUMMYFUNCTION("""COMPUTED_VALUE"""),"x")</f>
        <v>x</v>
      </c>
      <c r="H29" s="112" t="str">
        <f>IFERROR(__xludf.DUMMYFUNCTION("""COMPUTED_VALUE"""),"x")</f>
        <v>x</v>
      </c>
      <c r="I29" s="113" t="str">
        <f>IFERROR(__xludf.DUMMYFUNCTION("""COMPUTED_VALUE"""),"x")</f>
        <v>x</v>
      </c>
    </row>
    <row r="30" ht="10.5" customHeight="1">
      <c r="A30" s="105" t="str">
        <f>IFERROR(__xludf.DUMMYFUNCTION("""COMPUTED_VALUE"""),"")</f>
        <v/>
      </c>
      <c r="B30" s="80" t="str">
        <f>IFERROR(__xludf.DUMMYFUNCTION("""COMPUTED_VALUE"""),"FH 3541")</f>
        <v>FH 3541</v>
      </c>
      <c r="C30" s="83" t="str">
        <f>IFERROR(__xludf.DUMMYFUNCTION("""COMPUTED_VALUE"""),"GX200 HONDA")</f>
        <v>GX200 HONDA</v>
      </c>
      <c r="D30" s="86" t="str">
        <f>IFERROR(__xludf.DUMMYFUNCTION("""COMPUTED_VALUE"""),"2,7 кВт")</f>
        <v>2,7 кВт</v>
      </c>
      <c r="E30" s="107">
        <f>IFERROR(__xludf.DUMMYFUNCTION("""COMPUTED_VALUE"""),2647.0)</f>
        <v>2647</v>
      </c>
      <c r="F30" s="112" t="str">
        <f>IFERROR(__xludf.DUMMYFUNCTION("""COMPUTED_VALUE"""),"x")</f>
        <v>x</v>
      </c>
      <c r="G30" s="110" t="str">
        <f>IFERROR(__xludf.DUMMYFUNCTION("""COMPUTED_VALUE"""),"x")</f>
        <v>x</v>
      </c>
      <c r="H30" s="112" t="str">
        <f>IFERROR(__xludf.DUMMYFUNCTION("""COMPUTED_VALUE"""),"x")</f>
        <v>x</v>
      </c>
      <c r="I30" s="113" t="str">
        <f>IFERROR(__xludf.DUMMYFUNCTION("""COMPUTED_VALUE"""),"x")</f>
        <v>x</v>
      </c>
    </row>
    <row r="31" ht="10.5" customHeight="1">
      <c r="A31" s="105" t="str">
        <f>IFERROR(__xludf.DUMMYFUNCTION("""COMPUTED_VALUE"""),"")</f>
        <v/>
      </c>
      <c r="B31" s="80" t="str">
        <f>IFERROR(__xludf.DUMMYFUNCTION("""COMPUTED_VALUE"""),"FH 4541")</f>
        <v>FH 4541</v>
      </c>
      <c r="C31" s="83" t="str">
        <f>IFERROR(__xludf.DUMMYFUNCTION("""COMPUTED_VALUE"""),"GX270 HONDA")</f>
        <v>GX270 HONDA</v>
      </c>
      <c r="D31" s="86" t="str">
        <f>IFERROR(__xludf.DUMMYFUNCTION("""COMPUTED_VALUE"""),"3,5 кВт")</f>
        <v>3,5 кВт</v>
      </c>
      <c r="E31" s="107">
        <f>IFERROR(__xludf.DUMMYFUNCTION("""COMPUTED_VALUE"""),3485.0)</f>
        <v>3485</v>
      </c>
      <c r="F31" s="112">
        <f>IFERROR(__xludf.DUMMYFUNCTION("""COMPUTED_VALUE"""),4882.0)</f>
        <v>4882</v>
      </c>
      <c r="G31" s="110" t="str">
        <f>IFERROR(__xludf.DUMMYFUNCTION("""COMPUTED_VALUE"""),"x")</f>
        <v>x</v>
      </c>
      <c r="H31" s="112" t="str">
        <f>IFERROR(__xludf.DUMMYFUNCTION("""COMPUTED_VALUE"""),"x")</f>
        <v>x</v>
      </c>
      <c r="I31" s="113" t="str">
        <f>IFERROR(__xludf.DUMMYFUNCTION("""COMPUTED_VALUE"""),"x")</f>
        <v>x</v>
      </c>
    </row>
    <row r="32" ht="10.5" customHeight="1">
      <c r="A32" s="105" t="str">
        <f>IFERROR(__xludf.DUMMYFUNCTION("""COMPUTED_VALUE"""),"")</f>
        <v/>
      </c>
      <c r="B32" s="80" t="str">
        <f>IFERROR(__xludf.DUMMYFUNCTION("""COMPUTED_VALUE"""),"FH 6541")</f>
        <v>FH 6541</v>
      </c>
      <c r="C32" s="83" t="str">
        <f>IFERROR(__xludf.DUMMYFUNCTION("""COMPUTED_VALUE"""),"GX390 HONDA")</f>
        <v>GX390 HONDA</v>
      </c>
      <c r="D32" s="86" t="str">
        <f>IFERROR(__xludf.DUMMYFUNCTION("""COMPUTED_VALUE"""),"5,6 кВт")</f>
        <v>5,6 кВт</v>
      </c>
      <c r="E32" s="107">
        <f>IFERROR(__xludf.DUMMYFUNCTION("""COMPUTED_VALUE"""),4313.0)</f>
        <v>4313</v>
      </c>
      <c r="F32" s="112">
        <f>IFERROR(__xludf.DUMMYFUNCTION("""COMPUTED_VALUE"""),6070.0)</f>
        <v>6070</v>
      </c>
      <c r="G32" s="110" t="str">
        <f>IFERROR(__xludf.DUMMYFUNCTION("""COMPUTED_VALUE"""),"x")</f>
        <v>x</v>
      </c>
      <c r="H32" s="112" t="str">
        <f>IFERROR(__xludf.DUMMYFUNCTION("""COMPUTED_VALUE"""),"x")</f>
        <v>x</v>
      </c>
      <c r="I32" s="113" t="str">
        <f>IFERROR(__xludf.DUMMYFUNCTION("""COMPUTED_VALUE"""),"x")</f>
        <v>x</v>
      </c>
    </row>
    <row r="33" ht="10.5" customHeight="1">
      <c r="A33" s="158">
        <f>IFERROR(__xludf.DUMMYFUNCTION("""COMPUTED_VALUE"""),5.0)</f>
        <v>5</v>
      </c>
      <c r="B33" s="150" t="str">
        <f>IFERROR(__xludf.DUMMYFUNCTION("""COMPUTED_VALUE"""),"Трехфазный генератор 400V IP54")</f>
        <v>Трехфазный генератор 400V IP54</v>
      </c>
      <c r="C33" s="151" t="str">
        <f>IFERROR(__xludf.DUMMYFUNCTION("""COMPUTED_VALUE"""),"")</f>
        <v/>
      </c>
      <c r="D33" s="152" t="str">
        <f>IFERROR(__xludf.DUMMYFUNCTION("""COMPUTED_VALUE"""),"")</f>
        <v/>
      </c>
      <c r="E33" s="153" t="str">
        <f>IFERROR(__xludf.DUMMYFUNCTION("""COMPUTED_VALUE"""),"Стандарт")</f>
        <v>Стандарт</v>
      </c>
      <c r="F33" s="154" t="str">
        <f>IFERROR(__xludf.DUMMYFUNCTION("""COMPUTED_VALUE"""),"E")</f>
        <v>E</v>
      </c>
      <c r="G33" s="154" t="str">
        <f>IFERROR(__xludf.DUMMYFUNCTION("""COMPUTED_VALUE"""),"RTE")</f>
        <v>RTE</v>
      </c>
      <c r="H33" s="154" t="str">
        <f>IFERROR(__xludf.DUMMYFUNCTION("""COMPUTED_VALUE"""),"R")</f>
        <v>R</v>
      </c>
      <c r="I33" s="156" t="str">
        <f>IFERROR(__xludf.DUMMYFUNCTION("""COMPUTED_VALUE"""),"RE")</f>
        <v>RE</v>
      </c>
    </row>
    <row r="34" ht="10.5" customHeight="1">
      <c r="A34" s="105" t="str">
        <f>IFERROR(__xludf.DUMMYFUNCTION("""COMPUTED_VALUE"""),"")</f>
        <v/>
      </c>
      <c r="B34" s="80" t="str">
        <f>IFERROR(__xludf.DUMMYFUNCTION("""COMPUTED_VALUE"""),"FH 6540")</f>
        <v>FH 6540</v>
      </c>
      <c r="C34" s="83" t="str">
        <f>IFERROR(__xludf.DUMMYFUNCTION("""COMPUTED_VALUE"""),"GX270 HONDA")</f>
        <v>GX270 HONDA</v>
      </c>
      <c r="D34" s="86" t="str">
        <f>IFERROR(__xludf.DUMMYFUNCTION("""COMPUTED_VALUE"""),"4 / 3 кВт")</f>
        <v>4 / 3 кВт</v>
      </c>
      <c r="E34" s="107">
        <f>IFERROR(__xludf.DUMMYFUNCTION("""COMPUTED_VALUE"""),4074.0)</f>
        <v>4074</v>
      </c>
      <c r="F34" s="112">
        <f>IFERROR(__xludf.DUMMYFUNCTION("""COMPUTED_VALUE"""),5471.0)</f>
        <v>5471</v>
      </c>
      <c r="G34" s="110" t="str">
        <f>IFERROR(__xludf.DUMMYFUNCTION("""COMPUTED_VALUE"""),"x")</f>
        <v>x</v>
      </c>
      <c r="H34" s="112" t="str">
        <f>IFERROR(__xludf.DUMMYFUNCTION("""COMPUTED_VALUE"""),"x")</f>
        <v>x</v>
      </c>
      <c r="I34" s="113" t="str">
        <f>IFERROR(__xludf.DUMMYFUNCTION("""COMPUTED_VALUE"""),"x")</f>
        <v>x</v>
      </c>
    </row>
    <row r="35" ht="10.5" customHeight="1">
      <c r="A35" s="105" t="str">
        <f>IFERROR(__xludf.DUMMYFUNCTION("""COMPUTED_VALUE"""),"")</f>
        <v/>
      </c>
      <c r="B35" s="80" t="str">
        <f>IFERROR(__xludf.DUMMYFUNCTION("""COMPUTED_VALUE"""),"FH 9540")</f>
        <v>FH 9540</v>
      </c>
      <c r="C35" s="83" t="str">
        <f>IFERROR(__xludf.DUMMYFUNCTION("""COMPUTED_VALUE"""),"GX390 HONDA")</f>
        <v>GX390 HONDA</v>
      </c>
      <c r="D35" s="86" t="str">
        <f>IFERROR(__xludf.DUMMYFUNCTION("""COMPUTED_VALUE"""),"5,9 / 4,4 кВт")</f>
        <v>5,9 / 4,4 кВт</v>
      </c>
      <c r="E35" s="107">
        <f>IFERROR(__xludf.DUMMYFUNCTION("""COMPUTED_VALUE"""),4326.0)</f>
        <v>4326</v>
      </c>
      <c r="F35" s="112">
        <f>IFERROR(__xludf.DUMMYFUNCTION("""COMPUTED_VALUE"""),6083.0)</f>
        <v>6083</v>
      </c>
      <c r="G35" s="110">
        <f>IFERROR(__xludf.DUMMYFUNCTION("""COMPUTED_VALUE"""),7200.0)</f>
        <v>7200</v>
      </c>
      <c r="H35" s="112" t="str">
        <f>IFERROR(__xludf.DUMMYFUNCTION("""COMPUTED_VALUE"""),"x")</f>
        <v>x</v>
      </c>
      <c r="I35" s="113" t="str">
        <f>IFERROR(__xludf.DUMMYFUNCTION("""COMPUTED_VALUE"""),"x")</f>
        <v>x</v>
      </c>
    </row>
    <row r="36" ht="10.5" customHeight="1">
      <c r="A36" s="105" t="str">
        <f>IFERROR(__xludf.DUMMYFUNCTION("""COMPUTED_VALUE"""),"")</f>
        <v/>
      </c>
      <c r="B36" s="80" t="str">
        <f>IFERROR(__xludf.DUMMYFUNCTION("""COMPUTED_VALUE"""),"FV 13540")</f>
        <v>FV 13540</v>
      </c>
      <c r="C36" s="83" t="str">
        <f>IFERROR(__xludf.DUMMYFUNCTION("""COMPUTED_VALUE"""),"VNG 18 VANGUARD B&amp;S")</f>
        <v>VNG 18 VANGUARD B&amp;S</v>
      </c>
      <c r="D36" s="86" t="str">
        <f>IFERROR(__xludf.DUMMYFUNCTION("""COMPUTED_VALUE"""),"8,7 / 6,6 кВт")</f>
        <v>8,7 / 6,6 кВт</v>
      </c>
      <c r="E36" s="120" t="str">
        <f>IFERROR(__xludf.DUMMYFUNCTION("""COMPUTED_VALUE"""),"x")</f>
        <v>x</v>
      </c>
      <c r="F36" s="112">
        <f>IFERROR(__xludf.DUMMYFUNCTION("""COMPUTED_VALUE"""),7756.0)</f>
        <v>7756</v>
      </c>
      <c r="G36" s="110">
        <f>IFERROR(__xludf.DUMMYFUNCTION("""COMPUTED_VALUE"""),9425.0)</f>
        <v>9425</v>
      </c>
      <c r="H36" s="112" t="str">
        <f>IFERROR(__xludf.DUMMYFUNCTION("""COMPUTED_VALUE"""),"x")</f>
        <v>x</v>
      </c>
      <c r="I36" s="113" t="str">
        <f>IFERROR(__xludf.DUMMYFUNCTION("""COMPUTED_VALUE"""),"x")</f>
        <v>x</v>
      </c>
    </row>
    <row r="37" ht="10.5" customHeight="1">
      <c r="A37" s="105" t="str">
        <f>IFERROR(__xludf.DUMMYFUNCTION("""COMPUTED_VALUE"""),"")</f>
        <v/>
      </c>
      <c r="B37" s="80" t="str">
        <f>IFERROR(__xludf.DUMMYFUNCTION("""COMPUTED_VALUE"""),"FV 15540")</f>
        <v>FV 15540</v>
      </c>
      <c r="C37" s="83" t="str">
        <f>IFERROR(__xludf.DUMMYFUNCTION("""COMPUTED_VALUE"""),"VNG 21 VANGUARD B&amp;S")</f>
        <v>VNG 21 VANGUARD B&amp;S</v>
      </c>
      <c r="D37" s="86" t="str">
        <f>IFERROR(__xludf.DUMMYFUNCTION("""COMPUTED_VALUE"""),"10,3 / 7 кВт")</f>
        <v>10,3 / 7 кВт</v>
      </c>
      <c r="E37" s="120" t="str">
        <f>IFERROR(__xludf.DUMMYFUNCTION("""COMPUTED_VALUE"""),"x")</f>
        <v>x</v>
      </c>
      <c r="F37" s="112" t="str">
        <f>IFERROR(__xludf.DUMMYFUNCTION("""COMPUTED_VALUE"""),"x")</f>
        <v>x</v>
      </c>
      <c r="G37" s="110">
        <f>IFERROR(__xludf.DUMMYFUNCTION("""COMPUTED_VALUE"""),10003.0)</f>
        <v>10003</v>
      </c>
      <c r="H37" s="112" t="str">
        <f>IFERROR(__xludf.DUMMYFUNCTION("""COMPUTED_VALUE"""),"x")</f>
        <v>x</v>
      </c>
      <c r="I37" s="113" t="str">
        <f>IFERROR(__xludf.DUMMYFUNCTION("""COMPUTED_VALUE"""),"x")</f>
        <v>x</v>
      </c>
    </row>
    <row r="38">
      <c r="A38" s="105" t="str">
        <f>IFERROR(__xludf.DUMMYFUNCTION("""COMPUTED_VALUE"""),"")</f>
        <v/>
      </c>
      <c r="B38" s="80" t="str">
        <f>IFERROR(__xludf.DUMMYFUNCTION("""COMPUTED_VALUE"""),"FV 20540")</f>
        <v>FV 20540</v>
      </c>
      <c r="C38" s="83" t="str">
        <f>IFERROR(__xludf.DUMMYFUNCTION("""COMPUTED_VALUE"""),"VNG 31 VANGUARD B&amp;S")</f>
        <v>VNG 31 VANGUARD B&amp;S</v>
      </c>
      <c r="D38" s="86" t="str">
        <f>IFERROR(__xludf.DUMMYFUNCTION("""COMPUTED_VALUE"""),"14,4 / 7 кВт")</f>
        <v>14,4 / 7 кВт</v>
      </c>
      <c r="E38" s="171" t="str">
        <f>IFERROR(__xludf.DUMMYFUNCTION("""COMPUTED_VALUE"""),"x")</f>
        <v>x</v>
      </c>
      <c r="F38" s="173" t="str">
        <f>IFERROR(__xludf.DUMMYFUNCTION("""COMPUTED_VALUE"""),"x")</f>
        <v>x</v>
      </c>
      <c r="G38" s="175">
        <f>IFERROR(__xludf.DUMMYFUNCTION("""COMPUTED_VALUE"""),14750.0)</f>
        <v>14750</v>
      </c>
      <c r="H38" s="173" t="str">
        <f>IFERROR(__xludf.DUMMYFUNCTION("""COMPUTED_VALUE"""),"x")</f>
        <v>x</v>
      </c>
      <c r="I38" s="176" t="str">
        <f>IFERROR(__xludf.DUMMYFUNCTION("""COMPUTED_VALUE"""),"x")</f>
        <v>x</v>
      </c>
    </row>
    <row r="39">
      <c r="A39" s="178">
        <f>IFERROR(__xludf.DUMMYFUNCTION("""COMPUTED_VALUE"""),6.0)</f>
        <v>6</v>
      </c>
      <c r="B39" s="180" t="str">
        <f>IFERROR(__xludf.DUMMYFUNCTION("""COMPUTED_VALUE"""),"Бытовые генераторы FIRMAN")</f>
        <v>Бытовые генераторы FIRMAN</v>
      </c>
      <c r="C39" s="181" t="str">
        <f>IFERROR(__xludf.DUMMYFUNCTION("""COMPUTED_VALUE"""),"")</f>
        <v/>
      </c>
      <c r="D39" s="182" t="str">
        <f>IFERROR(__xludf.DUMMYFUNCTION("""COMPUTED_VALUE"""),"")</f>
        <v/>
      </c>
      <c r="E39" s="183" t="str">
        <f>IFERROR(__xludf.DUMMYFUNCTION("""COMPUTED_VALUE"""),"Ручной пуск")</f>
        <v>Ручной пуск</v>
      </c>
      <c r="F39" s="184" t="str">
        <f>IFERROR(__xludf.DUMMYFUNCTION("""COMPUTED_VALUE"""),"Эл. старт")</f>
        <v>Эл. старт</v>
      </c>
      <c r="G39" s="185" t="str">
        <f>IFERROR(__xludf.DUMMYFUNCTION("""COMPUTED_VALUE"""),"")</f>
        <v/>
      </c>
      <c r="H39" s="185" t="str">
        <f>IFERROR(__xludf.DUMMYFUNCTION("""COMPUTED_VALUE"""),"")</f>
        <v/>
      </c>
      <c r="I39" s="185" t="str">
        <f>IFERROR(__xludf.DUMMYFUNCTION("""COMPUTED_VALUE"""),"")</f>
        <v/>
      </c>
    </row>
    <row r="40">
      <c r="A40" s="88" t="str">
        <f>IFERROR(__xludf.DUMMYFUNCTION("""COMPUTED_VALUE"""),"")</f>
        <v/>
      </c>
      <c r="B40" s="186" t="str">
        <f>IFERROR(__xludf.DUMMYFUNCTION("""COMPUTED_VALUE"""),"Firman SPG 3000")</f>
        <v>Firman SPG 3000</v>
      </c>
      <c r="C40" s="83" t="str">
        <f>IFERROR(__xludf.DUMMYFUNCTION("""COMPUTED_VALUE"""),"SPE 200")</f>
        <v>SPE 200</v>
      </c>
      <c r="D40" s="86" t="str">
        <f>IFERROR(__xludf.DUMMYFUNCTION("""COMPUTED_VALUE"""),"2,5 кВт")</f>
        <v>2,5 кВт</v>
      </c>
      <c r="E40" s="187">
        <f>IFERROR(__xludf.DUMMYFUNCTION("""COMPUTED_VALUE"""),515.0)</f>
        <v>515</v>
      </c>
      <c r="F40" s="97" t="str">
        <f>IFERROR(__xludf.DUMMYFUNCTION("""COMPUTED_VALUE"""),"x")</f>
        <v>x</v>
      </c>
      <c r="G40" s="95" t="str">
        <f>IFERROR(__xludf.DUMMYFUNCTION("""COMPUTED_VALUE"""),"x")</f>
        <v>x</v>
      </c>
      <c r="H40" s="112" t="str">
        <f>IFERROR(__xludf.DUMMYFUNCTION("""COMPUTED_VALUE"""),"x")</f>
        <v>x</v>
      </c>
      <c r="I40" s="99" t="str">
        <f>IFERROR(__xludf.DUMMYFUNCTION("""COMPUTED_VALUE"""),"x")</f>
        <v>x</v>
      </c>
    </row>
    <row r="41">
      <c r="A41" s="186" t="str">
        <f>IFERROR(__xludf.DUMMYFUNCTION("""COMPUTED_VALUE"""),"")</f>
        <v/>
      </c>
      <c r="B41" s="88" t="str">
        <f>IFERROR(__xludf.DUMMYFUNCTION("""COMPUTED_VALUE"""),"Firman SPG 5000")</f>
        <v>Firman SPG 5000</v>
      </c>
      <c r="C41" s="83" t="str">
        <f>IFERROR(__xludf.DUMMYFUNCTION("""COMPUTED_VALUE"""),"SPE 340")</f>
        <v>SPE 340</v>
      </c>
      <c r="D41" s="86" t="str">
        <f>IFERROR(__xludf.DUMMYFUNCTION("""COMPUTED_VALUE"""),"4,0 кВт")</f>
        <v>4,0 кВт</v>
      </c>
      <c r="E41" s="107">
        <f>IFERROR(__xludf.DUMMYFUNCTION("""COMPUTED_VALUE"""),909.0)</f>
        <v>909</v>
      </c>
      <c r="F41" s="112" t="str">
        <f>IFERROR(__xludf.DUMMYFUNCTION("""COMPUTED_VALUE"""),"x")</f>
        <v>x</v>
      </c>
      <c r="G41" s="110" t="str">
        <f>IFERROR(__xludf.DUMMYFUNCTION("""COMPUTED_VALUE"""),"x")</f>
        <v>x</v>
      </c>
      <c r="H41" s="112" t="str">
        <f>IFERROR(__xludf.DUMMYFUNCTION("""COMPUTED_VALUE"""),"x")</f>
        <v>x</v>
      </c>
      <c r="I41" s="113" t="str">
        <f>IFERROR(__xludf.DUMMYFUNCTION("""COMPUTED_VALUE"""),"x")</f>
        <v>x</v>
      </c>
    </row>
    <row r="42">
      <c r="A42" s="88" t="str">
        <f>IFERROR(__xludf.DUMMYFUNCTION("""COMPUTED_VALUE"""),"")</f>
        <v/>
      </c>
      <c r="B42" s="88" t="str">
        <f>IFERROR(__xludf.DUMMYFUNCTION("""COMPUTED_VALUE"""),"Firman SPG 6500")</f>
        <v>Firman SPG 6500</v>
      </c>
      <c r="C42" s="83" t="str">
        <f>IFERROR(__xludf.DUMMYFUNCTION("""COMPUTED_VALUE"""),"SPE 390")</f>
        <v>SPE 390</v>
      </c>
      <c r="D42" s="86" t="str">
        <f>IFERROR(__xludf.DUMMYFUNCTION("""COMPUTED_VALUE"""),"5,0 кВт")</f>
        <v>5,0 кВт</v>
      </c>
      <c r="E42" s="188">
        <f>IFERROR(__xludf.DUMMYFUNCTION("""COMPUTED_VALUE"""),1044.0)</f>
        <v>1044</v>
      </c>
      <c r="F42" s="112" t="str">
        <f>IFERROR(__xludf.DUMMYFUNCTION("""COMPUTED_VALUE"""),"x")</f>
        <v>x</v>
      </c>
      <c r="G42" s="110" t="str">
        <f>IFERROR(__xludf.DUMMYFUNCTION("""COMPUTED_VALUE"""),"x")</f>
        <v>x</v>
      </c>
      <c r="H42" s="112" t="str">
        <f>IFERROR(__xludf.DUMMYFUNCTION("""COMPUTED_VALUE"""),"x")</f>
        <v>x</v>
      </c>
      <c r="I42" s="113" t="str">
        <f>IFERROR(__xludf.DUMMYFUNCTION("""COMPUTED_VALUE"""),"x")</f>
        <v>x</v>
      </c>
    </row>
    <row r="43">
      <c r="A43" s="88" t="str">
        <f>IFERROR(__xludf.DUMMYFUNCTION("""COMPUTED_VALUE"""),"")</f>
        <v/>
      </c>
      <c r="B43" s="88" t="str">
        <f>IFERROR(__xludf.DUMMYFUNCTION("""COMPUTED_VALUE"""),"Firman SPG 8500T (трехфазн генератор)")</f>
        <v>Firman SPG 8500T (трехфазн генератор)</v>
      </c>
      <c r="C43" s="190" t="str">
        <f>IFERROR(__xludf.DUMMYFUNCTION("""COMPUTED_VALUE"""),"")</f>
        <v/>
      </c>
      <c r="D43" s="86" t="str">
        <f>IFERROR(__xludf.DUMMYFUNCTION("""COMPUTED_VALUE"""),"6,0 / 3,0 кВт")</f>
        <v>6,0 / 3,0 кВт</v>
      </c>
      <c r="E43" s="107">
        <f>IFERROR(__xludf.DUMMYFUNCTION("""COMPUTED_VALUE"""),1130.0)</f>
        <v>1130</v>
      </c>
      <c r="F43" s="112">
        <f>IFERROR(__xludf.DUMMYFUNCTION("""COMPUTED_VALUE"""),1582.0)</f>
        <v>1582</v>
      </c>
      <c r="G43" s="110" t="str">
        <f>IFERROR(__xludf.DUMMYFUNCTION("""COMPUTED_VALUE"""),"x")</f>
        <v>x</v>
      </c>
      <c r="H43" s="112" t="str">
        <f>IFERROR(__xludf.DUMMYFUNCTION("""COMPUTED_VALUE"""),"x")</f>
        <v>x</v>
      </c>
      <c r="I43" s="113" t="str">
        <f>IFERROR(__xludf.DUMMYFUNCTION("""COMPUTED_VALUE"""),"x")</f>
        <v>x</v>
      </c>
    </row>
    <row r="44">
      <c r="A44" s="88" t="str">
        <f>IFERROR(__xludf.DUMMYFUNCTION("""COMPUTED_VALUE"""),"")</f>
        <v/>
      </c>
      <c r="B44" s="88" t="str">
        <f>IFERROR(__xludf.DUMMYFUNCTION("""COMPUTED_VALUE"""),"Дизельный сварочный Firman SDW 180Е")</f>
        <v>Дизельный сварочный Firman SDW 180Е</v>
      </c>
      <c r="C44" s="190" t="str">
        <f>IFERROR(__xludf.DUMMYFUNCTION("""COMPUTED_VALUE"""),"")</f>
        <v/>
      </c>
      <c r="D44" s="86" t="str">
        <f>IFERROR(__xludf.DUMMYFUNCTION("""COMPUTED_VALUE"""),"4,0 кВт")</f>
        <v>4,0 кВт</v>
      </c>
      <c r="E44" s="193" t="str">
        <f>IFERROR(__xludf.DUMMYFUNCTION("""COMPUTED_VALUE"""),"x")</f>
        <v>x</v>
      </c>
      <c r="F44" s="112">
        <f>IFERROR(__xludf.DUMMYFUNCTION("""COMPUTED_VALUE"""),2930.5)</f>
        <v>2930.5</v>
      </c>
      <c r="G44" s="110" t="str">
        <f>IFERROR(__xludf.DUMMYFUNCTION("""COMPUTED_VALUE"""),"x")</f>
        <v>x</v>
      </c>
      <c r="H44" s="112" t="str">
        <f>IFERROR(__xludf.DUMMYFUNCTION("""COMPUTED_VALUE"""),"x")</f>
        <v>x</v>
      </c>
      <c r="I44" s="113" t="str">
        <f>IFERROR(__xludf.DUMMYFUNCTION("""COMPUTED_VALUE"""),"x")</f>
        <v>x</v>
      </c>
    </row>
    <row r="45">
      <c r="A45" s="88" t="str">
        <f>IFERROR(__xludf.DUMMYFUNCTION("""COMPUTED_VALUE"""),"")</f>
        <v/>
      </c>
      <c r="B45" s="88" t="str">
        <f>IFERROR(__xludf.DUMMYFUNCTION("""COMPUTED_VALUE"""),"Бензиновый сварочный Firman SGW 220")</f>
        <v>Бензиновый сварочный Firman SGW 220</v>
      </c>
      <c r="C45" s="190" t="str">
        <f>IFERROR(__xludf.DUMMYFUNCTION("""COMPUTED_VALUE"""),"")</f>
        <v/>
      </c>
      <c r="D45" s="86" t="str">
        <f>IFERROR(__xludf.DUMMYFUNCTION("""COMPUTED_VALUE"""),"6,0 / 3,0 кВт")</f>
        <v>6,0 / 3,0 кВт</v>
      </c>
      <c r="E45" s="194">
        <f>IFERROR(__xludf.DUMMYFUNCTION("""COMPUTED_VALUE"""),1788.5)</f>
        <v>1788.5</v>
      </c>
      <c r="F45" s="195" t="str">
        <f>IFERROR(__xludf.DUMMYFUNCTION("""COMPUTED_VALUE"""),"x")</f>
        <v>x</v>
      </c>
      <c r="G45" s="175" t="str">
        <f>IFERROR(__xludf.DUMMYFUNCTION("""COMPUTED_VALUE"""),"x")</f>
        <v>x</v>
      </c>
      <c r="H45" s="196" t="str">
        <f>IFERROR(__xludf.DUMMYFUNCTION("""COMPUTED_VALUE"""),"x")</f>
        <v>x</v>
      </c>
      <c r="I45" s="176" t="str">
        <f>IFERROR(__xludf.DUMMYFUNCTION("""COMPUTED_VALUE"""),"x")</f>
        <v>x</v>
      </c>
    </row>
    <row r="46">
      <c r="A46" s="88" t="str">
        <f>IFERROR(__xludf.DUMMYFUNCTION("""COMPUTED_VALUE"""),"")</f>
        <v/>
      </c>
      <c r="B46" s="88" t="str">
        <f>IFERROR(__xludf.DUMMYFUNCTION("""COMPUTED_VALUE"""),"")</f>
        <v/>
      </c>
      <c r="C46" s="190" t="str">
        <f>IFERROR(__xludf.DUMMYFUNCTION("""COMPUTED_VALUE"""),"")</f>
        <v/>
      </c>
      <c r="D46" s="197" t="str">
        <f>IFERROR(__xludf.DUMMYFUNCTION("""COMPUTED_VALUE"""),"")</f>
        <v/>
      </c>
      <c r="E46" t="str">
        <f>IFERROR(__xludf.DUMMYFUNCTION("""COMPUTED_VALUE"""),"")</f>
        <v/>
      </c>
      <c r="F46" t="str">
        <f>IFERROR(__xludf.DUMMYFUNCTION("""COMPUTED_VALUE"""),"")</f>
        <v/>
      </c>
      <c r="G46" t="str">
        <f>IFERROR(__xludf.DUMMYFUNCTION("""COMPUTED_VALUE"""),"")</f>
        <v/>
      </c>
      <c r="H46" t="str">
        <f>IFERROR(__xludf.DUMMYFUNCTION("""COMPUTED_VALUE"""),"")</f>
        <v/>
      </c>
      <c r="I46" t="str">
        <f>IFERROR(__xludf.DUMMYFUNCTION("""COMPUTED_VALUE"""),"")</f>
        <v/>
      </c>
    </row>
    <row r="47">
      <c r="A47" s="88"/>
      <c r="B47" s="88"/>
      <c r="C47" s="190"/>
      <c r="D47" s="197"/>
    </row>
    <row r="48">
      <c r="B48" s="199" t="s">
        <v>16</v>
      </c>
      <c r="D48" s="197"/>
    </row>
    <row r="49">
      <c r="B49" s="202" t="s">
        <v>34</v>
      </c>
    </row>
    <row r="50">
      <c r="B50" s="202" t="s">
        <v>35</v>
      </c>
    </row>
    <row r="51">
      <c r="B51" s="202" t="s">
        <v>36</v>
      </c>
    </row>
    <row r="52">
      <c r="B52" s="202" t="s">
        <v>37</v>
      </c>
    </row>
    <row r="53">
      <c r="A53" s="197"/>
      <c r="B53" s="202" t="s">
        <v>38</v>
      </c>
    </row>
    <row r="54">
      <c r="A54" s="197"/>
      <c r="B54" s="204" t="s">
        <v>39</v>
      </c>
    </row>
    <row r="55">
      <c r="A55" s="197"/>
    </row>
    <row r="56">
      <c r="A56" s="197"/>
      <c r="D56" s="197"/>
    </row>
    <row r="57">
      <c r="A57" s="197"/>
      <c r="B57" s="197"/>
      <c r="D57" s="197"/>
    </row>
    <row r="58">
      <c r="A58" s="197"/>
      <c r="B58" s="197"/>
      <c r="D58" s="197"/>
    </row>
    <row r="59">
      <c r="A59" s="197"/>
      <c r="B59" s="197"/>
      <c r="D59" s="197"/>
    </row>
    <row r="60">
      <c r="A60" s="197"/>
      <c r="B60" s="197"/>
      <c r="D60" s="197"/>
    </row>
  </sheetData>
  <mergeCells count="69">
    <mergeCell ref="J51:K51"/>
    <mergeCell ref="J48:K48"/>
    <mergeCell ref="J49:K49"/>
    <mergeCell ref="J31:K31"/>
    <mergeCell ref="J30:K30"/>
    <mergeCell ref="J44:K44"/>
    <mergeCell ref="J26:K26"/>
    <mergeCell ref="J29:K29"/>
    <mergeCell ref="J28:K28"/>
    <mergeCell ref="J37:K37"/>
    <mergeCell ref="J25:K25"/>
    <mergeCell ref="J34:K34"/>
    <mergeCell ref="J33:K33"/>
    <mergeCell ref="J32:K32"/>
    <mergeCell ref="J35:K35"/>
    <mergeCell ref="J36:K36"/>
    <mergeCell ref="J5:K5"/>
    <mergeCell ref="J4:K4"/>
    <mergeCell ref="J17:K17"/>
    <mergeCell ref="J24:K24"/>
    <mergeCell ref="J19:K19"/>
    <mergeCell ref="J20:K20"/>
    <mergeCell ref="J18:K18"/>
    <mergeCell ref="J21:K21"/>
    <mergeCell ref="J22:K22"/>
    <mergeCell ref="J23:K23"/>
    <mergeCell ref="J56:K56"/>
    <mergeCell ref="J53:K53"/>
    <mergeCell ref="L4:L60"/>
    <mergeCell ref="J55:K55"/>
    <mergeCell ref="J54:K54"/>
    <mergeCell ref="J52:K52"/>
    <mergeCell ref="J45:K45"/>
    <mergeCell ref="B55:I55"/>
    <mergeCell ref="B54:I54"/>
    <mergeCell ref="J50:K50"/>
    <mergeCell ref="J47:K47"/>
    <mergeCell ref="B52:I52"/>
    <mergeCell ref="B50:I50"/>
    <mergeCell ref="B51:I51"/>
    <mergeCell ref="B53:I53"/>
    <mergeCell ref="B49:I49"/>
    <mergeCell ref="J43:K43"/>
    <mergeCell ref="J42:K42"/>
    <mergeCell ref="J9:K9"/>
    <mergeCell ref="J8:K8"/>
    <mergeCell ref="J16:K16"/>
    <mergeCell ref="J10:K10"/>
    <mergeCell ref="J11:K11"/>
    <mergeCell ref="J15:K15"/>
    <mergeCell ref="J14:K14"/>
    <mergeCell ref="J38:K38"/>
    <mergeCell ref="J41:K41"/>
    <mergeCell ref="J40:K40"/>
    <mergeCell ref="J39:K39"/>
    <mergeCell ref="J60:K60"/>
    <mergeCell ref="J59:K59"/>
    <mergeCell ref="J57:K57"/>
    <mergeCell ref="J58:K58"/>
    <mergeCell ref="J3:K3"/>
    <mergeCell ref="J1:K2"/>
    <mergeCell ref="J7:K7"/>
    <mergeCell ref="J6:K6"/>
    <mergeCell ref="C1:F1"/>
    <mergeCell ref="C2:D2"/>
    <mergeCell ref="B1:B2"/>
    <mergeCell ref="B3:C3"/>
    <mergeCell ref="E2:I2"/>
    <mergeCell ref="G1:I1"/>
  </mergeCells>
  <conditionalFormatting sqref="G1:I38 F2:F38 F40:G45 H40:H44 I40:I45">
    <cfRule type="cellIs" dxfId="0" priority="1" operator="equal">
      <formula>"x"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.14"/>
    <col customWidth="1" min="2" max="2" width="64.0"/>
    <col customWidth="1" min="3" max="3" width="23.0"/>
    <col customWidth="1" min="4" max="4" width="12.86"/>
    <col customWidth="1" min="5" max="5" width="12.14"/>
    <col customWidth="1" min="6" max="6" width="12.0"/>
    <col customWidth="1" min="7" max="7" width="10.29"/>
    <col customWidth="1" min="8" max="8" width="8.14"/>
    <col customWidth="1" min="9" max="9" width="12.57"/>
    <col customWidth="1" min="10" max="10" width="12.43"/>
    <col customWidth="1" min="11" max="11" width="6.86"/>
    <col customWidth="1" min="12" max="12" width="11.0"/>
    <col customWidth="1" min="13" max="13" width="10.14"/>
    <col customWidth="1" min="14" max="14" width="13.43"/>
  </cols>
  <sheetData>
    <row r="1" ht="16.5" customHeight="1">
      <c r="A1" s="207" t="str">
        <f>IFERROR(__xludf.DUMMYFUNCTION("ImportRange(""https://docs.google.com/spreadsheets/d/1r0lhijDIYDre7zcEkHlxmuKQpLLpFtwEumVe6Xh0n3Q/edit#gid=798609007"", ""Строит-ное оборуд-ние!A1:D78"")"),"")</f>
        <v/>
      </c>
      <c r="B1" s="209" t="str">
        <f>IFERROR(__xludf.DUMMYFUNCTION("""COMPUTED_VALUE"""),"8 029 666-55-93;           8 033 333-55-96")</f>
        <v>8 029 666-55-93;           8 033 333-55-96</v>
      </c>
      <c r="C1" s="211" t="str">
        <f>IFERROR(__xludf.DUMMYFUNCTION("""COMPUTED_VALUE"""),"www.isell.by")</f>
        <v>www.isell.by</v>
      </c>
      <c r="D1" s="214" t="str">
        <f>IFERROR(__xludf.DUMMYFUNCTION("""COMPUTED_VALUE"""),"skype:  isell.by")</f>
        <v>skype:  isell.by</v>
      </c>
      <c r="E1" s="215" t="str">
        <f>IFERROR(__xludf.DUMMYFUNCTION("ImportRange(""https://docs.google.com/spreadsheets/d/1r0lhijDIYDre7zcEkHlxmuKQpLLpFtwEumVe6Xh0n3Q/edit#gid=798609007"", ""Строит-ное оборуд-ние!F1:F78"")"),"")</f>
        <v/>
      </c>
      <c r="F1" s="217"/>
      <c r="G1" s="217" t="str">
        <f>IFERROR(__xludf.DUMMYFUNCTION("ImportRange(""https://docs.google.com/spreadsheets/d/1r0lhijDIYDre7zcEkHlxmuKQpLLpFtwEumVe6Xh0n3Q/edit#gid=798609007"", ""Строит-ное оборуд-ние!H1:H78"")"),"")</f>
        <v/>
      </c>
      <c r="H1" s="219" t="str">
        <f>IFERROR(__xludf.DUMMYFUNCTION("ImportRange(""https://docs.google.com/spreadsheets/d/1r0lhijDIYDre7zcEkHlxmuKQpLLpFtwEumVe6Xh0n3Q/edit#gid=798609007"", ""Строит-ное оборуд-ние!J1:J78"")"),"")</f>
        <v/>
      </c>
      <c r="I1" s="221" t="str">
        <f>IFERROR(__xludf.DUMMYFUNCTION("ImportRange(""https://docs.google.com/spreadsheets/d/1r0lhijDIYDre7zcEkHlxmuKQpLLpFtwEumVe6Xh0n3Q/edit#gid=798609007"", ""Строит-ное оборуд-ние!K1:O78"")"),"")</f>
        <v/>
      </c>
      <c r="J1" s="223" t="str">
        <f>IFERROR(__xludf.DUMMYFUNCTION("""COMPUTED_VALUE"""),"")</f>
        <v/>
      </c>
      <c r="K1" s="225" t="str">
        <f>IFERROR(__xludf.DUMMYFUNCTION("""COMPUTED_VALUE"""),"")</f>
        <v/>
      </c>
      <c r="L1" s="223" t="str">
        <f>IFERROR(__xludf.DUMMYFUNCTION("""COMPUTED_VALUE"""),"")</f>
        <v/>
      </c>
      <c r="M1" s="229" t="str">
        <f>IFERROR(__xludf.DUMMYFUNCTION("""COMPUTED_VALUE"""),"")</f>
        <v/>
      </c>
      <c r="N1" s="229"/>
    </row>
    <row r="2">
      <c r="A2" s="231" t="str">
        <f>IFERROR(__xludf.DUMMYFUNCTION("""COMPUTED_VALUE"""),"Арт.")</f>
        <v>Арт.</v>
      </c>
      <c r="B2" s="233" t="str">
        <f>IFERROR(__xludf.DUMMYFUNCTION("""COMPUTED_VALUE"""),"Наименование товара")</f>
        <v>Наименование товара</v>
      </c>
      <c r="C2" s="235" t="str">
        <f>IFERROR(__xludf.DUMMYFUNCTION("""COMPUTED_VALUE"""),"Характеристики")</f>
        <v>Характеристики</v>
      </c>
      <c r="D2" s="237" t="str">
        <f>IFERROR(__xludf.DUMMYFUNCTION("""COMPUTED_VALUE"""),"Розничная цена с НДС, BYN")</f>
        <v>Розничная цена с НДС, BYN</v>
      </c>
      <c r="E2" s="240" t="str">
        <f>IFERROR(__xludf.DUMMYFUNCTION("""COMPUTED_VALUE"""),"Дилерская цена с НДС, BYN")</f>
        <v>Дилерская цена с НДС, BYN</v>
      </c>
      <c r="F2" s="237" t="s">
        <v>40</v>
      </c>
      <c r="G2" s="242" t="str">
        <f>IFERROR(__xludf.DUMMYFUNCTION("""COMPUTED_VALUE"""),"Наличие")</f>
        <v>Наличие</v>
      </c>
      <c r="H2" s="244" t="str">
        <f>IFERROR(__xludf.DUMMYFUNCTION("""COMPUTED_VALUE"""),"Cсылка на сайт")</f>
        <v>Cсылка на сайт</v>
      </c>
      <c r="I2" s="246" t="str">
        <f>IFERROR(__xludf.DUMMYFUNCTION("""COMPUTED_VALUE"""),"Производитель")</f>
        <v>Производитель</v>
      </c>
      <c r="J2" s="248" t="str">
        <f>IFERROR(__xludf.DUMMYFUNCTION("""COMPUTED_VALUE"""),"Изготовитель")</f>
        <v>Изготовитель</v>
      </c>
      <c r="K2" s="250" t="str">
        <f>IFERROR(__xludf.DUMMYFUNCTION("""COMPUTED_VALUE"""),"Гарант.")</f>
        <v>Гарант.</v>
      </c>
      <c r="L2" s="254" t="str">
        <f>IFERROR(__xludf.DUMMYFUNCTION("""COMPUTED_VALUE"""),"Сервисный центр")</f>
        <v>Сервисный центр</v>
      </c>
      <c r="M2" s="255" t="str">
        <f>IFERROR(__xludf.DUMMYFUNCTION("""COMPUTED_VALUE"""),"Импортер в РБ")</f>
        <v>Импортер в РБ</v>
      </c>
      <c r="N2" s="257"/>
    </row>
    <row r="3">
      <c r="A3" s="259">
        <f>IFERROR(__xludf.DUMMYFUNCTION("""COMPUTED_VALUE"""),1.0)</f>
        <v>1</v>
      </c>
      <c r="B3" s="261" t="str">
        <f>IFERROR(__xludf.DUMMYFUNCTION("""COMPUTED_VALUE"""),"АЛМАЗНЫЕ ФРЕЗЫ, ФРАНКФУРТЫ")</f>
        <v>АЛМАЗНЫЕ ФРЕЗЫ, ФРАНКФУРТЫ</v>
      </c>
      <c r="C3" s="263" t="str">
        <f>IFERROR(__xludf.DUMMYFUNCTION("""COMPUTED_VALUE"""),"")</f>
        <v/>
      </c>
      <c r="D3" s="265" t="str">
        <f>IFERROR(__xludf.DUMMYFUNCTION("""COMPUTED_VALUE"""),"")</f>
        <v/>
      </c>
      <c r="E3" s="269" t="str">
        <f>IFERROR(__xludf.DUMMYFUNCTION("""COMPUTED_VALUE"""),"")</f>
        <v/>
      </c>
      <c r="F3" s="271"/>
      <c r="G3" s="273" t="str">
        <f>IFERROR(__xludf.DUMMYFUNCTION("""COMPUTED_VALUE"""),"")</f>
        <v/>
      </c>
      <c r="H3" s="275" t="str">
        <f>IFERROR(__xludf.DUMMYFUNCTION("""COMPUTED_VALUE"""),"")</f>
        <v/>
      </c>
      <c r="I3" s="277" t="str">
        <f>IFERROR(__xludf.DUMMYFUNCTION("""COMPUTED_VALUE"""),"")</f>
        <v/>
      </c>
      <c r="J3" s="277" t="str">
        <f>IFERROR(__xludf.DUMMYFUNCTION("""COMPUTED_VALUE"""),"")</f>
        <v/>
      </c>
      <c r="K3" s="279" t="str">
        <f>IFERROR(__xludf.DUMMYFUNCTION("""COMPUTED_VALUE"""),"")</f>
        <v/>
      </c>
      <c r="L3" s="277" t="str">
        <f>IFERROR(__xludf.DUMMYFUNCTION("""COMPUTED_VALUE"""),"")</f>
        <v/>
      </c>
      <c r="M3" s="281" t="str">
        <f>IFERROR(__xludf.DUMMYFUNCTION("""COMPUTED_VALUE"""),"")</f>
        <v/>
      </c>
      <c r="N3" s="281"/>
    </row>
    <row r="4">
      <c r="A4" s="283" t="str">
        <f>IFERROR(__xludf.DUMMYFUNCTION("""COMPUTED_VALUE"""),"")</f>
        <v/>
      </c>
      <c r="B4" s="285" t="str">
        <f>IFERROR(__xludf.DUMMYFUNCTION("""COMPUTED_VALUE"""),"Фреза алмазная GS-S 95/МШМ-6 №0 Baumesser Beton Pro")</f>
        <v>Фреза алмазная GS-S 95/МШМ-6 №0 Baumesser Beton Pro</v>
      </c>
      <c r="C4" s="287" t="str">
        <f>IFERROR(__xludf.DUMMYFUNCTION("""COMPUTED_VALUE"""),"500-800 м.кв. (для 6 штук на 1 мм)")</f>
        <v>500-800 м.кв. (для 6 штук на 1 мм)</v>
      </c>
      <c r="D4" s="289">
        <f>IFERROR(__xludf.DUMMYFUNCTION("""COMPUTED_VALUE"""),96.0)</f>
        <v>96</v>
      </c>
      <c r="E4" s="291">
        <f>IFERROR(__xludf.DUMMYFUNCTION("""COMPUTED_VALUE"""),81.6)</f>
        <v>81.6</v>
      </c>
      <c r="F4" s="294">
        <f t="shared" ref="F4:F5" si="1">D4-E4</f>
        <v>14.4</v>
      </c>
      <c r="G4" s="295" t="str">
        <f>IFERROR(__xludf.DUMMYFUNCTION("""COMPUTED_VALUE"""),"под заказ")</f>
        <v>под заказ</v>
      </c>
      <c r="H4" s="296" t="str">
        <f>IFERROR(__xludf.DUMMYFUNCTION("""COMPUTED_VALUE"""),"http://isell.by/index.pl?act=PRODUCT&amp;id=252")</f>
        <v>http://isell.by/index.pl?act=PRODUCT&amp;id=252</v>
      </c>
      <c r="I4" s="298" t="str">
        <f>IFERROR(__xludf.DUMMYFUNCTION("""COMPUTED_VALUE"""),"ООО ""Ди-Стар Центр"", 308010, Россия, г. Белгород, ул. Промышленная, 17а")</f>
        <v>ООО "Ди-Стар Центр", 308010, Россия, г. Белгород, ул. Промышленная, 17а</v>
      </c>
      <c r="J4" s="298" t="str">
        <f>IFERROR(__xludf.DUMMYFUNCTION("""COMPUTED_VALUE"""),"ООО ""Ди-Стар Центр"", 308010, Россия, г. Белгород, ул. Промышленная, 17а")</f>
        <v>ООО "Ди-Стар Центр", 308010, Россия, г. Белгород, ул. Промышленная, 17а</v>
      </c>
      <c r="K4" s="301" t="str">
        <f>IFERROR(__xludf.DUMMYFUNCTION("""COMPUTED_VALUE"""),"")</f>
        <v/>
      </c>
      <c r="L4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4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4" s="309"/>
    </row>
    <row r="5">
      <c r="A5" s="283" t="str">
        <f>IFERROR(__xludf.DUMMYFUNCTION("""COMPUTED_VALUE"""),"")</f>
        <v/>
      </c>
      <c r="B5" s="285" t="str">
        <f>IFERROR(__xludf.DUMMYFUNCTION("""COMPUTED_VALUE"""),"Шлифовальная пластина ""Франкфурт"" 800/630")</f>
        <v>Шлифовальная пластина "Франкфурт" 800/630</v>
      </c>
      <c r="C5" s="287" t="str">
        <f>IFERROR(__xludf.DUMMYFUNCTION("""COMPUTED_VALUE"""),"")</f>
        <v/>
      </c>
      <c r="D5" s="289">
        <f>IFERROR(__xludf.DUMMYFUNCTION("""COMPUTED_VALUE"""),116.0)</f>
        <v>116</v>
      </c>
      <c r="E5" s="291">
        <f>IFERROR(__xludf.DUMMYFUNCTION("""COMPUTED_VALUE"""),98.6)</f>
        <v>98.6</v>
      </c>
      <c r="F5" s="294">
        <f t="shared" si="1"/>
        <v>17.4</v>
      </c>
      <c r="G5" s="313" t="str">
        <f>IFERROR(__xludf.DUMMYFUNCTION("""COMPUTED_VALUE"""),"в наличии")</f>
        <v>в наличии</v>
      </c>
      <c r="H5" s="296" t="str">
        <f>IFERROR(__xludf.DUMMYFUNCTION("""COMPUTED_VALUE"""),"http://isell.by/index.pl?act=PRODUCT&amp;id=252")</f>
        <v>http://isell.by/index.pl?act=PRODUCT&amp;id=252</v>
      </c>
      <c r="I5" s="305" t="str">
        <f>IFERROR(__xludf.DUMMYFUNCTION("""COMPUTED_VALUE"""),"")</f>
        <v/>
      </c>
      <c r="J5" s="305" t="str">
        <f>IFERROR(__xludf.DUMMYFUNCTION("""COMPUTED_VALUE"""),"")</f>
        <v/>
      </c>
      <c r="K5" s="301" t="str">
        <f>IFERROR(__xludf.DUMMYFUNCTION("""COMPUTED_VALUE"""),"")</f>
        <v/>
      </c>
      <c r="L5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5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5" s="309"/>
    </row>
    <row r="6">
      <c r="A6" s="259">
        <f>IFERROR(__xludf.DUMMYFUNCTION("""COMPUTED_VALUE"""),2.0)</f>
        <v>2</v>
      </c>
      <c r="B6" s="261" t="str">
        <f>IFERROR(__xludf.DUMMYFUNCTION("""COMPUTED_VALUE"""),"ВИБРАТОР ГЛУБИННЫЙ")</f>
        <v>ВИБРАТОР ГЛУБИННЫЙ</v>
      </c>
      <c r="C6" s="263" t="str">
        <f>IFERROR(__xludf.DUMMYFUNCTION("""COMPUTED_VALUE"""),"")</f>
        <v/>
      </c>
      <c r="D6" s="265" t="str">
        <f>IFERROR(__xludf.DUMMYFUNCTION("""COMPUTED_VALUE"""),"")</f>
        <v/>
      </c>
      <c r="E6" s="269" t="str">
        <f>IFERROR(__xludf.DUMMYFUNCTION("""COMPUTED_VALUE"""),"")</f>
        <v/>
      </c>
      <c r="F6" s="271"/>
      <c r="G6" s="273" t="str">
        <f>IFERROR(__xludf.DUMMYFUNCTION("""COMPUTED_VALUE"""),"")</f>
        <v/>
      </c>
      <c r="H6" s="275" t="str">
        <f>IFERROR(__xludf.DUMMYFUNCTION("""COMPUTED_VALUE"""),"")</f>
        <v/>
      </c>
      <c r="I6" s="277" t="str">
        <f>IFERROR(__xludf.DUMMYFUNCTION("""COMPUTED_VALUE"""),"")</f>
        <v/>
      </c>
      <c r="J6" s="277" t="str">
        <f>IFERROR(__xludf.DUMMYFUNCTION("""COMPUTED_VALUE"""),"")</f>
        <v/>
      </c>
      <c r="K6" s="279" t="str">
        <f>IFERROR(__xludf.DUMMYFUNCTION("""COMPUTED_VALUE"""),"")</f>
        <v/>
      </c>
      <c r="L6" s="277" t="str">
        <f>IFERROR(__xludf.DUMMYFUNCTION("""COMPUTED_VALUE"""),"")</f>
        <v/>
      </c>
      <c r="M6" s="281" t="str">
        <f>IFERROR(__xludf.DUMMYFUNCTION("""COMPUTED_VALUE"""),"")</f>
        <v/>
      </c>
      <c r="N6" s="281"/>
    </row>
    <row r="7">
      <c r="A7" s="283">
        <f>IFERROR(__xludf.DUMMYFUNCTION("""COMPUTED_VALUE"""),353.0)</f>
        <v>353</v>
      </c>
      <c r="B7" s="315" t="str">
        <f>IFERROR(__xludf.DUMMYFUNCTION("""COMPUTED_VALUE"""),"Вибратор Vektor 35H")</f>
        <v>Вибратор Vektor 35H</v>
      </c>
      <c r="C7" s="316" t="str">
        <f>IFERROR(__xludf.DUMMYFUNCTION("""COMPUTED_VALUE"""),"220 В, 800 Вт")</f>
        <v>220 В, 800 Вт</v>
      </c>
      <c r="D7" s="289">
        <f>IFERROR(__xludf.DUMMYFUNCTION("""COMPUTED_VALUE"""),120.0)</f>
        <v>120</v>
      </c>
      <c r="E7" s="291">
        <f>IFERROR(__xludf.DUMMYFUNCTION("""COMPUTED_VALUE"""),102.0)</f>
        <v>102</v>
      </c>
      <c r="F7" s="294">
        <f t="shared" ref="F7:F10" si="2">D7-E7</f>
        <v>18</v>
      </c>
      <c r="G7" s="313" t="str">
        <f>IFERROR(__xludf.DUMMYFUNCTION("""COMPUTED_VALUE"""),"в наличии")</f>
        <v>в наличии</v>
      </c>
      <c r="H7" s="319" t="str">
        <f>IFERROR(__xludf.DUMMYFUNCTION("""COMPUTED_VALUE"""),"http://isell.by/index.pl?act=PRODUCT&amp;id=353")</f>
        <v>http://isell.by/index.pl?act=PRODUCT&amp;id=353</v>
      </c>
      <c r="I7" s="298" t="str">
        <f>IFERROR(__xludf.DUMMYFUNCTION("""COMPUTED_VALUE"""),"ООО «СибТоргСервис», 630049, г. Новосибирск, Красный проспект, 200, оф. 416")</f>
        <v>ООО «СибТоргСервис», 630049, г. Новосибирск, Красный проспект, 200, оф. 416</v>
      </c>
      <c r="J7" s="298" t="str">
        <f>IFERROR(__xludf.DUMMYFUNCTION("""COMPUTED_VALUE"""),"TEKPAC Engineering Co., Ltd; YAXI INDUSTRY ZONE, LUOSHE TOWN, WUXI, China")</f>
        <v>TEKPAC Engineering Co., Ltd; YAXI INDUSTRY ZONE, LUOSHE TOWN, WUXI, China</v>
      </c>
      <c r="K7" s="301">
        <f>IFERROR(__xludf.DUMMYFUNCTION("""COMPUTED_VALUE"""),6.0)</f>
        <v>6</v>
      </c>
      <c r="L7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7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7" s="309"/>
    </row>
    <row r="8">
      <c r="A8" s="283">
        <f>IFERROR(__xludf.DUMMYFUNCTION("""COMPUTED_VALUE"""),3741.0)</f>
        <v>3741</v>
      </c>
      <c r="B8" s="285" t="str">
        <f>IFERROR(__xludf.DUMMYFUNCTION("""COMPUTED_VALUE"""),"Вал для вибратора 1,2 м с булавой 35мм")</f>
        <v>Вал для вибратора 1,2 м с булавой 35мм</v>
      </c>
      <c r="C8" s="316" t="str">
        <f>IFERROR(__xludf.DUMMYFUNCTION("""COMPUTED_VALUE"""),"-")</f>
        <v>-</v>
      </c>
      <c r="D8" s="289">
        <f>IFERROR(__xludf.DUMMYFUNCTION("""COMPUTED_VALUE"""),85.0)</f>
        <v>85</v>
      </c>
      <c r="E8" s="291">
        <f>IFERROR(__xludf.DUMMYFUNCTION("""COMPUTED_VALUE"""),72.25)</f>
        <v>72.25</v>
      </c>
      <c r="F8" s="294">
        <f t="shared" si="2"/>
        <v>12.75</v>
      </c>
      <c r="G8" s="313" t="str">
        <f>IFERROR(__xludf.DUMMYFUNCTION("""COMPUTED_VALUE"""),"в наличии")</f>
        <v>в наличии</v>
      </c>
      <c r="H8" s="319" t="str">
        <f>IFERROR(__xludf.DUMMYFUNCTION("""COMPUTED_VALUE"""),"http://isell.by/index.pl?act=PRODUCT&amp;id=353")</f>
        <v>http://isell.by/index.pl?act=PRODUCT&amp;id=353</v>
      </c>
      <c r="I8" s="298" t="str">
        <f>IFERROR(__xludf.DUMMYFUNCTION("""COMPUTED_VALUE"""),"ООО «СибТоргСервис», 630049, г. Новосибирск, Красный проспект, 200, оф. 416")</f>
        <v>ООО «СибТоргСервис», 630049, г. Новосибирск, Красный проспект, 200, оф. 416</v>
      </c>
      <c r="J8" s="298" t="str">
        <f>IFERROR(__xludf.DUMMYFUNCTION("""COMPUTED_VALUE"""),"TEKPAC Engineering Co., Ltd; YAXI INDUSTRY ZONE, LUOSHE TOWN, WUXI, China")</f>
        <v>TEKPAC Engineering Co., Ltd; YAXI INDUSTRY ZONE, LUOSHE TOWN, WUXI, China</v>
      </c>
      <c r="K8" s="301" t="str">
        <f>IFERROR(__xludf.DUMMYFUNCTION("""COMPUTED_VALUE"""),"")</f>
        <v/>
      </c>
      <c r="L8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8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8" s="309"/>
    </row>
    <row r="9">
      <c r="A9" s="283">
        <f>IFERROR(__xludf.DUMMYFUNCTION("""COMPUTED_VALUE"""),3742.0)</f>
        <v>3742</v>
      </c>
      <c r="B9" s="285" t="str">
        <f>IFERROR(__xludf.DUMMYFUNCTION("""COMPUTED_VALUE"""),"Вал для вибратора 1,5 м с булавой 35мм")</f>
        <v>Вал для вибратора 1,5 м с булавой 35мм</v>
      </c>
      <c r="C9" s="287" t="str">
        <f>IFERROR(__xludf.DUMMYFUNCTION("""COMPUTED_VALUE"""),"-")</f>
        <v>-</v>
      </c>
      <c r="D9" s="289">
        <f>IFERROR(__xludf.DUMMYFUNCTION("""COMPUTED_VALUE"""),96.0)</f>
        <v>96</v>
      </c>
      <c r="E9" s="291">
        <f>IFERROR(__xludf.DUMMYFUNCTION("""COMPUTED_VALUE"""),81.6)</f>
        <v>81.6</v>
      </c>
      <c r="F9" s="294">
        <f t="shared" si="2"/>
        <v>14.4</v>
      </c>
      <c r="G9" s="313" t="str">
        <f>IFERROR(__xludf.DUMMYFUNCTION("""COMPUTED_VALUE"""),"в наличии")</f>
        <v>в наличии</v>
      </c>
      <c r="H9" s="319" t="str">
        <f>IFERROR(__xludf.DUMMYFUNCTION("""COMPUTED_VALUE"""),"http://isell.by/index.pl?act=PRODUCT&amp;id=353")</f>
        <v>http://isell.by/index.pl?act=PRODUCT&amp;id=353</v>
      </c>
      <c r="I9" s="298" t="str">
        <f>IFERROR(__xludf.DUMMYFUNCTION("""COMPUTED_VALUE"""),"ООО «СибТоргСервис», 630049, г. Новосибирск, Красный проспект, 200, оф. 416")</f>
        <v>ООО «СибТоргСервис», 630049, г. Новосибирск, Красный проспект, 200, оф. 416</v>
      </c>
      <c r="J9" s="298" t="str">
        <f>IFERROR(__xludf.DUMMYFUNCTION("""COMPUTED_VALUE"""),"TEKPAC Engineering Co., Ltd; YAXI INDUSTRY ZONE, LUOSHE TOWN, WUXI, China")</f>
        <v>TEKPAC Engineering Co., Ltd; YAXI INDUSTRY ZONE, LUOSHE TOWN, WUXI, China</v>
      </c>
      <c r="K9" s="301" t="str">
        <f>IFERROR(__xludf.DUMMYFUNCTION("""COMPUTED_VALUE"""),"")</f>
        <v/>
      </c>
      <c r="L9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9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9" s="309"/>
    </row>
    <row r="10">
      <c r="A10" s="283">
        <f>IFERROR(__xludf.DUMMYFUNCTION("""COMPUTED_VALUE"""),3743.0)</f>
        <v>3743</v>
      </c>
      <c r="B10" s="285" t="str">
        <f>IFERROR(__xludf.DUMMYFUNCTION("""COMPUTED_VALUE"""),"Вал для вибратора 2,0 м с булавой 35мм")</f>
        <v>Вал для вибратора 2,0 м с булавой 35мм</v>
      </c>
      <c r="C10" s="287" t="str">
        <f>IFERROR(__xludf.DUMMYFUNCTION("""COMPUTED_VALUE"""),"-")</f>
        <v>-</v>
      </c>
      <c r="D10" s="289">
        <f>IFERROR(__xludf.DUMMYFUNCTION("""COMPUTED_VALUE"""),107.0)</f>
        <v>107</v>
      </c>
      <c r="E10" s="291">
        <f>IFERROR(__xludf.DUMMYFUNCTION("""COMPUTED_VALUE"""),90.95)</f>
        <v>90.95</v>
      </c>
      <c r="F10" s="294">
        <f t="shared" si="2"/>
        <v>16.05</v>
      </c>
      <c r="G10" s="313" t="str">
        <f>IFERROR(__xludf.DUMMYFUNCTION("""COMPUTED_VALUE"""),"под заказ")</f>
        <v>под заказ</v>
      </c>
      <c r="H10" s="319" t="str">
        <f>IFERROR(__xludf.DUMMYFUNCTION("""COMPUTED_VALUE"""),"http://isell.by/index.pl?act=PRODUCT&amp;id=353")</f>
        <v>http://isell.by/index.pl?act=PRODUCT&amp;id=353</v>
      </c>
      <c r="I10" s="298" t="str">
        <f>IFERROR(__xludf.DUMMYFUNCTION("""COMPUTED_VALUE"""),"ООО «СибТоргСервис», 630049, г. Новосибирск, Красный проспект, 200, оф. 416")</f>
        <v>ООО «СибТоргСервис», 630049, г. Новосибирск, Красный проспект, 200, оф. 416</v>
      </c>
      <c r="J10" s="298" t="str">
        <f>IFERROR(__xludf.DUMMYFUNCTION("""COMPUTED_VALUE"""),"TEKPAC Engineering Co., Ltd; YAXI INDUSTRY ZONE, LUOSHE TOWN, WUXI, China")</f>
        <v>TEKPAC Engineering Co., Ltd; YAXI INDUSTRY ZONE, LUOSHE TOWN, WUXI, China</v>
      </c>
      <c r="K10" s="301" t="str">
        <f>IFERROR(__xludf.DUMMYFUNCTION("""COMPUTED_VALUE"""),"")</f>
        <v/>
      </c>
      <c r="L10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10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10" s="309"/>
    </row>
    <row r="11">
      <c r="A11" s="259">
        <f>IFERROR(__xludf.DUMMYFUNCTION("""COMPUTED_VALUE"""),3.0)</f>
        <v>3</v>
      </c>
      <c r="B11" s="261" t="str">
        <f>IFERROR(__xludf.DUMMYFUNCTION("""COMPUTED_VALUE"""),"ВИБРОПЛИТА")</f>
        <v>ВИБРОПЛИТА</v>
      </c>
      <c r="C11" s="263" t="str">
        <f>IFERROR(__xludf.DUMMYFUNCTION("""COMPUTED_VALUE"""),"")</f>
        <v/>
      </c>
      <c r="D11" s="265" t="str">
        <f>IFERROR(__xludf.DUMMYFUNCTION("""COMPUTED_VALUE"""),"")</f>
        <v/>
      </c>
      <c r="E11" s="269" t="str">
        <f>IFERROR(__xludf.DUMMYFUNCTION("""COMPUTED_VALUE"""),"")</f>
        <v/>
      </c>
      <c r="F11" s="271"/>
      <c r="G11" s="273" t="str">
        <f>IFERROR(__xludf.DUMMYFUNCTION("""COMPUTED_VALUE"""),"")</f>
        <v/>
      </c>
      <c r="H11" s="275" t="str">
        <f>IFERROR(__xludf.DUMMYFUNCTION("""COMPUTED_VALUE"""),"")</f>
        <v/>
      </c>
      <c r="I11" s="277" t="str">
        <f>IFERROR(__xludf.DUMMYFUNCTION("""COMPUTED_VALUE"""),"")</f>
        <v/>
      </c>
      <c r="J11" s="277" t="str">
        <f>IFERROR(__xludf.DUMMYFUNCTION("""COMPUTED_VALUE"""),"")</f>
        <v/>
      </c>
      <c r="K11" s="279" t="str">
        <f>IFERROR(__xludf.DUMMYFUNCTION("""COMPUTED_VALUE"""),"")</f>
        <v/>
      </c>
      <c r="L11" s="277" t="str">
        <f>IFERROR(__xludf.DUMMYFUNCTION("""COMPUTED_VALUE"""),"")</f>
        <v/>
      </c>
      <c r="M11" s="281" t="str">
        <f>IFERROR(__xludf.DUMMYFUNCTION("""COMPUTED_VALUE"""),"")</f>
        <v/>
      </c>
      <c r="N11" s="281"/>
    </row>
    <row r="12">
      <c r="A12" s="283">
        <f>IFERROR(__xludf.DUMMYFUNCTION("""COMPUTED_VALUE"""),2889.0)</f>
        <v>2889</v>
      </c>
      <c r="B12" s="315" t="str">
        <f>IFERROR(__xludf.DUMMYFUNCTION("""COMPUTED_VALUE"""),"Виброплита VEKTOR VPG-50A (двиг. Loncin), колеса")</f>
        <v>Виброплита VEKTOR VPG-50A (двиг. Loncin), колеса</v>
      </c>
      <c r="C12" s="316" t="str">
        <f>IFERROR(__xludf.DUMMYFUNCTION("""COMPUTED_VALUE"""),"50 кг")</f>
        <v>50 кг</v>
      </c>
      <c r="D12" s="289">
        <f>IFERROR(__xludf.DUMMYFUNCTION("""COMPUTED_VALUE"""),872.0)</f>
        <v>872</v>
      </c>
      <c r="E12" s="291">
        <f>IFERROR(__xludf.DUMMYFUNCTION("""COMPUTED_VALUE"""),741.1999999999999)</f>
        <v>741.2</v>
      </c>
      <c r="F12" s="294">
        <f t="shared" ref="F12:F13" si="3">D12-E12</f>
        <v>130.8</v>
      </c>
      <c r="G12" s="313" t="str">
        <f>IFERROR(__xludf.DUMMYFUNCTION("""COMPUTED_VALUE"""),"в наличии")</f>
        <v>в наличии</v>
      </c>
      <c r="H12" s="319" t="str">
        <f>IFERROR(__xludf.DUMMYFUNCTION("""COMPUTED_VALUE"""),"http://isell.by/index.pl?act=PRODUCT&amp;id=336")</f>
        <v>http://isell.by/index.pl?act=PRODUCT&amp;id=336</v>
      </c>
      <c r="I12" s="298" t="str">
        <f>IFERROR(__xludf.DUMMYFUNCTION("""COMPUTED_VALUE"""),"ООО «СибТоргСервис», 630049, г. Новосибирск, Красный проспект, 200, оф. 416")</f>
        <v>ООО «СибТоргСервис», 630049, г. Новосибирск, Красный проспект, 200, оф. 416</v>
      </c>
      <c r="J12" s="298" t="str">
        <f>IFERROR(__xludf.DUMMYFUNCTION("""COMPUTED_VALUE"""),"TEKPAC Engineering Co., Ltd; YAXI INDUSTRY ZONE, LUOSHE TOWN, WUXI, China")</f>
        <v>TEKPAC Engineering Co., Ltd; YAXI INDUSTRY ZONE, LUOSHE TOWN, WUXI, China</v>
      </c>
      <c r="K12" s="301">
        <f>IFERROR(__xludf.DUMMYFUNCTION("""COMPUTED_VALUE"""),24.0)</f>
        <v>24</v>
      </c>
      <c r="L12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12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12" s="309"/>
    </row>
    <row r="13">
      <c r="A13" s="283">
        <f>IFERROR(__xludf.DUMMYFUNCTION("""COMPUTED_VALUE"""),3068.0)</f>
        <v>3068</v>
      </c>
      <c r="B13" s="315" t="str">
        <f>IFERROR(__xludf.DUMMYFUNCTION("""COMPUTED_VALUE"""),"Виброплита TEKPAC MS60-4 (Honda GX160)")</f>
        <v>Виброплита TEKPAC MS60-4 (Honda GX160)</v>
      </c>
      <c r="C13" s="287" t="str">
        <f>IFERROR(__xludf.DUMMYFUNCTION("""COMPUTED_VALUE"""),"58 кг")</f>
        <v>58 кг</v>
      </c>
      <c r="D13" s="289">
        <f>IFERROR(__xludf.DUMMYFUNCTION("""COMPUTED_VALUE"""),1473.0)</f>
        <v>1473</v>
      </c>
      <c r="E13" s="291">
        <f>IFERROR(__xludf.DUMMYFUNCTION("""COMPUTED_VALUE"""),1252.05)</f>
        <v>1252.05</v>
      </c>
      <c r="F13" s="294">
        <f t="shared" si="3"/>
        <v>220.95</v>
      </c>
      <c r="G13" s="313" t="str">
        <f>IFERROR(__xludf.DUMMYFUNCTION("""COMPUTED_VALUE"""),"в наличии")</f>
        <v>в наличии</v>
      </c>
      <c r="H13" s="319" t="str">
        <f>IFERROR(__xludf.DUMMYFUNCTION("""COMPUTED_VALUE"""),"http://isell.by/index.pl?act=PRODUCT&amp;id=42")</f>
        <v>http://isell.by/index.pl?act=PRODUCT&amp;id=42</v>
      </c>
      <c r="I13" s="298" t="str">
        <f>IFERROR(__xludf.DUMMYFUNCTION("""COMPUTED_VALUE"""),"TEKPAC Engineering Co., Ltd; YAXI INDUSTRY ZONE, LUOSHE TOWN, WUXI, China")</f>
        <v>TEKPAC Engineering Co., Ltd; YAXI INDUSTRY ZONE, LUOSHE TOWN, WUXI, China</v>
      </c>
      <c r="J13" s="298" t="str">
        <f>IFERROR(__xludf.DUMMYFUNCTION("""COMPUTED_VALUE"""),"TEKPAC Engineering Co., Ltd; YAXI INDUSTRY ZONE, LUOSHE TOWN, WUXI, China")</f>
        <v>TEKPAC Engineering Co., Ltd; YAXI INDUSTRY ZONE, LUOSHE TOWN, WUXI, China</v>
      </c>
      <c r="K13" s="301">
        <f>IFERROR(__xludf.DUMMYFUNCTION("""COMPUTED_VALUE"""),24.0)</f>
        <v>24</v>
      </c>
      <c r="L13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13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13" s="309"/>
    </row>
    <row r="14">
      <c r="A14" s="283" t="str">
        <f>IFERROR(__xludf.DUMMYFUNCTION("""COMPUTED_VALUE"""),"")</f>
        <v/>
      </c>
      <c r="B14" s="333" t="str">
        <f>IFERROR(__xludf.DUMMYFUNCTION("""COMPUTED_VALUE"""),"Опции для плиты MS60-4:")</f>
        <v>Опции для плиты MS60-4:</v>
      </c>
      <c r="C14" s="287" t="str">
        <f>IFERROR(__xludf.DUMMYFUNCTION("""COMPUTED_VALUE"""),"-")</f>
        <v>-</v>
      </c>
      <c r="D14" s="289" t="str">
        <f>IFERROR(__xludf.DUMMYFUNCTION("""COMPUTED_VALUE"""),"")</f>
        <v/>
      </c>
      <c r="E14" s="335" t="str">
        <f>IFERROR(__xludf.DUMMYFUNCTION("""COMPUTED_VALUE"""),"")</f>
        <v/>
      </c>
      <c r="F14" s="294"/>
      <c r="G14" s="313" t="str">
        <f>IFERROR(__xludf.DUMMYFUNCTION("""COMPUTED_VALUE"""),"под заказ")</f>
        <v>под заказ</v>
      </c>
      <c r="H14" s="337" t="str">
        <f>IFERROR(__xludf.DUMMYFUNCTION("""COMPUTED_VALUE"""),"")</f>
        <v/>
      </c>
      <c r="I14" s="305" t="str">
        <f>IFERROR(__xludf.DUMMYFUNCTION("""COMPUTED_VALUE"""),"")</f>
        <v/>
      </c>
      <c r="J14" s="305" t="str">
        <f>IFERROR(__xludf.DUMMYFUNCTION("""COMPUTED_VALUE"""),"")</f>
        <v/>
      </c>
      <c r="K14" s="301" t="str">
        <f>IFERROR(__xludf.DUMMYFUNCTION("""COMPUTED_VALUE"""),"")</f>
        <v/>
      </c>
      <c r="L14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14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14" s="309"/>
    </row>
    <row r="15">
      <c r="A15" s="283">
        <f>IFERROR(__xludf.DUMMYFUNCTION("""COMPUTED_VALUE"""),4132.0)</f>
        <v>4132</v>
      </c>
      <c r="B15" s="340" t="str">
        <f>IFERROR(__xludf.DUMMYFUNCTION("""COMPUTED_VALUE"""),"Бак для воды 60")</f>
        <v>Бак для воды 60</v>
      </c>
      <c r="C15" s="287" t="str">
        <f>IFERROR(__xludf.DUMMYFUNCTION("""COMPUTED_VALUE"""),"-")</f>
        <v>-</v>
      </c>
      <c r="D15" s="289">
        <f>IFERROR(__xludf.DUMMYFUNCTION("""COMPUTED_VALUE"""),61.0)</f>
        <v>61</v>
      </c>
      <c r="E15" s="342">
        <f>IFERROR(__xludf.DUMMYFUNCTION("""COMPUTED_VALUE"""),51.85)</f>
        <v>51.85</v>
      </c>
      <c r="F15" s="294">
        <f t="shared" ref="F15:F24" si="4">D15-E15</f>
        <v>9.15</v>
      </c>
      <c r="G15" s="313" t="str">
        <f>IFERROR(__xludf.DUMMYFUNCTION("""COMPUTED_VALUE"""),"в наличии")</f>
        <v>в наличии</v>
      </c>
      <c r="H15" s="337" t="str">
        <f>IFERROR(__xludf.DUMMYFUNCTION("""COMPUTED_VALUE"""),"")</f>
        <v/>
      </c>
      <c r="I15" s="298" t="str">
        <f>IFERROR(__xludf.DUMMYFUNCTION("""COMPUTED_VALUE"""),"TEKPAC Engineering Co., Ltd; YAXI INDUSTRY ZONE, LUOSHE TOWN, WUXI, China")</f>
        <v>TEKPAC Engineering Co., Ltd; YAXI INDUSTRY ZONE, LUOSHE TOWN, WUXI, China</v>
      </c>
      <c r="J15" s="298" t="str">
        <f>IFERROR(__xludf.DUMMYFUNCTION("""COMPUTED_VALUE"""),"TEKPAC Engineering Co., Ltd; YAXI INDUSTRY ZONE, LUOSHE TOWN, WUXI, China")</f>
        <v>TEKPAC Engineering Co., Ltd; YAXI INDUSTRY ZONE, LUOSHE TOWN, WUXI, China</v>
      </c>
      <c r="K15" s="301">
        <f>IFERROR(__xludf.DUMMYFUNCTION("""COMPUTED_VALUE"""),24.0)</f>
        <v>24</v>
      </c>
      <c r="L15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15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15" s="309"/>
    </row>
    <row r="16">
      <c r="A16" s="283">
        <f>IFERROR(__xludf.DUMMYFUNCTION("""COMPUTED_VALUE"""),4133.0)</f>
        <v>4133</v>
      </c>
      <c r="B16" s="340" t="str">
        <f>IFERROR(__xludf.DUMMYFUNCTION("""COMPUTED_VALUE"""),"Колеса MS60")</f>
        <v>Колеса MS60</v>
      </c>
      <c r="C16" s="287" t="str">
        <f>IFERROR(__xludf.DUMMYFUNCTION("""COMPUTED_VALUE"""),"-")</f>
        <v>-</v>
      </c>
      <c r="D16" s="289">
        <f>IFERROR(__xludf.DUMMYFUNCTION("""COMPUTED_VALUE"""),27.0)</f>
        <v>27</v>
      </c>
      <c r="E16" s="342">
        <f>IFERROR(__xludf.DUMMYFUNCTION("""COMPUTED_VALUE"""),22.95)</f>
        <v>22.95</v>
      </c>
      <c r="F16" s="294">
        <f t="shared" si="4"/>
        <v>4.05</v>
      </c>
      <c r="G16" s="313" t="str">
        <f>IFERROR(__xludf.DUMMYFUNCTION("""COMPUTED_VALUE"""),"в наличии")</f>
        <v>в наличии</v>
      </c>
      <c r="H16" s="337" t="str">
        <f>IFERROR(__xludf.DUMMYFUNCTION("""COMPUTED_VALUE"""),"")</f>
        <v/>
      </c>
      <c r="I16" s="298" t="str">
        <f>IFERROR(__xludf.DUMMYFUNCTION("""COMPUTED_VALUE"""),"TEKPAC Engineering Co., Ltd; YAXI INDUSTRY ZONE, LUOSHE TOWN, WUXI, China")</f>
        <v>TEKPAC Engineering Co., Ltd; YAXI INDUSTRY ZONE, LUOSHE TOWN, WUXI, China</v>
      </c>
      <c r="J16" s="298" t="str">
        <f>IFERROR(__xludf.DUMMYFUNCTION("""COMPUTED_VALUE"""),"TEKPAC Engineering Co., Ltd; YAXI INDUSTRY ZONE, LUOSHE TOWN, WUXI, China")</f>
        <v>TEKPAC Engineering Co., Ltd; YAXI INDUSTRY ZONE, LUOSHE TOWN, WUXI, China</v>
      </c>
      <c r="K16" s="301">
        <f>IFERROR(__xludf.DUMMYFUNCTION("""COMPUTED_VALUE"""),24.0)</f>
        <v>24</v>
      </c>
      <c r="L16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16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16" s="309"/>
    </row>
    <row r="17">
      <c r="A17" s="283">
        <f>IFERROR(__xludf.DUMMYFUNCTION("""COMPUTED_VALUE"""),4139.0)</f>
        <v>4139</v>
      </c>
      <c r="B17" s="340" t="str">
        <f>IFERROR(__xludf.DUMMYFUNCTION("""COMPUTED_VALUE"""),"Резиновый коврик MS60")</f>
        <v>Резиновый коврик MS60</v>
      </c>
      <c r="C17" s="287" t="str">
        <f>IFERROR(__xludf.DUMMYFUNCTION("""COMPUTED_VALUE"""),"-")</f>
        <v>-</v>
      </c>
      <c r="D17" s="289">
        <f>IFERROR(__xludf.DUMMYFUNCTION("""COMPUTED_VALUE"""),94.0)</f>
        <v>94</v>
      </c>
      <c r="E17" s="291">
        <f>IFERROR(__xludf.DUMMYFUNCTION("""COMPUTED_VALUE"""),79.89999999999999)</f>
        <v>79.9</v>
      </c>
      <c r="F17" s="294">
        <f t="shared" si="4"/>
        <v>14.1</v>
      </c>
      <c r="G17" s="313" t="str">
        <f>IFERROR(__xludf.DUMMYFUNCTION("""COMPUTED_VALUE"""),"в наличии")</f>
        <v>в наличии</v>
      </c>
      <c r="H17" s="337" t="str">
        <f>IFERROR(__xludf.DUMMYFUNCTION("""COMPUTED_VALUE"""),"")</f>
        <v/>
      </c>
      <c r="I17" s="298" t="str">
        <f>IFERROR(__xludf.DUMMYFUNCTION("""COMPUTED_VALUE"""),"TEKPAC Engineering Co., Ltd; YAXI INDUSTRY ZONE, LUOSHE TOWN, WUXI, China")</f>
        <v>TEKPAC Engineering Co., Ltd; YAXI INDUSTRY ZONE, LUOSHE TOWN, WUXI, China</v>
      </c>
      <c r="J17" s="298" t="str">
        <f>IFERROR(__xludf.DUMMYFUNCTION("""COMPUTED_VALUE"""),"TEKPAC Engineering Co., Ltd; YAXI INDUSTRY ZONE, LUOSHE TOWN, WUXI, China")</f>
        <v>TEKPAC Engineering Co., Ltd; YAXI INDUSTRY ZONE, LUOSHE TOWN, WUXI, China</v>
      </c>
      <c r="K17" s="301">
        <f>IFERROR(__xludf.DUMMYFUNCTION("""COMPUTED_VALUE"""),24.0)</f>
        <v>24</v>
      </c>
      <c r="L17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17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17" s="309"/>
    </row>
    <row r="18">
      <c r="A18" s="283">
        <f>IFERROR(__xludf.DUMMYFUNCTION("""COMPUTED_VALUE"""),2759.0)</f>
        <v>2759</v>
      </c>
      <c r="B18" s="340" t="str">
        <f>IFERROR(__xludf.DUMMYFUNCTION("""COMPUTED_VALUE"""),"Резиновая пластина 350х550")</f>
        <v>Резиновая пластина 350х550</v>
      </c>
      <c r="C18" s="287" t="str">
        <f>IFERROR(__xludf.DUMMYFUNCTION("""COMPUTED_VALUE"""),"-")</f>
        <v>-</v>
      </c>
      <c r="D18" s="289">
        <f>IFERROR(__xludf.DUMMYFUNCTION("""COMPUTED_VALUE"""),62.0)</f>
        <v>62</v>
      </c>
      <c r="E18" s="342">
        <f>IFERROR(__xludf.DUMMYFUNCTION("""COMPUTED_VALUE"""),52.699999999999996)</f>
        <v>52.7</v>
      </c>
      <c r="F18" s="294">
        <f t="shared" si="4"/>
        <v>9.3</v>
      </c>
      <c r="G18" s="313" t="str">
        <f>IFERROR(__xludf.DUMMYFUNCTION("""COMPUTED_VALUE"""),"в наличии")</f>
        <v>в наличии</v>
      </c>
      <c r="H18" s="337" t="str">
        <f>IFERROR(__xludf.DUMMYFUNCTION("""COMPUTED_VALUE"""),"")</f>
        <v/>
      </c>
      <c r="I18" s="305" t="str">
        <f>IFERROR(__xludf.DUMMYFUNCTION("""COMPUTED_VALUE"""),"")</f>
        <v/>
      </c>
      <c r="J18" s="305" t="str">
        <f>IFERROR(__xludf.DUMMYFUNCTION("""COMPUTED_VALUE"""),"")</f>
        <v/>
      </c>
      <c r="K18" s="301" t="str">
        <f>IFERROR(__xludf.DUMMYFUNCTION("""COMPUTED_VALUE"""),"")</f>
        <v/>
      </c>
      <c r="L18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18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18" s="309"/>
    </row>
    <row r="19">
      <c r="A19" s="283">
        <f>IFERROR(__xludf.DUMMYFUNCTION("""COMPUTED_VALUE"""),4156.0)</f>
        <v>4156</v>
      </c>
      <c r="B19" s="315" t="str">
        <f>IFERROR(__xludf.DUMMYFUNCTION("""COMPUTED_VALUE"""),"Виброплита VEKTOR VPG-90B (двигатель Lifan, бак, колеса)")</f>
        <v>Виброплита VEKTOR VPG-90B (двигатель Lifan, бак, колеса)</v>
      </c>
      <c r="C19" s="287" t="str">
        <f>IFERROR(__xludf.DUMMYFUNCTION("""COMPUTED_VALUE"""),"90 кг")</f>
        <v>90 кг</v>
      </c>
      <c r="D19" s="289">
        <f>IFERROR(__xludf.DUMMYFUNCTION("""COMPUTED_VALUE"""),1248.0)</f>
        <v>1248</v>
      </c>
      <c r="E19" s="291">
        <f>IFERROR(__xludf.DUMMYFUNCTION("""COMPUTED_VALUE"""),1060.8)</f>
        <v>1060.8</v>
      </c>
      <c r="F19" s="294">
        <f t="shared" si="4"/>
        <v>187.2</v>
      </c>
      <c r="G19" s="313" t="str">
        <f>IFERROR(__xludf.DUMMYFUNCTION("""COMPUTED_VALUE"""),"в наличии")</f>
        <v>в наличии</v>
      </c>
      <c r="H19" s="319" t="str">
        <f>IFERROR(__xludf.DUMMYFUNCTION("""COMPUTED_VALUE"""),"http://isell.by/index.pl?act=PRODUCT&amp;id=312")</f>
        <v>http://isell.by/index.pl?act=PRODUCT&amp;id=312</v>
      </c>
      <c r="I19" s="298" t="str">
        <f>IFERROR(__xludf.DUMMYFUNCTION("""COMPUTED_VALUE"""),"ООО «СибТоргСервис», 630049, г. Новосибирск, Красный проспект, 200, оф. 416")</f>
        <v>ООО «СибТоргСервис», 630049, г. Новосибирск, Красный проспект, 200, оф. 416</v>
      </c>
      <c r="J19" s="298" t="str">
        <f>IFERROR(__xludf.DUMMYFUNCTION("""COMPUTED_VALUE"""),"TEKPAC Engineering Co., Ltd; YAXI INDUSTRY ZONE, LUOSHE TOWN, WUXI, China")</f>
        <v>TEKPAC Engineering Co., Ltd; YAXI INDUSTRY ZONE, LUOSHE TOWN, WUXI, China</v>
      </c>
      <c r="K19" s="301">
        <f>IFERROR(__xludf.DUMMYFUNCTION("""COMPUTED_VALUE"""),24.0)</f>
        <v>24</v>
      </c>
      <c r="L19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19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19" s="309"/>
    </row>
    <row r="20" ht="14.25" customHeight="1">
      <c r="A20" s="283">
        <f>IFERROR(__xludf.DUMMYFUNCTION("""COMPUTED_VALUE"""),2760.0)</f>
        <v>2760</v>
      </c>
      <c r="B20" s="340" t="str">
        <f>IFERROR(__xludf.DUMMYFUNCTION("""COMPUTED_VALUE"""),"Резиновая пластина 600х500")</f>
        <v>Резиновая пластина 600х500</v>
      </c>
      <c r="C20" s="287" t="str">
        <f>IFERROR(__xludf.DUMMYFUNCTION("""COMPUTED_VALUE"""),"60х50 см")</f>
        <v>60х50 см</v>
      </c>
      <c r="D20" s="289">
        <f>IFERROR(__xludf.DUMMYFUNCTION("""COMPUTED_VALUE"""),78.0)</f>
        <v>78</v>
      </c>
      <c r="E20" s="342">
        <f>IFERROR(__xludf.DUMMYFUNCTION("""COMPUTED_VALUE"""),66.3)</f>
        <v>66.3</v>
      </c>
      <c r="F20" s="294">
        <f t="shared" si="4"/>
        <v>11.7</v>
      </c>
      <c r="G20" s="313" t="str">
        <f>IFERROR(__xludf.DUMMYFUNCTION("""COMPUTED_VALUE"""),"под заказ")</f>
        <v>под заказ</v>
      </c>
      <c r="H20" s="337" t="str">
        <f>IFERROR(__xludf.DUMMYFUNCTION("""COMPUTED_VALUE"""),"")</f>
        <v/>
      </c>
      <c r="I20" s="305" t="str">
        <f>IFERROR(__xludf.DUMMYFUNCTION("""COMPUTED_VALUE"""),"")</f>
        <v/>
      </c>
      <c r="J20" s="305" t="str">
        <f>IFERROR(__xludf.DUMMYFUNCTION("""COMPUTED_VALUE"""),"")</f>
        <v/>
      </c>
      <c r="K20" s="301" t="str">
        <f>IFERROR(__xludf.DUMMYFUNCTION("""COMPUTED_VALUE"""),"")</f>
        <v/>
      </c>
      <c r="L20" s="305" t="str">
        <f>IFERROR(__xludf.DUMMYFUNCTION("""COMPUTED_VALUE"""),"")</f>
        <v/>
      </c>
      <c r="M20" s="309" t="str">
        <f>IFERROR(__xludf.DUMMYFUNCTION("""COMPUTED_VALUE"""),"")</f>
        <v/>
      </c>
      <c r="N20" s="309"/>
    </row>
    <row r="21">
      <c r="A21" s="283">
        <f>IFERROR(__xludf.DUMMYFUNCTION("""COMPUTED_VALUE"""),4066.0)</f>
        <v>4066</v>
      </c>
      <c r="B21" s="315" t="str">
        <f>IFERROR(__xludf.DUMMYFUNCTION("""COMPUTED_VALUE"""),"Виброплита поступательного движения GROST РС-2248Н")</f>
        <v>Виброплита поступательного движения GROST РС-2248Н</v>
      </c>
      <c r="C21" s="287" t="str">
        <f>IFERROR(__xludf.DUMMYFUNCTION("""COMPUTED_VALUE"""),"120 кг")</f>
        <v>120 кг</v>
      </c>
      <c r="D21" s="289">
        <f>IFERROR(__xludf.DUMMYFUNCTION("""COMPUTED_VALUE"""),2521.0)</f>
        <v>2521</v>
      </c>
      <c r="E21" s="342">
        <f>IFERROR(__xludf.DUMMYFUNCTION("""COMPUTED_VALUE"""),2142.85)</f>
        <v>2142.85</v>
      </c>
      <c r="F21" s="294">
        <f t="shared" si="4"/>
        <v>378.15</v>
      </c>
      <c r="G21" s="313" t="str">
        <f>IFERROR(__xludf.DUMMYFUNCTION("""COMPUTED_VALUE"""),"в наличии")</f>
        <v>в наличии</v>
      </c>
      <c r="H21" s="319" t="str">
        <f>IFERROR(__xludf.DUMMYFUNCTION("""COMPUTED_VALUE"""),"http://isell.by/index.pl?act=PRODUCT&amp;id=297")</f>
        <v>http://isell.by/index.pl?act=PRODUCT&amp;id=297</v>
      </c>
      <c r="I21" s="298" t="str">
        <f>IFERROR(__xludf.DUMMYFUNCTION("""COMPUTED_VALUE"""),"ООО ""ТЕНДЕР"", Адрес: 191040, РОССИЯ, Санкт-Петербург г., Лиговский пр-кт, 42, лит. Б")</f>
        <v>ООО "ТЕНДЕР", Адрес: 191040, РОССИЯ, Санкт-Петербург г., Лиговский пр-кт, 42, лит. Б</v>
      </c>
      <c r="J21" s="298" t="str">
        <f>IFERROR(__xludf.DUMMYFUNCTION("""COMPUTED_VALUE"""),"TEKPAC Engineering Co., Ltd; YAXI INDUSTRY ZONE, LUOSHE TOWN, WUXI, China")</f>
        <v>TEKPAC Engineering Co., Ltd; YAXI INDUSTRY ZONE, LUOSHE TOWN, WUXI, China</v>
      </c>
      <c r="K21" s="301">
        <f>IFERROR(__xludf.DUMMYFUNCTION("""COMPUTED_VALUE"""),24.0)</f>
        <v>24</v>
      </c>
      <c r="L21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21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21" s="309"/>
    </row>
    <row r="22">
      <c r="A22" s="283">
        <f>IFERROR(__xludf.DUMMYFUNCTION("""COMPUTED_VALUE"""),4144.0)</f>
        <v>4144</v>
      </c>
      <c r="B22" s="315" t="str">
        <f>IFERROR(__xludf.DUMMYFUNCTION("""COMPUTED_VALUE"""),"Реверсивная виброплита TP5030-4(Хонда GX270)")</f>
        <v>Реверсивная виброплита TP5030-4(Хонда GX270)</v>
      </c>
      <c r="C22" s="287" t="str">
        <f>IFERROR(__xludf.DUMMYFUNCTION("""COMPUTED_VALUE"""),"165 кг")</f>
        <v>165 кг</v>
      </c>
      <c r="D22" s="289">
        <f>IFERROR(__xludf.DUMMYFUNCTION("""COMPUTED_VALUE"""),4742.0)</f>
        <v>4742</v>
      </c>
      <c r="E22" s="342">
        <f>IFERROR(__xludf.DUMMYFUNCTION("""COMPUTED_VALUE"""),4030.7)</f>
        <v>4030.7</v>
      </c>
      <c r="F22" s="294">
        <f t="shared" si="4"/>
        <v>711.3</v>
      </c>
      <c r="G22" s="313" t="str">
        <f>IFERROR(__xludf.DUMMYFUNCTION("""COMPUTED_VALUE"""),"в наличии")</f>
        <v>в наличии</v>
      </c>
      <c r="H22" s="319" t="str">
        <f>IFERROR(__xludf.DUMMYFUNCTION("""COMPUTED_VALUE"""),"http://isell.by/index.pl?act=PRODUCT&amp;id=230")</f>
        <v>http://isell.by/index.pl?act=PRODUCT&amp;id=230</v>
      </c>
      <c r="I22" s="298" t="str">
        <f>IFERROR(__xludf.DUMMYFUNCTION("""COMPUTED_VALUE"""),"TEKPAC Engineering Co., Ltd; YAXI INDUSTRY ZONE, LUOSHE TOWN, WUXI, China")</f>
        <v>TEKPAC Engineering Co., Ltd; YAXI INDUSTRY ZONE, LUOSHE TOWN, WUXI, China</v>
      </c>
      <c r="J22" s="298" t="str">
        <f>IFERROR(__xludf.DUMMYFUNCTION("""COMPUTED_VALUE"""),"TEKPAC Engineering Co., Ltd; YAXI INDUSTRY ZONE, LUOSHE TOWN, WUXI, China")</f>
        <v>TEKPAC Engineering Co., Ltd; YAXI INDUSTRY ZONE, LUOSHE TOWN, WUXI, China</v>
      </c>
      <c r="K22" s="301">
        <f>IFERROR(__xludf.DUMMYFUNCTION("""COMPUTED_VALUE"""),24.0)</f>
        <v>24</v>
      </c>
      <c r="L22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22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22" s="309"/>
    </row>
    <row r="23">
      <c r="A23" s="283">
        <f>IFERROR(__xludf.DUMMYFUNCTION("""COMPUTED_VALUE"""),4530.0)</f>
        <v>4530</v>
      </c>
      <c r="B23" s="315" t="str">
        <f>IFERROR(__xludf.DUMMYFUNCTION("""COMPUTED_VALUE"""),"Виброплита реверсивная GROST PCR-4048CH - под заказ")</f>
        <v>Виброплита реверсивная GROST PCR-4048CH - под заказ</v>
      </c>
      <c r="C23" s="287" t="str">
        <f>IFERROR(__xludf.DUMMYFUNCTION("""COMPUTED_VALUE"""),"244 кг")</f>
        <v>244 кг</v>
      </c>
      <c r="D23" s="289">
        <f>IFERROR(__xludf.DUMMYFUNCTION("""COMPUTED_VALUE"""),6206.0)</f>
        <v>6206</v>
      </c>
      <c r="E23" s="342">
        <f>IFERROR(__xludf.DUMMYFUNCTION("""COMPUTED_VALUE"""),5275.099999999999)</f>
        <v>5275.1</v>
      </c>
      <c r="F23" s="294">
        <f t="shared" si="4"/>
        <v>930.9</v>
      </c>
      <c r="G23" s="313" t="str">
        <f>IFERROR(__xludf.DUMMYFUNCTION("""COMPUTED_VALUE"""),"под заказ")</f>
        <v>под заказ</v>
      </c>
      <c r="H23" s="319" t="str">
        <f>IFERROR(__xludf.DUMMYFUNCTION("""COMPUTED_VALUE"""),"http://isell.by/index.pl?act=PRODUCT&amp;id=230")</f>
        <v>http://isell.by/index.pl?act=PRODUCT&amp;id=230</v>
      </c>
      <c r="I23" s="298" t="str">
        <f>IFERROR(__xludf.DUMMYFUNCTION("""COMPUTED_VALUE"""),"ООО ""ТЕНДЕР"", Адрес: 191040, РОССИЯ, Санкт-Петербург г., Лиговский пр-кт, 42, лит. Б")</f>
        <v>ООО "ТЕНДЕР", Адрес: 191040, РОССИЯ, Санкт-Петербург г., Лиговский пр-кт, 42, лит. Б</v>
      </c>
      <c r="J23" s="298" t="str">
        <f>IFERROR(__xludf.DUMMYFUNCTION("""COMPUTED_VALUE"""),"TEKPAC Engineering Co., Ltd; YAXI INDUSTRY ZONE, LUOSHE TOWN, WUXI, China")</f>
        <v>TEKPAC Engineering Co., Ltd; YAXI INDUSTRY ZONE, LUOSHE TOWN, WUXI, China</v>
      </c>
      <c r="K23" s="301">
        <f>IFERROR(__xludf.DUMMYFUNCTION("""COMPUTED_VALUE"""),24.0)</f>
        <v>24</v>
      </c>
      <c r="L23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23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23" s="309"/>
    </row>
    <row r="24">
      <c r="A24" s="283">
        <f>IFERROR(__xludf.DUMMYFUNCTION("""COMPUTED_VALUE"""),4532.0)</f>
        <v>4532</v>
      </c>
      <c r="B24" s="315" t="str">
        <f>IFERROR(__xludf.DUMMYFUNCTION("""COMPUTED_VALUE"""),"Виброплита реверсивная Masalta MS330-4 - под заказ")</f>
        <v>Виброплита реверсивная Masalta MS330-4 - под заказ</v>
      </c>
      <c r="C24" s="287" t="str">
        <f>IFERROR(__xludf.DUMMYFUNCTION("""COMPUTED_VALUE"""),"330 кг")</f>
        <v>330 кг</v>
      </c>
      <c r="D24" s="289">
        <f>IFERROR(__xludf.DUMMYFUNCTION("""COMPUTED_VALUE"""),7948.0)</f>
        <v>7948</v>
      </c>
      <c r="E24" s="342">
        <f>IFERROR(__xludf.DUMMYFUNCTION("""COMPUTED_VALUE"""),6755.8)</f>
        <v>6755.8</v>
      </c>
      <c r="F24" s="294">
        <f t="shared" si="4"/>
        <v>1192.2</v>
      </c>
      <c r="G24" s="313" t="str">
        <f>IFERROR(__xludf.DUMMYFUNCTION("""COMPUTED_VALUE"""),"под заказ")</f>
        <v>под заказ</v>
      </c>
      <c r="H24" s="319" t="str">
        <f>IFERROR(__xludf.DUMMYFUNCTION("""COMPUTED_VALUE"""),"http://isell.by/index.pl?act=PRODUCT&amp;id=299")</f>
        <v>http://isell.by/index.pl?act=PRODUCT&amp;id=299</v>
      </c>
      <c r="I24" s="305" t="str">
        <f>IFERROR(__xludf.DUMMYFUNCTION("""COMPUTED_VALUE"""),"")</f>
        <v/>
      </c>
      <c r="J24" s="305" t="str">
        <f>IFERROR(__xludf.DUMMYFUNCTION("""COMPUTED_VALUE"""),"")</f>
        <v/>
      </c>
      <c r="K24" s="301">
        <f>IFERROR(__xludf.DUMMYFUNCTION("""COMPUTED_VALUE"""),24.0)</f>
        <v>24</v>
      </c>
      <c r="L24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24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24" s="309"/>
    </row>
    <row r="25">
      <c r="A25" s="259">
        <f>IFERROR(__xludf.DUMMYFUNCTION("""COMPUTED_VALUE"""),4.0)</f>
        <v>4</v>
      </c>
      <c r="B25" s="261" t="str">
        <f>IFERROR(__xludf.DUMMYFUNCTION("""COMPUTED_VALUE"""),"ВИБРОРЕЙКА")</f>
        <v>ВИБРОРЕЙКА</v>
      </c>
      <c r="C25" s="263" t="str">
        <f>IFERROR(__xludf.DUMMYFUNCTION("""COMPUTED_VALUE"""),"")</f>
        <v/>
      </c>
      <c r="D25" s="265" t="str">
        <f>IFERROR(__xludf.DUMMYFUNCTION("""COMPUTED_VALUE"""),"")</f>
        <v/>
      </c>
      <c r="E25" s="269" t="str">
        <f>IFERROR(__xludf.DUMMYFUNCTION("""COMPUTED_VALUE"""),"")</f>
        <v/>
      </c>
      <c r="F25" s="271"/>
      <c r="G25" s="273" t="str">
        <f>IFERROR(__xludf.DUMMYFUNCTION("""COMPUTED_VALUE"""),"")</f>
        <v/>
      </c>
      <c r="H25" s="275" t="str">
        <f>IFERROR(__xludf.DUMMYFUNCTION("""COMPUTED_VALUE"""),"")</f>
        <v/>
      </c>
      <c r="I25" s="277" t="str">
        <f>IFERROR(__xludf.DUMMYFUNCTION("""COMPUTED_VALUE"""),"")</f>
        <v/>
      </c>
      <c r="J25" s="277" t="str">
        <f>IFERROR(__xludf.DUMMYFUNCTION("""COMPUTED_VALUE"""),"")</f>
        <v/>
      </c>
      <c r="K25" s="279" t="str">
        <f>IFERROR(__xludf.DUMMYFUNCTION("""COMPUTED_VALUE"""),"")</f>
        <v/>
      </c>
      <c r="L25" s="277" t="str">
        <f>IFERROR(__xludf.DUMMYFUNCTION("""COMPUTED_VALUE"""),"")</f>
        <v/>
      </c>
      <c r="M25" s="281" t="str">
        <f>IFERROR(__xludf.DUMMYFUNCTION("""COMPUTED_VALUE"""),"")</f>
        <v/>
      </c>
      <c r="N25" s="281"/>
    </row>
    <row r="26">
      <c r="A26" s="283">
        <f>IFERROR(__xludf.DUMMYFUNCTION("""COMPUTED_VALUE"""),3674.0)</f>
        <v>3674</v>
      </c>
      <c r="B26" s="315" t="str">
        <f>IFERROR(__xludf.DUMMYFUNCTION("""COMPUTED_VALUE"""),"Виброрейка GROST QVRM")</f>
        <v>Виброрейка GROST QVRM</v>
      </c>
      <c r="C26" s="287" t="str">
        <f>IFERROR(__xludf.DUMMYFUNCTION("""COMPUTED_VALUE"""),"бенз. двиг. 1,4 л.с.")</f>
        <v>бенз. двиг. 1,4 л.с.</v>
      </c>
      <c r="D26" s="289">
        <f>IFERROR(__xludf.DUMMYFUNCTION("""COMPUTED_VALUE"""),1273.0)</f>
        <v>1273</v>
      </c>
      <c r="E26" s="342">
        <f>IFERROR(__xludf.DUMMYFUNCTION("""COMPUTED_VALUE"""),1082.05)</f>
        <v>1082.05</v>
      </c>
      <c r="F26" s="294">
        <f t="shared" ref="F26:F34" si="5">D26-E26</f>
        <v>190.95</v>
      </c>
      <c r="G26" s="313" t="str">
        <f>IFERROR(__xludf.DUMMYFUNCTION("""COMPUTED_VALUE"""),"в наличии")</f>
        <v>в наличии</v>
      </c>
      <c r="H26" s="319" t="str">
        <f>IFERROR(__xludf.DUMMYFUNCTION("""COMPUTED_VALUE"""),"http://isell.by/index.pl?act=PRODUCT&amp;id=137")</f>
        <v>http://isell.by/index.pl?act=PRODUCT&amp;id=137</v>
      </c>
      <c r="I26" s="298" t="str">
        <f>IFERROR(__xludf.DUMMYFUNCTION("""COMPUTED_VALUE"""),"ООО ""ТЕНДЕР"", Адрес: 191040, РОССИЯ, Санкт-Петербург г., Лиговский пр-кт, 42, лит. Б")</f>
        <v>ООО "ТЕНДЕР", Адрес: 191040, РОССИЯ, Санкт-Петербург г., Лиговский пр-кт, 42, лит. Б</v>
      </c>
      <c r="J26" s="298" t="str">
        <f>IFERROR(__xludf.DUMMYFUNCTION("""COMPUTED_VALUE"""),"TEKPAC Engineering Co., Ltd; YAXI INDUSTRY ZONE, LUOSHE TOWN, WUXI, China")</f>
        <v>TEKPAC Engineering Co., Ltd; YAXI INDUSTRY ZONE, LUOSHE TOWN, WUXI, China</v>
      </c>
      <c r="K26" s="301">
        <f>IFERROR(__xludf.DUMMYFUNCTION("""COMPUTED_VALUE"""),24.0)</f>
        <v>24</v>
      </c>
      <c r="L26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26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26" s="309"/>
    </row>
    <row r="27">
      <c r="A27" s="283" t="str">
        <f>IFERROR(__xludf.DUMMYFUNCTION("""COMPUTED_VALUE"""),"")</f>
        <v/>
      </c>
      <c r="B27" s="361" t="str">
        <f>IFERROR(__xludf.DUMMYFUNCTION("""COMPUTED_VALUE"""),"Выравнивающий профиль 1,8 м для QVRM")</f>
        <v>Выравнивающий профиль 1,8 м для QVRM</v>
      </c>
      <c r="C27" s="287" t="str">
        <f>IFERROR(__xludf.DUMMYFUNCTION("""COMPUTED_VALUE"""),"алюмин., 1,8 м")</f>
        <v>алюмин., 1,8 м</v>
      </c>
      <c r="D27" s="289">
        <f>IFERROR(__xludf.DUMMYFUNCTION("""COMPUTED_VALUE"""),225.0)</f>
        <v>225</v>
      </c>
      <c r="E27" s="342">
        <f>IFERROR(__xludf.DUMMYFUNCTION("""COMPUTED_VALUE"""),191.25)</f>
        <v>191.25</v>
      </c>
      <c r="F27" s="294">
        <f t="shared" si="5"/>
        <v>33.75</v>
      </c>
      <c r="G27" s="313" t="str">
        <f>IFERROR(__xludf.DUMMYFUNCTION("""COMPUTED_VALUE"""),"под заказ")</f>
        <v>под заказ</v>
      </c>
      <c r="H27" s="337" t="str">
        <f>IFERROR(__xludf.DUMMYFUNCTION("""COMPUTED_VALUE"""),"")</f>
        <v/>
      </c>
      <c r="I27" s="298" t="str">
        <f>IFERROR(__xludf.DUMMYFUNCTION("""COMPUTED_VALUE"""),"ООО ""ТЕНДЕР"", Адрес: 191040, РОССИЯ, Санкт-Петербург г., Лиговский пр-кт, 42, лит. Б")</f>
        <v>ООО "ТЕНДЕР", Адрес: 191040, РОССИЯ, Санкт-Петербург г., Лиговский пр-кт, 42, лит. Б</v>
      </c>
      <c r="J27" s="298" t="str">
        <f>IFERROR(__xludf.DUMMYFUNCTION("""COMPUTED_VALUE"""),"TEKPAC Engineering Co., Ltd; YAXI INDUSTRY ZONE, LUOSHE TOWN, WUXI, China")</f>
        <v>TEKPAC Engineering Co., Ltd; YAXI INDUSTRY ZONE, LUOSHE TOWN, WUXI, China</v>
      </c>
      <c r="K27" s="301" t="str">
        <f>IFERROR(__xludf.DUMMYFUNCTION("""COMPUTED_VALUE"""),"")</f>
        <v/>
      </c>
      <c r="L27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27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27" s="309"/>
    </row>
    <row r="28">
      <c r="A28" s="283">
        <f>IFERROR(__xludf.DUMMYFUNCTION("""COMPUTED_VALUE"""),2648.0)</f>
        <v>2648</v>
      </c>
      <c r="B28" s="361" t="str">
        <f>IFERROR(__xludf.DUMMYFUNCTION("""COMPUTED_VALUE"""),"Выравнивающий профиль 3 м для QVRM")</f>
        <v>Выравнивающий профиль 3 м для QVRM</v>
      </c>
      <c r="C28" s="287" t="str">
        <f>IFERROR(__xludf.DUMMYFUNCTION("""COMPUTED_VALUE"""),"алюмин., 3 м")</f>
        <v>алюмин., 3 м</v>
      </c>
      <c r="D28" s="289">
        <f>IFERROR(__xludf.DUMMYFUNCTION("""COMPUTED_VALUE"""),380.0)</f>
        <v>380</v>
      </c>
      <c r="E28" s="342">
        <f>IFERROR(__xludf.DUMMYFUNCTION("""COMPUTED_VALUE"""),323.0)</f>
        <v>323</v>
      </c>
      <c r="F28" s="294">
        <f t="shared" si="5"/>
        <v>57</v>
      </c>
      <c r="G28" s="313" t="str">
        <f>IFERROR(__xludf.DUMMYFUNCTION("""COMPUTED_VALUE"""),"под заказ")</f>
        <v>под заказ</v>
      </c>
      <c r="H28" s="337" t="str">
        <f>IFERROR(__xludf.DUMMYFUNCTION("""COMPUTED_VALUE"""),"")</f>
        <v/>
      </c>
      <c r="I28" s="298" t="str">
        <f>IFERROR(__xludf.DUMMYFUNCTION("""COMPUTED_VALUE"""),"ООО ""ТЕНДЕР"", Адрес: 191040, РОССИЯ, Санкт-Петербург г., Лиговский пр-кт, 42, лит. Б")</f>
        <v>ООО "ТЕНДЕР", Адрес: 191040, РОССИЯ, Санкт-Петербург г., Лиговский пр-кт, 42, лит. Б</v>
      </c>
      <c r="J28" s="298" t="str">
        <f>IFERROR(__xludf.DUMMYFUNCTION("""COMPUTED_VALUE"""),"TEKPAC Engineering Co., Ltd; YAXI INDUSTRY ZONE, LUOSHE TOWN, WUXI, China")</f>
        <v>TEKPAC Engineering Co., Ltd; YAXI INDUSTRY ZONE, LUOSHE TOWN, WUXI, China</v>
      </c>
      <c r="K28" s="301" t="str">
        <f>IFERROR(__xludf.DUMMYFUNCTION("""COMPUTED_VALUE"""),"")</f>
        <v/>
      </c>
      <c r="L28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28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28" s="309"/>
    </row>
    <row r="29">
      <c r="A29" s="283">
        <f>IFERROR(__xludf.DUMMYFUNCTION("""COMPUTED_VALUE"""),2885.0)</f>
        <v>2885</v>
      </c>
      <c r="B29" s="361" t="str">
        <f>IFERROR(__xludf.DUMMYFUNCTION("""COMPUTED_VALUE"""),"Выравнивающий профиль 4,3 м для QVRM")</f>
        <v>Выравнивающий профиль 4,3 м для QVRM</v>
      </c>
      <c r="C29" s="287" t="str">
        <f>IFERROR(__xludf.DUMMYFUNCTION("""COMPUTED_VALUE"""),"алюмин., 4.3 м")</f>
        <v>алюмин., 4.3 м</v>
      </c>
      <c r="D29" s="289">
        <f>IFERROR(__xludf.DUMMYFUNCTION("""COMPUTED_VALUE"""),544.0)</f>
        <v>544</v>
      </c>
      <c r="E29" s="342">
        <f>IFERROR(__xludf.DUMMYFUNCTION("""COMPUTED_VALUE"""),462.4)</f>
        <v>462.4</v>
      </c>
      <c r="F29" s="294">
        <f t="shared" si="5"/>
        <v>81.6</v>
      </c>
      <c r="G29" s="313" t="str">
        <f>IFERROR(__xludf.DUMMYFUNCTION("""COMPUTED_VALUE"""),"под заказ")</f>
        <v>под заказ</v>
      </c>
      <c r="H29" s="337" t="str">
        <f>IFERROR(__xludf.DUMMYFUNCTION("""COMPUTED_VALUE"""),"")</f>
        <v/>
      </c>
      <c r="I29" s="298" t="str">
        <f>IFERROR(__xludf.DUMMYFUNCTION("""COMPUTED_VALUE"""),"ООО ""ТЕНДЕР"", Адрес: 191040, РОССИЯ, Санкт-Петербург г., Лиговский пр-кт, 42, лит. Б")</f>
        <v>ООО "ТЕНДЕР", Адрес: 191040, РОССИЯ, Санкт-Петербург г., Лиговский пр-кт, 42, лит. Б</v>
      </c>
      <c r="J29" s="298" t="str">
        <f>IFERROR(__xludf.DUMMYFUNCTION("""COMPUTED_VALUE"""),"TEKPAC Engineering Co., Ltd; YAXI INDUSTRY ZONE, LUOSHE TOWN, WUXI, China")</f>
        <v>TEKPAC Engineering Co., Ltd; YAXI INDUSTRY ZONE, LUOSHE TOWN, WUXI, China</v>
      </c>
      <c r="K29" s="301" t="str">
        <f>IFERROR(__xludf.DUMMYFUNCTION("""COMPUTED_VALUE"""),"")</f>
        <v/>
      </c>
      <c r="L29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29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29" s="309"/>
    </row>
    <row r="30">
      <c r="A30" s="283">
        <f>IFERROR(__xludf.DUMMYFUNCTION("""COMPUTED_VALUE"""),2918.0)</f>
        <v>2918</v>
      </c>
      <c r="B30" s="361" t="str">
        <f>IFERROR(__xludf.DUMMYFUNCTION("""COMPUTED_VALUE"""),"Рейка выравнивающая 2,5 м VSG-2.5")</f>
        <v>Рейка выравнивающая 2,5 м VSG-2.5</v>
      </c>
      <c r="C30" s="287" t="str">
        <f>IFERROR(__xludf.DUMMYFUNCTION("""COMPUTED_VALUE"""),"алюмин., 2.5м")</f>
        <v>алюмин., 2.5м</v>
      </c>
      <c r="D30" s="289">
        <f>IFERROR(__xludf.DUMMYFUNCTION("""COMPUTED_VALUE"""),289.0)</f>
        <v>289</v>
      </c>
      <c r="E30" s="291">
        <f>IFERROR(__xludf.DUMMYFUNCTION("""COMPUTED_VALUE"""),245.65)</f>
        <v>245.65</v>
      </c>
      <c r="F30" s="294">
        <f t="shared" si="5"/>
        <v>43.35</v>
      </c>
      <c r="G30" s="313" t="str">
        <f>IFERROR(__xludf.DUMMYFUNCTION("""COMPUTED_VALUE"""),"в наличии")</f>
        <v>в наличии</v>
      </c>
      <c r="H30" s="362" t="str">
        <f>IFERROR(__xludf.DUMMYFUNCTION("""COMPUTED_VALUE"""),"")</f>
        <v/>
      </c>
      <c r="I30" s="298" t="str">
        <f>IFERROR(__xludf.DUMMYFUNCTION("""COMPUTED_VALUE"""),"ООО «СибТоргСервис», 630049, г. Новосибирск, Красный проспект, 200, оф. 416")</f>
        <v>ООО «СибТоргСервис», 630049, г. Новосибирск, Красный проспект, 200, оф. 416</v>
      </c>
      <c r="J30" s="298" t="str">
        <f>IFERROR(__xludf.DUMMYFUNCTION("""COMPUTED_VALUE"""),"TEKPAC Engineering Co., Ltd; YAXI INDUSTRY ZONE, LUOSHE TOWN, WUXI, China")</f>
        <v>TEKPAC Engineering Co., Ltd; YAXI INDUSTRY ZONE, LUOSHE TOWN, WUXI, China</v>
      </c>
      <c r="K30" s="301" t="str">
        <f>IFERROR(__xludf.DUMMYFUNCTION("""COMPUTED_VALUE"""),"")</f>
        <v/>
      </c>
      <c r="L30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30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30" s="309"/>
    </row>
    <row r="31">
      <c r="A31" s="283" t="str">
        <f>IFERROR(__xludf.DUMMYFUNCTION("""COMPUTED_VALUE"""),"")</f>
        <v/>
      </c>
      <c r="B31" s="315" t="str">
        <f>IFERROR(__xludf.DUMMYFUNCTION("""COMPUTED_VALUE"""),"Головная секция 3 м виброрейки GROST SVR с двигателем - под заказ")</f>
        <v>Головная секция 3 м виброрейки GROST SVR с двигателем - под заказ</v>
      </c>
      <c r="C31" s="287" t="str">
        <f>IFERROR(__xludf.DUMMYFUNCTION("""COMPUTED_VALUE"""),"Honda GX270")</f>
        <v>Honda GX270</v>
      </c>
      <c r="D31" s="289">
        <f>IFERROR(__xludf.DUMMYFUNCTION("""COMPUTED_VALUE"""),7150.0)</f>
        <v>7150</v>
      </c>
      <c r="E31" s="291">
        <f>IFERROR(__xludf.DUMMYFUNCTION("""COMPUTED_VALUE"""),6077.5)</f>
        <v>6077.5</v>
      </c>
      <c r="F31" s="294">
        <f t="shared" si="5"/>
        <v>1072.5</v>
      </c>
      <c r="G31" s="313" t="str">
        <f>IFERROR(__xludf.DUMMYFUNCTION("""COMPUTED_VALUE"""),"под заказ")</f>
        <v>под заказ</v>
      </c>
      <c r="H31" s="319" t="str">
        <f>IFERROR(__xludf.DUMMYFUNCTION("""COMPUTED_VALUE"""),"http://isell.by/index.pl?act=PRODUCT&amp;id=497")</f>
        <v>http://isell.by/index.pl?act=PRODUCT&amp;id=497</v>
      </c>
      <c r="I31" s="298" t="str">
        <f>IFERROR(__xludf.DUMMYFUNCTION("""COMPUTED_VALUE"""),"ООО ""ТЕНДЕР"", Адрес: 191040, РОССИЯ, Санкт-Петербург г., Лиговский пр-кт, 42, лит. Б")</f>
        <v>ООО "ТЕНДЕР", Адрес: 191040, РОССИЯ, Санкт-Петербург г., Лиговский пр-кт, 42, лит. Б</v>
      </c>
      <c r="J31" s="298" t="str">
        <f>IFERROR(__xludf.DUMMYFUNCTION("""COMPUTED_VALUE"""),"TEKPAC Engineering Co., Ltd; YAXI INDUSTRY ZONE, LUOSHE TOWN, WUXI, China")</f>
        <v>TEKPAC Engineering Co., Ltd; YAXI INDUSTRY ZONE, LUOSHE TOWN, WUXI, China</v>
      </c>
      <c r="K31" s="301">
        <f>IFERROR(__xludf.DUMMYFUNCTION("""COMPUTED_VALUE"""),24.0)</f>
        <v>24</v>
      </c>
      <c r="L31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31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31" s="309"/>
    </row>
    <row r="32">
      <c r="A32" s="283" t="str">
        <f>IFERROR(__xludf.DUMMYFUNCTION("""COMPUTED_VALUE"""),"")</f>
        <v/>
      </c>
      <c r="B32" s="361" t="str">
        <f>IFERROR(__xludf.DUMMYFUNCTION("""COMPUTED_VALUE"""),"Конечная секция 1,5 м виброрейки GROST SVR")</f>
        <v>Конечная секция 1,5 м виброрейки GROST SVR</v>
      </c>
      <c r="C32" s="287" t="str">
        <f>IFERROR(__xludf.DUMMYFUNCTION("""COMPUTED_VALUE"""),"-")</f>
        <v>-</v>
      </c>
      <c r="D32" s="289">
        <f>IFERROR(__xludf.DUMMYFUNCTION("""COMPUTED_VALUE"""),1891.0)</f>
        <v>1891</v>
      </c>
      <c r="E32" s="291">
        <f>IFERROR(__xludf.DUMMYFUNCTION("""COMPUTED_VALUE"""),1607.35)</f>
        <v>1607.35</v>
      </c>
      <c r="F32" s="294">
        <f t="shared" si="5"/>
        <v>283.65</v>
      </c>
      <c r="G32" s="313" t="str">
        <f>IFERROR(__xludf.DUMMYFUNCTION("""COMPUTED_VALUE"""),"под заказ")</f>
        <v>под заказ</v>
      </c>
      <c r="H32" s="337" t="str">
        <f>IFERROR(__xludf.DUMMYFUNCTION("""COMPUTED_VALUE"""),"")</f>
        <v/>
      </c>
      <c r="I32" s="298" t="str">
        <f>IFERROR(__xludf.DUMMYFUNCTION("""COMPUTED_VALUE"""),"ООО ""ТЕНДЕР"", Адрес: 191040, РОССИЯ, Санкт-Петербург г., Лиговский пр-кт, 42, лит. Б")</f>
        <v>ООО "ТЕНДЕР", Адрес: 191040, РОССИЯ, Санкт-Петербург г., Лиговский пр-кт, 42, лит. Б</v>
      </c>
      <c r="J32" s="298" t="str">
        <f>IFERROR(__xludf.DUMMYFUNCTION("""COMPUTED_VALUE"""),"TEKPAC Engineering Co., Ltd; YAXI INDUSTRY ZONE, LUOSHE TOWN, WUXI, China")</f>
        <v>TEKPAC Engineering Co., Ltd; YAXI INDUSTRY ZONE, LUOSHE TOWN, WUXI, China</v>
      </c>
      <c r="K32" s="301" t="str">
        <f>IFERROR(__xludf.DUMMYFUNCTION("""COMPUTED_VALUE"""),"")</f>
        <v/>
      </c>
      <c r="L32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32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32" s="309"/>
    </row>
    <row r="33">
      <c r="A33" s="283" t="str">
        <f>IFERROR(__xludf.DUMMYFUNCTION("""COMPUTED_VALUE"""),"")</f>
        <v/>
      </c>
      <c r="B33" s="361" t="str">
        <f>IFERROR(__xludf.DUMMYFUNCTION("""COMPUTED_VALUE"""),"Промежуточная секция 1 м виброрейки GROST SVR")</f>
        <v>Промежуточная секция 1 м виброрейки GROST SVR</v>
      </c>
      <c r="C33" s="287" t="str">
        <f>IFERROR(__xludf.DUMMYFUNCTION("""COMPUTED_VALUE"""),"-")</f>
        <v>-</v>
      </c>
      <c r="D33" s="289">
        <f>IFERROR(__xludf.DUMMYFUNCTION("""COMPUTED_VALUE"""),1071.0)</f>
        <v>1071</v>
      </c>
      <c r="E33" s="291">
        <f>IFERROR(__xludf.DUMMYFUNCTION("""COMPUTED_VALUE"""),910.35)</f>
        <v>910.35</v>
      </c>
      <c r="F33" s="294">
        <f t="shared" si="5"/>
        <v>160.65</v>
      </c>
      <c r="G33" s="313" t="str">
        <f>IFERROR(__xludf.DUMMYFUNCTION("""COMPUTED_VALUE"""),"под заказ")</f>
        <v>под заказ</v>
      </c>
      <c r="H33" s="362" t="str">
        <f>IFERROR(__xludf.DUMMYFUNCTION("""COMPUTED_VALUE"""),"")</f>
        <v/>
      </c>
      <c r="I33" s="298" t="str">
        <f>IFERROR(__xludf.DUMMYFUNCTION("""COMPUTED_VALUE"""),"ООО ""ТЕНДЕР"", Адрес: 191040, РОССИЯ, Санкт-Петербург г., Лиговский пр-кт, 42, лит. Б")</f>
        <v>ООО "ТЕНДЕР", Адрес: 191040, РОССИЯ, Санкт-Петербург г., Лиговский пр-кт, 42, лит. Б</v>
      </c>
      <c r="J33" s="298" t="str">
        <f>IFERROR(__xludf.DUMMYFUNCTION("""COMPUTED_VALUE"""),"TEKPAC Engineering Co., Ltd; YAXI INDUSTRY ZONE, LUOSHE TOWN, WUXI, China")</f>
        <v>TEKPAC Engineering Co., Ltd; YAXI INDUSTRY ZONE, LUOSHE TOWN, WUXI, China</v>
      </c>
      <c r="K33" s="301" t="str">
        <f>IFERROR(__xludf.DUMMYFUNCTION("""COMPUTED_VALUE"""),"")</f>
        <v/>
      </c>
      <c r="L33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33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33" s="309"/>
    </row>
    <row r="34">
      <c r="A34" s="283" t="str">
        <f>IFERROR(__xludf.DUMMYFUNCTION("""COMPUTED_VALUE"""),"")</f>
        <v/>
      </c>
      <c r="B34" s="361" t="str">
        <f>IFERROR(__xludf.DUMMYFUNCTION("""COMPUTED_VALUE"""),"Промежуточная секция 1,5 м виброрейки GROST SVR")</f>
        <v>Промежуточная секция 1,5 м виброрейки GROST SVR</v>
      </c>
      <c r="C34" s="287" t="str">
        <f>IFERROR(__xludf.DUMMYFUNCTION("""COMPUTED_VALUE"""),"-")</f>
        <v>-</v>
      </c>
      <c r="D34" s="289">
        <f>IFERROR(__xludf.DUMMYFUNCTION("""COMPUTED_VALUE"""),1606.0)</f>
        <v>1606</v>
      </c>
      <c r="E34" s="291">
        <f>IFERROR(__xludf.DUMMYFUNCTION("""COMPUTED_VALUE"""),1365.1)</f>
        <v>1365.1</v>
      </c>
      <c r="F34" s="294">
        <f t="shared" si="5"/>
        <v>240.9</v>
      </c>
      <c r="G34" s="313" t="str">
        <f>IFERROR(__xludf.DUMMYFUNCTION("""COMPUTED_VALUE"""),"под заказ")</f>
        <v>под заказ</v>
      </c>
      <c r="H34" s="362" t="str">
        <f>IFERROR(__xludf.DUMMYFUNCTION("""COMPUTED_VALUE"""),"")</f>
        <v/>
      </c>
      <c r="I34" s="298" t="str">
        <f>IFERROR(__xludf.DUMMYFUNCTION("""COMPUTED_VALUE"""),"ООО ""ТЕНДЕР"", Адрес: 191040, РОССИЯ, Санкт-Петербург г., Лиговский пр-кт, 42, лит. Б")</f>
        <v>ООО "ТЕНДЕР", Адрес: 191040, РОССИЯ, Санкт-Петербург г., Лиговский пр-кт, 42, лит. Б</v>
      </c>
      <c r="J34" s="298" t="str">
        <f>IFERROR(__xludf.DUMMYFUNCTION("""COMPUTED_VALUE"""),"TEKPAC Engineering Co., Ltd; YAXI INDUSTRY ZONE, LUOSHE TOWN, WUXI, China")</f>
        <v>TEKPAC Engineering Co., Ltd; YAXI INDUSTRY ZONE, LUOSHE TOWN, WUXI, China</v>
      </c>
      <c r="K34" s="301" t="str">
        <f>IFERROR(__xludf.DUMMYFUNCTION("""COMPUTED_VALUE"""),"")</f>
        <v/>
      </c>
      <c r="L34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34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34" s="309"/>
    </row>
    <row r="35">
      <c r="A35" s="259">
        <f>IFERROR(__xludf.DUMMYFUNCTION("""COMPUTED_VALUE"""),5.0)</f>
        <v>5</v>
      </c>
      <c r="B35" s="261" t="str">
        <f>IFERROR(__xludf.DUMMYFUNCTION("""COMPUTED_VALUE"""),"ВИБРОТРАМБОВКА")</f>
        <v>ВИБРОТРАМБОВКА</v>
      </c>
      <c r="C35" s="263" t="str">
        <f>IFERROR(__xludf.DUMMYFUNCTION("""COMPUTED_VALUE"""),"")</f>
        <v/>
      </c>
      <c r="D35" s="265" t="str">
        <f>IFERROR(__xludf.DUMMYFUNCTION("""COMPUTED_VALUE"""),"")</f>
        <v/>
      </c>
      <c r="E35" s="269" t="str">
        <f>IFERROR(__xludf.DUMMYFUNCTION("""COMPUTED_VALUE"""),"")</f>
        <v/>
      </c>
      <c r="F35" s="271"/>
      <c r="G35" s="273" t="str">
        <f>IFERROR(__xludf.DUMMYFUNCTION("""COMPUTED_VALUE"""),"")</f>
        <v/>
      </c>
      <c r="H35" s="275" t="str">
        <f>IFERROR(__xludf.DUMMYFUNCTION("""COMPUTED_VALUE"""),"")</f>
        <v/>
      </c>
      <c r="I35" s="277" t="str">
        <f>IFERROR(__xludf.DUMMYFUNCTION("""COMPUTED_VALUE"""),"")</f>
        <v/>
      </c>
      <c r="J35" s="277" t="str">
        <f>IFERROR(__xludf.DUMMYFUNCTION("""COMPUTED_VALUE"""),"")</f>
        <v/>
      </c>
      <c r="K35" s="279" t="str">
        <f>IFERROR(__xludf.DUMMYFUNCTION("""COMPUTED_VALUE"""),"")</f>
        <v/>
      </c>
      <c r="L35" s="277" t="str">
        <f>IFERROR(__xludf.DUMMYFUNCTION("""COMPUTED_VALUE"""),"")</f>
        <v/>
      </c>
      <c r="M35" s="281" t="str">
        <f>IFERROR(__xludf.DUMMYFUNCTION("""COMPUTED_VALUE"""),"")</f>
        <v/>
      </c>
      <c r="N35" s="281"/>
    </row>
    <row r="36">
      <c r="A36" s="283">
        <f>IFERROR(__xludf.DUMMYFUNCTION("""COMPUTED_VALUE"""),4158.0)</f>
        <v>4158</v>
      </c>
      <c r="B36" s="363" t="str">
        <f>IFERROR(__xludf.DUMMYFUNCTION("""COMPUTED_VALUE"""),"Вибротрамбовка MR68H с Honda GX100 бензиновый двигатель")</f>
        <v>Вибротрамбовка MR68H с Honda GX100 бензиновый двигатель</v>
      </c>
      <c r="C36" s="287" t="str">
        <f>IFERROR(__xludf.DUMMYFUNCTION("""COMPUTED_VALUE"""),"69 кг")</f>
        <v>69 кг</v>
      </c>
      <c r="D36" s="289" t="str">
        <f>IFERROR(__xludf.DUMMYFUNCTION("""COMPUTED_VALUE"""),"#VALUE!")</f>
        <v>#VALUE!</v>
      </c>
      <c r="E36" s="342" t="str">
        <f>IFERROR(__xludf.DUMMYFUNCTION("""COMPUTED_VALUE"""),"#VALUE!")</f>
        <v>#VALUE!</v>
      </c>
      <c r="F36" s="294" t="str">
        <f t="shared" ref="F36:F37" si="6">D36-E36</f>
        <v>#VALUE!</v>
      </c>
      <c r="G36" s="313" t="str">
        <f>IFERROR(__xludf.DUMMYFUNCTION("""COMPUTED_VALUE"""),"под заказ")</f>
        <v>под заказ</v>
      </c>
      <c r="H36" s="319" t="str">
        <f>IFERROR(__xludf.DUMMYFUNCTION("""COMPUTED_VALUE"""),"http://isell.by/index.pl?act=PRODUCT&amp;id=138")</f>
        <v>http://isell.by/index.pl?act=PRODUCT&amp;id=138</v>
      </c>
      <c r="I36" s="298" t="str">
        <f>IFERROR(__xludf.DUMMYFUNCTION("""COMPUTED_VALUE"""),"TEKPAC Engineering Co., Ltd; YAXI INDUSTRY ZONE, LUOSHE TOWN, WUXI, China")</f>
        <v>TEKPAC Engineering Co., Ltd; YAXI INDUSTRY ZONE, LUOSHE TOWN, WUXI, China</v>
      </c>
      <c r="J36" s="298" t="str">
        <f>IFERROR(__xludf.DUMMYFUNCTION("""COMPUTED_VALUE"""),"TEKPAC Engineering Co., Ltd; YAXI INDUSTRY ZONE, LUOSHE TOWN, WUXI, China")</f>
        <v>TEKPAC Engineering Co., Ltd; YAXI INDUSTRY ZONE, LUOSHE TOWN, WUXI, China</v>
      </c>
      <c r="K36" s="301">
        <f>IFERROR(__xludf.DUMMYFUNCTION("""COMPUTED_VALUE"""),24.0)</f>
        <v>24</v>
      </c>
      <c r="L36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511-68-63 Город, +375 (29) 666-55-93 Velcom, +375 (29) 762-44"&amp;"-44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511-68-63 Город, +375 (29) 666-55-93 Velcom, +375 (29) 762-44-44 МТС</v>
      </c>
      <c r="M36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511-68-63 Город, +375 (29) 666-55-93 Velcom, +375 (29) 762-44"&amp;"-44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511-68-63 Город, +375 (29) 666-55-93 Velcom, +375 (29) 762-44-44 МТС</v>
      </c>
      <c r="N36" s="309"/>
    </row>
    <row r="37">
      <c r="A37" s="283">
        <f>IFERROR(__xludf.DUMMYFUNCTION("""COMPUTED_VALUE"""),4159.0)</f>
        <v>4159</v>
      </c>
      <c r="B37" s="363" t="str">
        <f>IFERROR(__xludf.DUMMYFUNCTION("""COMPUTED_VALUE"""),"Вибротрамбовка MR75H с Honda GX120 бензиновый двигатель")</f>
        <v>Вибротрамбовка MR75H с Honda GX120 бензиновый двигатель</v>
      </c>
      <c r="C37" s="287" t="str">
        <f>IFERROR(__xludf.DUMMYFUNCTION("""COMPUTED_VALUE"""),"75 кг")</f>
        <v>75 кг</v>
      </c>
      <c r="D37" s="289">
        <f>IFERROR(__xludf.DUMMYFUNCTION("""COMPUTED_VALUE"""),4034.0)</f>
        <v>4034</v>
      </c>
      <c r="E37" s="342">
        <f>IFERROR(__xludf.DUMMYFUNCTION("""COMPUTED_VALUE"""),3428.9)</f>
        <v>3428.9</v>
      </c>
      <c r="F37" s="294">
        <f t="shared" si="6"/>
        <v>605.1</v>
      </c>
      <c r="G37" s="313" t="str">
        <f>IFERROR(__xludf.DUMMYFUNCTION("""COMPUTED_VALUE"""),"в наличии")</f>
        <v>в наличии</v>
      </c>
      <c r="H37" s="319" t="str">
        <f>IFERROR(__xludf.DUMMYFUNCTION("""COMPUTED_VALUE"""),"http://isell.by/index.pl?act=PRODUCT&amp;id=232")</f>
        <v>http://isell.by/index.pl?act=PRODUCT&amp;id=232</v>
      </c>
      <c r="I37" s="298" t="str">
        <f>IFERROR(__xludf.DUMMYFUNCTION("""COMPUTED_VALUE"""),"TEKPAC Engineering Co., Ltd; YAXI INDUSTRY ZONE, LUOSHE TOWN, WUXI, China")</f>
        <v>TEKPAC Engineering Co., Ltd; YAXI INDUSTRY ZONE, LUOSHE TOWN, WUXI, China</v>
      </c>
      <c r="J37" s="298" t="str">
        <f>IFERROR(__xludf.DUMMYFUNCTION("""COMPUTED_VALUE"""),"TEKPAC Engineering Co., Ltd; YAXI INDUSTRY ZONE, LUOSHE TOWN, WUXI, China")</f>
        <v>TEKPAC Engineering Co., Ltd; YAXI INDUSTRY ZONE, LUOSHE TOWN, WUXI, China</v>
      </c>
      <c r="K37" s="301">
        <f>IFERROR(__xludf.DUMMYFUNCTION("""COMPUTED_VALUE"""),24.0)</f>
        <v>24</v>
      </c>
      <c r="L37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37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37" s="309"/>
    </row>
    <row r="38">
      <c r="A38" s="259">
        <f>IFERROR(__xludf.DUMMYFUNCTION("""COMPUTED_VALUE"""),6.0)</f>
        <v>6</v>
      </c>
      <c r="B38" s="261" t="str">
        <f>IFERROR(__xludf.DUMMYFUNCTION("""COMPUTED_VALUE"""),"ЗАТИРОЧНАЯ МАШИНА")</f>
        <v>ЗАТИРОЧНАЯ МАШИНА</v>
      </c>
      <c r="C38" s="263" t="str">
        <f>IFERROR(__xludf.DUMMYFUNCTION("""COMPUTED_VALUE"""),"")</f>
        <v/>
      </c>
      <c r="D38" s="265" t="str">
        <f>IFERROR(__xludf.DUMMYFUNCTION("""COMPUTED_VALUE"""),"")</f>
        <v/>
      </c>
      <c r="E38" s="269" t="str">
        <f>IFERROR(__xludf.DUMMYFUNCTION("""COMPUTED_VALUE"""),"")</f>
        <v/>
      </c>
      <c r="F38" s="271"/>
      <c r="G38" s="273" t="str">
        <f>IFERROR(__xludf.DUMMYFUNCTION("""COMPUTED_VALUE"""),"")</f>
        <v/>
      </c>
      <c r="H38" s="275" t="str">
        <f>IFERROR(__xludf.DUMMYFUNCTION("""COMPUTED_VALUE"""),"")</f>
        <v/>
      </c>
      <c r="I38" s="277" t="str">
        <f>IFERROR(__xludf.DUMMYFUNCTION("""COMPUTED_VALUE"""),"")</f>
        <v/>
      </c>
      <c r="J38" s="277" t="str">
        <f>IFERROR(__xludf.DUMMYFUNCTION("""COMPUTED_VALUE"""),"")</f>
        <v/>
      </c>
      <c r="K38" s="279" t="str">
        <f>IFERROR(__xludf.DUMMYFUNCTION("""COMPUTED_VALUE"""),"")</f>
        <v/>
      </c>
      <c r="L38" s="277" t="str">
        <f>IFERROR(__xludf.DUMMYFUNCTION("""COMPUTED_VALUE"""),"")</f>
        <v/>
      </c>
      <c r="M38" s="281" t="str">
        <f>IFERROR(__xludf.DUMMYFUNCTION("""COMPUTED_VALUE"""),"")</f>
        <v/>
      </c>
      <c r="N38" s="281"/>
    </row>
    <row r="39">
      <c r="A39" s="283">
        <f>IFERROR(__xludf.DUMMYFUNCTION("""COMPUTED_VALUE"""),2886.0)</f>
        <v>2886</v>
      </c>
      <c r="B39" s="315" t="str">
        <f>IFERROR(__xludf.DUMMYFUNCTION("""COMPUTED_VALUE"""),"Заглаживающая машина для бетона VEKTOR VSCG-600 (GX-160) ")</f>
        <v>Заглаживающая машина для бетона VEKTOR VSCG-600 (GX-160) </v>
      </c>
      <c r="C39" s="287" t="str">
        <f>IFERROR(__xludf.DUMMYFUNCTION("""COMPUTED_VALUE"""),"ф600 мм")</f>
        <v>ф600 мм</v>
      </c>
      <c r="D39" s="289">
        <f>IFERROR(__xludf.DUMMYFUNCTION("""COMPUTED_VALUE"""),1786.0)</f>
        <v>1786</v>
      </c>
      <c r="E39" s="291">
        <f>IFERROR(__xludf.DUMMYFUNCTION("""COMPUTED_VALUE"""),1518.1)</f>
        <v>1518.1</v>
      </c>
      <c r="F39" s="294">
        <f>D39-E39</f>
        <v>267.9</v>
      </c>
      <c r="G39" s="313" t="str">
        <f>IFERROR(__xludf.DUMMYFUNCTION("""COMPUTED_VALUE"""),"в наличии")</f>
        <v>в наличии</v>
      </c>
      <c r="H39" s="319" t="str">
        <f>IFERROR(__xludf.DUMMYFUNCTION("""COMPUTED_VALUE"""),"http://isell.by/index.pl?act=PRODUCT&amp;id=190")</f>
        <v>http://isell.by/index.pl?act=PRODUCT&amp;id=190</v>
      </c>
      <c r="I39" s="298" t="str">
        <f>IFERROR(__xludf.DUMMYFUNCTION("""COMPUTED_VALUE"""),"ООО «СибТоргСервис», 630049, г. Новосибирск, Красный проспект, 200, оф. 416")</f>
        <v>ООО «СибТоргСервис», 630049, г. Новосибирск, Красный проспект, 200, оф. 416</v>
      </c>
      <c r="J39" s="298" t="str">
        <f>IFERROR(__xludf.DUMMYFUNCTION("""COMPUTED_VALUE"""),"TEKPAC Engineering Co., Ltd; YAXI INDUSTRY ZONE, LUOSHE TOWN, WUXI, China")</f>
        <v>TEKPAC Engineering Co., Ltd; YAXI INDUSTRY ZONE, LUOSHE TOWN, WUXI, China</v>
      </c>
      <c r="K39" s="301">
        <f>IFERROR(__xludf.DUMMYFUNCTION("""COMPUTED_VALUE"""),24.0)</f>
        <v>24</v>
      </c>
      <c r="L39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39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39" s="309"/>
    </row>
    <row r="40" ht="15.0" customHeight="1">
      <c r="A40" s="283" t="str">
        <f>IFERROR(__xludf.DUMMYFUNCTION("""COMPUTED_VALUE"""),"")</f>
        <v/>
      </c>
      <c r="B40" s="333" t="str">
        <f>IFERROR(__xludf.DUMMYFUNCTION("""COMPUTED_VALUE"""),"Расходные материалы:")</f>
        <v>Расходные материалы:</v>
      </c>
      <c r="C40" s="316" t="str">
        <f>IFERROR(__xludf.DUMMYFUNCTION("""COMPUTED_VALUE"""),"-")</f>
        <v>-</v>
      </c>
      <c r="D40" s="289" t="str">
        <f>IFERROR(__xludf.DUMMYFUNCTION("""COMPUTED_VALUE"""),"")</f>
        <v/>
      </c>
      <c r="E40" s="291" t="str">
        <f>IFERROR(__xludf.DUMMYFUNCTION("""COMPUTED_VALUE"""),"")</f>
        <v/>
      </c>
      <c r="F40" s="294"/>
      <c r="G40" s="313" t="str">
        <f>IFERROR(__xludf.DUMMYFUNCTION("""COMPUTED_VALUE"""),"под заказ")</f>
        <v>под заказ</v>
      </c>
      <c r="H40" s="337" t="str">
        <f>IFERROR(__xludf.DUMMYFUNCTION("""COMPUTED_VALUE"""),"")</f>
        <v/>
      </c>
      <c r="I40" s="305" t="str">
        <f>IFERROR(__xludf.DUMMYFUNCTION("""COMPUTED_VALUE"""),"")</f>
        <v/>
      </c>
      <c r="J40" s="305" t="str">
        <f>IFERROR(__xludf.DUMMYFUNCTION("""COMPUTED_VALUE"""),"")</f>
        <v/>
      </c>
      <c r="K40" s="301" t="str">
        <f>IFERROR(__xludf.DUMMYFUNCTION("""COMPUTED_VALUE"""),"")</f>
        <v/>
      </c>
      <c r="L40" s="305" t="str">
        <f>IFERROR(__xludf.DUMMYFUNCTION("""COMPUTED_VALUE"""),"")</f>
        <v/>
      </c>
      <c r="M40" s="309" t="str">
        <f>IFERROR(__xludf.DUMMYFUNCTION("""COMPUTED_VALUE"""),"")</f>
        <v/>
      </c>
      <c r="N40" s="309"/>
    </row>
    <row r="41">
      <c r="A41" s="283">
        <f>IFERROR(__xludf.DUMMYFUNCTION("""COMPUTED_VALUE"""),2887.0)</f>
        <v>2887</v>
      </c>
      <c r="B41" s="361" t="str">
        <f>IFERROR(__xludf.DUMMYFUNCTION("""COMPUTED_VALUE"""),"Диск для заглаживающей машины VEKTOR VSCG-600")</f>
        <v>Диск для заглаживающей машины VEKTOR VSCG-600</v>
      </c>
      <c r="C41" s="287" t="str">
        <f>IFERROR(__xludf.DUMMYFUNCTION("""COMPUTED_VALUE"""),"ф600 мм")</f>
        <v>ф600 мм</v>
      </c>
      <c r="D41" s="289">
        <f>IFERROR(__xludf.DUMMYFUNCTION("""COMPUTED_VALUE"""),104.0)</f>
        <v>104</v>
      </c>
      <c r="E41" s="342">
        <f>IFERROR(__xludf.DUMMYFUNCTION("""COMPUTED_VALUE"""),88.39999999999999)</f>
        <v>88.4</v>
      </c>
      <c r="F41" s="294">
        <f t="shared" ref="F41:F43" si="7">D41-E41</f>
        <v>15.6</v>
      </c>
      <c r="G41" s="313" t="str">
        <f>IFERROR(__xludf.DUMMYFUNCTION("""COMPUTED_VALUE"""),"в наличии")</f>
        <v>в наличии</v>
      </c>
      <c r="H41" s="337" t="str">
        <f>IFERROR(__xludf.DUMMYFUNCTION("""COMPUTED_VALUE"""),"")</f>
        <v/>
      </c>
      <c r="I41" s="298" t="str">
        <f>IFERROR(__xludf.DUMMYFUNCTION("""COMPUTED_VALUE"""),"ООО «СибТоргСервис», 630049, г. Новосибирск, Красный проспект, 200, оф. 416")</f>
        <v>ООО «СибТоргСервис», 630049, г. Новосибирск, Красный проспект, 200, оф. 416</v>
      </c>
      <c r="J41" s="298" t="str">
        <f>IFERROR(__xludf.DUMMYFUNCTION("""COMPUTED_VALUE"""),"TEKPAC Engineering Co., Ltd; YAXI INDUSTRY ZONE, LUOSHE TOWN, WUXI, China")</f>
        <v>TEKPAC Engineering Co., Ltd; YAXI INDUSTRY ZONE, LUOSHE TOWN, WUXI, China</v>
      </c>
      <c r="K41" s="301" t="str">
        <f>IFERROR(__xludf.DUMMYFUNCTION("""COMPUTED_VALUE"""),"")</f>
        <v/>
      </c>
      <c r="L41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41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41" s="309"/>
    </row>
    <row r="42">
      <c r="A42" s="283">
        <f>IFERROR(__xludf.DUMMYFUNCTION("""COMPUTED_VALUE"""),2888.0)</f>
        <v>2888</v>
      </c>
      <c r="B42" s="365" t="str">
        <f>IFERROR(__xludf.DUMMYFUNCTION("""COMPUTED_VALUE"""),"Нож для заглаживающей машины VEKTOR VSCG-600")</f>
        <v>Нож для заглаживающей машины VEKTOR VSCG-600</v>
      </c>
      <c r="C42" s="287" t="str">
        <f>IFERROR(__xludf.DUMMYFUNCTION("""COMPUTED_VALUE"""),"комплект из 4 лопастей")</f>
        <v>комплект из 4 лопастей</v>
      </c>
      <c r="D42" s="289">
        <f>IFERROR(__xludf.DUMMYFUNCTION("""COMPUTED_VALUE"""),64.0)</f>
        <v>64</v>
      </c>
      <c r="E42" s="291">
        <f>IFERROR(__xludf.DUMMYFUNCTION("""COMPUTED_VALUE"""),54.4)</f>
        <v>54.4</v>
      </c>
      <c r="F42" s="294">
        <f t="shared" si="7"/>
        <v>9.6</v>
      </c>
      <c r="G42" s="313" t="str">
        <f>IFERROR(__xludf.DUMMYFUNCTION("""COMPUTED_VALUE"""),"в наличии")</f>
        <v>в наличии</v>
      </c>
      <c r="H42" s="366" t="str">
        <f>IFERROR(__xludf.DUMMYFUNCTION("""COMPUTED_VALUE"""),"http://isell.by/index.pl?act=PRODUCT&amp;id=329")</f>
        <v>http://isell.by/index.pl?act=PRODUCT&amp;id=329</v>
      </c>
      <c r="I42" s="298" t="str">
        <f>IFERROR(__xludf.DUMMYFUNCTION("""COMPUTED_VALUE"""),"ООО «СибТоргСервис», 630049, г. Новосибирск, Красный проспект, 200, оф. 416")</f>
        <v>ООО «СибТоргСервис», 630049, г. Новосибирск, Красный проспект, 200, оф. 416</v>
      </c>
      <c r="J42" s="298" t="str">
        <f>IFERROR(__xludf.DUMMYFUNCTION("""COMPUTED_VALUE"""),"TEKPAC Engineering Co., Ltd; YAXI INDUSTRY ZONE, LUOSHE TOWN, WUXI, China")</f>
        <v>TEKPAC Engineering Co., Ltd; YAXI INDUSTRY ZONE, LUOSHE TOWN, WUXI, China</v>
      </c>
      <c r="K42" s="301" t="str">
        <f>IFERROR(__xludf.DUMMYFUNCTION("""COMPUTED_VALUE"""),"")</f>
        <v/>
      </c>
      <c r="L42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42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42" s="309"/>
    </row>
    <row r="43">
      <c r="A43" s="283">
        <f>IFERROR(__xludf.DUMMYFUNCTION("""COMPUTED_VALUE"""),3737.0)</f>
        <v>3737</v>
      </c>
      <c r="B43" s="315" t="str">
        <f>IFERROR(__xludf.DUMMYFUNCTION("""COMPUTED_VALUE"""),"Заглаживающая машина VEKTOR  VSCG-1000 (GX-160)")</f>
        <v>Заглаживающая машина VEKTOR  VSCG-1000 (GX-160)</v>
      </c>
      <c r="C43" s="287" t="str">
        <f>IFERROR(__xludf.DUMMYFUNCTION("""COMPUTED_VALUE"""),"ф1000 (и ф900) мм")</f>
        <v>ф1000 (и ф900) мм</v>
      </c>
      <c r="D43" s="289">
        <f>IFERROR(__xludf.DUMMYFUNCTION("""COMPUTED_VALUE"""),1827.0)</f>
        <v>1827</v>
      </c>
      <c r="E43" s="291">
        <f>IFERROR(__xludf.DUMMYFUNCTION("""COMPUTED_VALUE"""),1552.95)</f>
        <v>1552.95</v>
      </c>
      <c r="F43" s="294">
        <f t="shared" si="7"/>
        <v>274.05</v>
      </c>
      <c r="G43" s="313" t="str">
        <f>IFERROR(__xludf.DUMMYFUNCTION("""COMPUTED_VALUE"""),"в наличии")</f>
        <v>в наличии</v>
      </c>
      <c r="H43" s="319" t="str">
        <f>IFERROR(__xludf.DUMMYFUNCTION("""COMPUTED_VALUE"""),"http://isell.by/index.pl?act=PRODUCT&amp;id=347")</f>
        <v>http://isell.by/index.pl?act=PRODUCT&amp;id=347</v>
      </c>
      <c r="I43" s="298" t="str">
        <f>IFERROR(__xludf.DUMMYFUNCTION("""COMPUTED_VALUE"""),"ООО «СибТоргСервис», 630049, г. Новосибирск, Красный проспект, 200, оф. 417")</f>
        <v>ООО «СибТоргСервис», 630049, г. Новосибирск, Красный проспект, 200, оф. 417</v>
      </c>
      <c r="J43" s="298" t="str">
        <f>IFERROR(__xludf.DUMMYFUNCTION("""COMPUTED_VALUE"""),"TEKPAC Engineering Co., Ltd; YAXI INDUSTRY ZONE, LUOSHE TOWN, WUXI, China")</f>
        <v>TEKPAC Engineering Co., Ltd; YAXI INDUSTRY ZONE, LUOSHE TOWN, WUXI, China</v>
      </c>
      <c r="K43" s="301">
        <f>IFERROR(__xludf.DUMMYFUNCTION("""COMPUTED_VALUE"""),24.0)</f>
        <v>24</v>
      </c>
      <c r="L43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43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43" s="309"/>
    </row>
    <row r="44" ht="15.0" customHeight="1">
      <c r="A44" s="283" t="str">
        <f>IFERROR(__xludf.DUMMYFUNCTION("""COMPUTED_VALUE"""),"")</f>
        <v/>
      </c>
      <c r="B44" s="333" t="str">
        <f>IFERROR(__xludf.DUMMYFUNCTION("""COMPUTED_VALUE"""),"Расходные материалы:")</f>
        <v>Расходные материалы:</v>
      </c>
      <c r="C44" s="316" t="str">
        <f>IFERROR(__xludf.DUMMYFUNCTION("""COMPUTED_VALUE"""),"-")</f>
        <v>-</v>
      </c>
      <c r="D44" s="289" t="str">
        <f>IFERROR(__xludf.DUMMYFUNCTION("""COMPUTED_VALUE"""),"")</f>
        <v/>
      </c>
      <c r="E44" s="291" t="str">
        <f>IFERROR(__xludf.DUMMYFUNCTION("""COMPUTED_VALUE"""),"")</f>
        <v/>
      </c>
      <c r="F44" s="294"/>
      <c r="G44" s="313" t="str">
        <f>IFERROR(__xludf.DUMMYFUNCTION("""COMPUTED_VALUE"""),"под заказ")</f>
        <v>под заказ</v>
      </c>
      <c r="H44" s="337" t="str">
        <f>IFERROR(__xludf.DUMMYFUNCTION("""COMPUTED_VALUE"""),"")</f>
        <v/>
      </c>
      <c r="I44" s="305" t="str">
        <f>IFERROR(__xludf.DUMMYFUNCTION("""COMPUTED_VALUE"""),"")</f>
        <v/>
      </c>
      <c r="J44" s="305" t="str">
        <f>IFERROR(__xludf.DUMMYFUNCTION("""COMPUTED_VALUE"""),"")</f>
        <v/>
      </c>
      <c r="K44" s="301" t="str">
        <f>IFERROR(__xludf.DUMMYFUNCTION("""COMPUTED_VALUE"""),"")</f>
        <v/>
      </c>
      <c r="L44" s="305" t="str">
        <f>IFERROR(__xludf.DUMMYFUNCTION("""COMPUTED_VALUE"""),"")</f>
        <v/>
      </c>
      <c r="M44" s="309" t="str">
        <f>IFERROR(__xludf.DUMMYFUNCTION("""COMPUTED_VALUE"""),"")</f>
        <v/>
      </c>
      <c r="N44" s="309"/>
    </row>
    <row r="45">
      <c r="A45" s="283">
        <f>IFERROR(__xludf.DUMMYFUNCTION("""COMPUTED_VALUE"""),2135.0)</f>
        <v>2135</v>
      </c>
      <c r="B45" s="361" t="str">
        <f>IFERROR(__xludf.DUMMYFUNCTION("""COMPUTED_VALUE"""),"Затирочный диск d900")</f>
        <v>Затирочный диск d900</v>
      </c>
      <c r="C45" s="287" t="str">
        <f>IFERROR(__xludf.DUMMYFUNCTION("""COMPUTED_VALUE"""),"ф900 мм")</f>
        <v>ф900 мм</v>
      </c>
      <c r="D45" s="289">
        <f>IFERROR(__xludf.DUMMYFUNCTION("""COMPUTED_VALUE"""),171.0)</f>
        <v>171</v>
      </c>
      <c r="E45" s="291">
        <f>IFERROR(__xludf.DUMMYFUNCTION("""COMPUTED_VALUE"""),145.35)</f>
        <v>145.35</v>
      </c>
      <c r="F45" s="294">
        <f t="shared" ref="F45:F48" si="8">D45-E45</f>
        <v>25.65</v>
      </c>
      <c r="G45" s="313" t="str">
        <f>IFERROR(__xludf.DUMMYFUNCTION("""COMPUTED_VALUE"""),"в наличии")</f>
        <v>в наличии</v>
      </c>
      <c r="H45" s="362" t="str">
        <f>IFERROR(__xludf.DUMMYFUNCTION("""COMPUTED_VALUE"""),"")</f>
        <v/>
      </c>
      <c r="I45" s="298" t="str">
        <f>IFERROR(__xludf.DUMMYFUNCTION("""COMPUTED_VALUE"""),"")</f>
        <v/>
      </c>
      <c r="J45" s="305" t="str">
        <f>IFERROR(__xludf.DUMMYFUNCTION("""COMPUTED_VALUE"""),"")</f>
        <v/>
      </c>
      <c r="K45" s="301" t="str">
        <f>IFERROR(__xludf.DUMMYFUNCTION("""COMPUTED_VALUE"""),"")</f>
        <v/>
      </c>
      <c r="L45" s="305" t="str">
        <f>IFERROR(__xludf.DUMMYFUNCTION("""COMPUTED_VALUE"""),"")</f>
        <v/>
      </c>
      <c r="M45" s="309" t="str">
        <f>IFERROR(__xludf.DUMMYFUNCTION("""COMPUTED_VALUE"""),"")</f>
        <v/>
      </c>
      <c r="N45" s="309"/>
    </row>
    <row r="46">
      <c r="A46" s="283">
        <f>IFERROR(__xludf.DUMMYFUNCTION("""COMPUTED_VALUE"""),4168.0)</f>
        <v>4168</v>
      </c>
      <c r="B46" s="361" t="str">
        <f>IFERROR(__xludf.DUMMYFUNCTION("""COMPUTED_VALUE"""),"Нож для шлифовальных машин d900 M8")</f>
        <v>Нож для шлифовальных машин d900 M8</v>
      </c>
      <c r="C46" s="287" t="str">
        <f>IFERROR(__xludf.DUMMYFUNCTION("""COMPUTED_VALUE"""),"комплект из 4 лопастей")</f>
        <v>комплект из 4 лопастей</v>
      </c>
      <c r="D46" s="289">
        <f>IFERROR(__xludf.DUMMYFUNCTION("""COMPUTED_VALUE"""),103.0)</f>
        <v>103</v>
      </c>
      <c r="E46" s="342">
        <f>IFERROR(__xludf.DUMMYFUNCTION("""COMPUTED_VALUE"""),87.55)</f>
        <v>87.55</v>
      </c>
      <c r="F46" s="294">
        <f t="shared" si="8"/>
        <v>15.45</v>
      </c>
      <c r="G46" s="313" t="str">
        <f>IFERROR(__xludf.DUMMYFUNCTION("""COMPUTED_VALUE"""),"в наличии")</f>
        <v>в наличии</v>
      </c>
      <c r="H46" s="366" t="str">
        <f>IFERROR(__xludf.DUMMYFUNCTION("""COMPUTED_VALUE"""),"http://isell.by/index.pl?act=PRODUCT&amp;id=329")</f>
        <v>http://isell.by/index.pl?act=PRODUCT&amp;id=329</v>
      </c>
      <c r="I46" s="298" t="str">
        <f>IFERROR(__xludf.DUMMYFUNCTION("""COMPUTED_VALUE"""),"")</f>
        <v/>
      </c>
      <c r="J46" s="305" t="str">
        <f>IFERROR(__xludf.DUMMYFUNCTION("""COMPUTED_VALUE"""),"")</f>
        <v/>
      </c>
      <c r="K46" s="301" t="str">
        <f>IFERROR(__xludf.DUMMYFUNCTION("""COMPUTED_VALUE"""),"")</f>
        <v/>
      </c>
      <c r="L46" s="305" t="str">
        <f>IFERROR(__xludf.DUMMYFUNCTION("""COMPUTED_VALUE"""),"")</f>
        <v/>
      </c>
      <c r="M46" s="309" t="str">
        <f>IFERROR(__xludf.DUMMYFUNCTION("""COMPUTED_VALUE"""),"")</f>
        <v/>
      </c>
      <c r="N46" s="309"/>
    </row>
    <row r="47">
      <c r="A47" s="283" t="str">
        <f>IFERROR(__xludf.DUMMYFUNCTION("""COMPUTED_VALUE"""),"")</f>
        <v/>
      </c>
      <c r="B47" s="365" t="str">
        <f>IFERROR(__xludf.DUMMYFUNCTION("""COMPUTED_VALUE"""),"Затирочный диск d750")</f>
        <v>Затирочный диск d750</v>
      </c>
      <c r="C47" s="287" t="str">
        <f>IFERROR(__xludf.DUMMYFUNCTION("""COMPUTED_VALUE"""),"ф750 мм")</f>
        <v>ф750 мм</v>
      </c>
      <c r="D47" s="289">
        <f>IFERROR(__xludf.DUMMYFUNCTION("""COMPUTED_VALUE"""),145.0)</f>
        <v>145</v>
      </c>
      <c r="E47" s="342">
        <f>IFERROR(__xludf.DUMMYFUNCTION("""COMPUTED_VALUE"""),124.7)</f>
        <v>124.7</v>
      </c>
      <c r="F47" s="294">
        <f t="shared" si="8"/>
        <v>20.3</v>
      </c>
      <c r="G47" s="313" t="str">
        <f>IFERROR(__xludf.DUMMYFUNCTION("""COMPUTED_VALUE"""),"в наличии")</f>
        <v>в наличии</v>
      </c>
      <c r="H47" s="337" t="str">
        <f>IFERROR(__xludf.DUMMYFUNCTION("""COMPUTED_VALUE"""),"")</f>
        <v/>
      </c>
      <c r="I47" s="305" t="str">
        <f>IFERROR(__xludf.DUMMYFUNCTION("""COMPUTED_VALUE"""),"")</f>
        <v/>
      </c>
      <c r="J47" s="305" t="str">
        <f>IFERROR(__xludf.DUMMYFUNCTION("""COMPUTED_VALUE"""),"")</f>
        <v/>
      </c>
      <c r="K47" s="301" t="str">
        <f>IFERROR(__xludf.DUMMYFUNCTION("""COMPUTED_VALUE"""),"")</f>
        <v/>
      </c>
      <c r="L47" s="305" t="str">
        <f>IFERROR(__xludf.DUMMYFUNCTION("""COMPUTED_VALUE"""),"")</f>
        <v/>
      </c>
      <c r="M47" s="309" t="str">
        <f>IFERROR(__xludf.DUMMYFUNCTION("""COMPUTED_VALUE"""),"")</f>
        <v/>
      </c>
      <c r="N47" s="309"/>
    </row>
    <row r="48">
      <c r="A48" s="283" t="str">
        <f>IFERROR(__xludf.DUMMYFUNCTION("""COMPUTED_VALUE"""),"")</f>
        <v/>
      </c>
      <c r="B48" s="365" t="str">
        <f>IFERROR(__xludf.DUMMYFUNCTION("""COMPUTED_VALUE"""),"Нож для шлифовальных машин d750")</f>
        <v>Нож для шлифовальных машин d750</v>
      </c>
      <c r="C48" s="287" t="str">
        <f>IFERROR(__xludf.DUMMYFUNCTION("""COMPUTED_VALUE"""),"комплект из 4 лопастей")</f>
        <v>комплект из 4 лопастей</v>
      </c>
      <c r="D48" s="289">
        <f>IFERROR(__xludf.DUMMYFUNCTION("""COMPUTED_VALUE"""),84.0)</f>
        <v>84</v>
      </c>
      <c r="E48" s="342">
        <f>IFERROR(__xludf.DUMMYFUNCTION("""COMPUTED_VALUE"""),72.24)</f>
        <v>72.24</v>
      </c>
      <c r="F48" s="294">
        <f t="shared" si="8"/>
        <v>11.76</v>
      </c>
      <c r="G48" s="313" t="str">
        <f>IFERROR(__xludf.DUMMYFUNCTION("""COMPUTED_VALUE"""),"в наличии")</f>
        <v>в наличии</v>
      </c>
      <c r="H48" s="337" t="str">
        <f>IFERROR(__xludf.DUMMYFUNCTION("""COMPUTED_VALUE"""),"")</f>
        <v/>
      </c>
      <c r="I48" s="305" t="str">
        <f>IFERROR(__xludf.DUMMYFUNCTION("""COMPUTED_VALUE"""),"")</f>
        <v/>
      </c>
      <c r="J48" s="305" t="str">
        <f>IFERROR(__xludf.DUMMYFUNCTION("""COMPUTED_VALUE"""),"")</f>
        <v/>
      </c>
      <c r="K48" s="301" t="str">
        <f>IFERROR(__xludf.DUMMYFUNCTION("""COMPUTED_VALUE"""),"")</f>
        <v/>
      </c>
      <c r="L48" s="305" t="str">
        <f>IFERROR(__xludf.DUMMYFUNCTION("""COMPUTED_VALUE"""),"")</f>
        <v/>
      </c>
      <c r="M48" s="309" t="str">
        <f>IFERROR(__xludf.DUMMYFUNCTION("""COMPUTED_VALUE"""),"")</f>
        <v/>
      </c>
      <c r="N48" s="309"/>
    </row>
    <row r="49">
      <c r="A49" s="259">
        <f>IFERROR(__xludf.DUMMYFUNCTION("""COMPUTED_VALUE"""),7.0)</f>
        <v>7</v>
      </c>
      <c r="B49" s="261" t="str">
        <f>IFERROR(__xludf.DUMMYFUNCTION("""COMPUTED_VALUE"""),"МОТОПОМПА")</f>
        <v>МОТОПОМПА</v>
      </c>
      <c r="C49" s="263" t="str">
        <f>IFERROR(__xludf.DUMMYFUNCTION("""COMPUTED_VALUE"""),"")</f>
        <v/>
      </c>
      <c r="D49" s="265" t="str">
        <f>IFERROR(__xludf.DUMMYFUNCTION("""COMPUTED_VALUE"""),"")</f>
        <v/>
      </c>
      <c r="E49" s="269" t="str">
        <f>IFERROR(__xludf.DUMMYFUNCTION("""COMPUTED_VALUE"""),"")</f>
        <v/>
      </c>
      <c r="F49" s="271"/>
      <c r="G49" s="273" t="str">
        <f>IFERROR(__xludf.DUMMYFUNCTION("""COMPUTED_VALUE"""),"")</f>
        <v/>
      </c>
      <c r="H49" s="275" t="str">
        <f>IFERROR(__xludf.DUMMYFUNCTION("""COMPUTED_VALUE"""),"")</f>
        <v/>
      </c>
      <c r="I49" s="277" t="str">
        <f>IFERROR(__xludf.DUMMYFUNCTION("""COMPUTED_VALUE"""),"")</f>
        <v/>
      </c>
      <c r="J49" s="277" t="str">
        <f>IFERROR(__xludf.DUMMYFUNCTION("""COMPUTED_VALUE"""),"")</f>
        <v/>
      </c>
      <c r="K49" s="279" t="str">
        <f>IFERROR(__xludf.DUMMYFUNCTION("""COMPUTED_VALUE"""),"")</f>
        <v/>
      </c>
      <c r="L49" s="277" t="str">
        <f>IFERROR(__xludf.DUMMYFUNCTION("""COMPUTED_VALUE"""),"")</f>
        <v/>
      </c>
      <c r="M49" s="281" t="str">
        <f>IFERROR(__xludf.DUMMYFUNCTION("""COMPUTED_VALUE"""),"")</f>
        <v/>
      </c>
      <c r="N49" s="281"/>
    </row>
    <row r="50">
      <c r="A50" s="283">
        <f>IFERROR(__xludf.DUMMYFUNCTION("""COMPUTED_VALUE"""),2595.0)</f>
        <v>2595</v>
      </c>
      <c r="B50" s="363" t="str">
        <f>IFERROR(__xludf.DUMMYFUNCTION("""COMPUTED_VALUE"""),"Мотопомпа бензиновая Koshin SEH-50X - чист.вода")</f>
        <v>Мотопомпа бензиновая Koshin SEH-50X - чист.вода</v>
      </c>
      <c r="C50" s="287" t="str">
        <f>IFERROR(__xludf.DUMMYFUNCTION("""COMPUTED_VALUE"""),"640 л/мин, ф50мм, 21кг")</f>
        <v>640 л/мин, ф50мм, 21кг</v>
      </c>
      <c r="D50" s="289">
        <f>IFERROR(__xludf.DUMMYFUNCTION("""COMPUTED_VALUE"""),1014.0)</f>
        <v>1014</v>
      </c>
      <c r="E50" s="291">
        <f>IFERROR(__xludf.DUMMYFUNCTION("""COMPUTED_VALUE"""),861.9)</f>
        <v>861.9</v>
      </c>
      <c r="F50" s="294">
        <f t="shared" ref="F50:F57" si="9">D50-E50</f>
        <v>152.1</v>
      </c>
      <c r="G50" s="313" t="str">
        <f>IFERROR(__xludf.DUMMYFUNCTION("""COMPUTED_VALUE"""),"в наличии")</f>
        <v>в наличии</v>
      </c>
      <c r="H50" s="319" t="str">
        <f>IFERROR(__xludf.DUMMYFUNCTION("""COMPUTED_VALUE"""),"http://isell.by/index.pl?act=PRODUCT&amp;id=234")</f>
        <v>http://isell.by/index.pl?act=PRODUCT&amp;id=234</v>
      </c>
      <c r="I50" s="298" t="str">
        <f>IFERROR(__xludf.DUMMYFUNCTION("""COMPUTED_VALUE"""),"KOSHIN LTD., Postal Code 617-8511, 12 Kami-Hachinotsubo Kotari,Nagaokakyo City, Kyoto JAPAN")</f>
        <v>KOSHIN LTD., Postal Code 617-8511, 12 Kami-Hachinotsubo Kotari,Nagaokakyo City, Kyoto JAPAN</v>
      </c>
      <c r="J50" s="298" t="str">
        <f>IFERROR(__xludf.DUMMYFUNCTION("""COMPUTED_VALUE"""),"KOSHIN LTD., Postal Code 617-8511, 12 Kami-Hachinotsubo Kotari,Nagaokakyo City, Kyoto JAPAN")</f>
        <v>KOSHIN LTD., Postal Code 617-8511, 12 Kami-Hachinotsubo Kotari,Nagaokakyo City, Kyoto JAPAN</v>
      </c>
      <c r="K50" s="301">
        <f>IFERROR(__xludf.DUMMYFUNCTION("""COMPUTED_VALUE"""),24.0)</f>
        <v>24</v>
      </c>
      <c r="L50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50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50" s="309"/>
    </row>
    <row r="51">
      <c r="A51" s="283">
        <f>IFERROR(__xludf.DUMMYFUNCTION("""COMPUTED_VALUE"""),2598.0)</f>
        <v>2598</v>
      </c>
      <c r="B51" s="367" t="str">
        <f>IFERROR(__xludf.DUMMYFUNCTION("""COMPUTED_VALUE"""),"Грязевая мотопомпа бензиновая KOSHIN KTH-50X - сильн.загрязн.вода")</f>
        <v>Грязевая мотопомпа бензиновая KOSHIN KTH-50X - сильн.загрязн.вода</v>
      </c>
      <c r="C51" s="287" t="str">
        <f>IFERROR(__xludf.DUMMYFUNCTION("""COMPUTED_VALUE"""),"700 л/мин, ф50мм, 47кг")</f>
        <v>700 л/мин, ф50мм, 47кг</v>
      </c>
      <c r="D51" s="289">
        <f>IFERROR(__xludf.DUMMYFUNCTION("""COMPUTED_VALUE"""),2922.0)</f>
        <v>2922</v>
      </c>
      <c r="E51" s="291">
        <f>IFERROR(__xludf.DUMMYFUNCTION("""COMPUTED_VALUE"""),2483.7)</f>
        <v>2483.7</v>
      </c>
      <c r="F51" s="294">
        <f t="shared" si="9"/>
        <v>438.3</v>
      </c>
      <c r="G51" s="313" t="str">
        <f>IFERROR(__xludf.DUMMYFUNCTION("""COMPUTED_VALUE"""),"в наличии")</f>
        <v>в наличии</v>
      </c>
      <c r="H51" s="319" t="str">
        <f>IFERROR(__xludf.DUMMYFUNCTION("""COMPUTED_VALUE"""),"http://isell.by/index.pl?act=PRODUCT&amp;id=328")</f>
        <v>http://isell.by/index.pl?act=PRODUCT&amp;id=328</v>
      </c>
      <c r="I51" s="298" t="str">
        <f>IFERROR(__xludf.DUMMYFUNCTION("""COMPUTED_VALUE"""),"KOSHIN LTD., Postal Code 617-8511, 12 Kami-Hachinotsubo Kotari,Nagaokakyo City, Kyoto JAPAN")</f>
        <v>KOSHIN LTD., Postal Code 617-8511, 12 Kami-Hachinotsubo Kotari,Nagaokakyo City, Kyoto JAPAN</v>
      </c>
      <c r="J51" s="298" t="str">
        <f>IFERROR(__xludf.DUMMYFUNCTION("""COMPUTED_VALUE"""),"KOSHIN LTD., Postal Code 617-8511, 12 Kami-Hachinotsubo Kotari,Nagaokakyo City, Kyoto JAPAN")</f>
        <v>KOSHIN LTD., Postal Code 617-8511, 12 Kami-Hachinotsubo Kotari,Nagaokakyo City, Kyoto JAPAN</v>
      </c>
      <c r="K51" s="301">
        <f>IFERROR(__xludf.DUMMYFUNCTION("""COMPUTED_VALUE"""),24.0)</f>
        <v>24</v>
      </c>
      <c r="L51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51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51" s="309"/>
    </row>
    <row r="52">
      <c r="A52" s="283">
        <f>IFERROR(__xludf.DUMMYFUNCTION("""COMPUTED_VALUE"""),2271.0)</f>
        <v>2271</v>
      </c>
      <c r="B52" s="363" t="str">
        <f>IFERROR(__xludf.DUMMYFUNCTION("""COMPUTED_VALUE"""),"Грязевая мотопомпа бензиновая KOSHIN KTH-80X - сильн.загрязн.вода")</f>
        <v>Грязевая мотопомпа бензиновая KOSHIN KTH-80X - сильн.загрязн.вода</v>
      </c>
      <c r="C52" s="287" t="str">
        <f>IFERROR(__xludf.DUMMYFUNCTION("""COMPUTED_VALUE"""),"1340 л/мин, ф80, 59кг")</f>
        <v>1340 л/мин, ф80, 59кг</v>
      </c>
      <c r="D52" s="289">
        <f>IFERROR(__xludf.DUMMYFUNCTION("""COMPUTED_VALUE"""),3713.0)</f>
        <v>3713</v>
      </c>
      <c r="E52" s="368">
        <f>IFERROR(__xludf.DUMMYFUNCTION("""COMPUTED_VALUE"""),3156.0499999999997)</f>
        <v>3156.05</v>
      </c>
      <c r="F52" s="294">
        <f t="shared" si="9"/>
        <v>556.95</v>
      </c>
      <c r="G52" s="313" t="str">
        <f>IFERROR(__xludf.DUMMYFUNCTION("""COMPUTED_VALUE"""),"в наличии")</f>
        <v>в наличии</v>
      </c>
      <c r="H52" s="369" t="str">
        <f>IFERROR(__xludf.DUMMYFUNCTION("""COMPUTED_VALUE"""),"http://isell.by/index.pl?act=PRODUCT&amp;id=198")</f>
        <v>http://isell.by/index.pl?act=PRODUCT&amp;id=198</v>
      </c>
      <c r="I52" s="298" t="str">
        <f>IFERROR(__xludf.DUMMYFUNCTION("""COMPUTED_VALUE"""),"KOSHIN LTD., Postal Code 617-8511, 12 Kami-Hachinotsubo Kotari,Nagaokakyo City, Kyoto JAPAN")</f>
        <v>KOSHIN LTD., Postal Code 617-8511, 12 Kami-Hachinotsubo Kotari,Nagaokakyo City, Kyoto JAPAN</v>
      </c>
      <c r="J52" s="298" t="str">
        <f>IFERROR(__xludf.DUMMYFUNCTION("""COMPUTED_VALUE"""),"KOSHIN LTD., Postal Code 617-8511, 12 Kami-Hachinotsubo Kotari,Nagaokakyo City, Kyoto JAPAN")</f>
        <v>KOSHIN LTD., Postal Code 617-8511, 12 Kami-Hachinotsubo Kotari,Nagaokakyo City, Kyoto JAPAN</v>
      </c>
      <c r="K52" s="301">
        <f>IFERROR(__xludf.DUMMYFUNCTION("""COMPUTED_VALUE"""),24.0)</f>
        <v>24</v>
      </c>
      <c r="L52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52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52" s="309"/>
    </row>
    <row r="53">
      <c r="A53" s="283">
        <f>IFERROR(__xludf.DUMMYFUNCTION("""COMPUTED_VALUE"""),4533.0)</f>
        <v>4533</v>
      </c>
      <c r="B53" s="363" t="str">
        <f>IFERROR(__xludf.DUMMYFUNCTION("""COMPUTED_VALUE"""),"Грязевая мотопомпа бензиновая KOSHIN KTH-100X - сильн.загрязн.вода - под заказ")</f>
        <v>Грязевая мотопомпа бензиновая KOSHIN KTH-100X - сильн.загрязн.вода - под заказ</v>
      </c>
      <c r="C53" s="287" t="str">
        <f>IFERROR(__xludf.DUMMYFUNCTION("""COMPUTED_VALUE"""),"1600 л/мин, ф100, 85кг")</f>
        <v>1600 л/мин, ф100, 85кг</v>
      </c>
      <c r="D53" s="289">
        <f>IFERROR(__xludf.DUMMYFUNCTION("""COMPUTED_VALUE"""),5246.0)</f>
        <v>5246</v>
      </c>
      <c r="E53" s="368">
        <f>IFERROR(__xludf.DUMMYFUNCTION("""COMPUTED_VALUE"""),4459.099999999999)</f>
        <v>4459.1</v>
      </c>
      <c r="F53" s="294">
        <f t="shared" si="9"/>
        <v>786.9</v>
      </c>
      <c r="G53" s="313" t="str">
        <f>IFERROR(__xludf.DUMMYFUNCTION("""COMPUTED_VALUE"""),"под заказ")</f>
        <v>под заказ</v>
      </c>
      <c r="H53" s="369" t="str">
        <f>IFERROR(__xludf.DUMMYFUNCTION("""COMPUTED_VALUE"""),"http://isell.by/index.pl?act=PRODUCT&amp;id=498")</f>
        <v>http://isell.by/index.pl?act=PRODUCT&amp;id=498</v>
      </c>
      <c r="I53" s="298" t="str">
        <f>IFERROR(__xludf.DUMMYFUNCTION("""COMPUTED_VALUE"""),"KOSHIN LTD., Postal Code 617-8511, 12 Kami-Hachinotsubo Kotari,Nagaokakyo City, Kyoto JAPAN")</f>
        <v>KOSHIN LTD., Postal Code 617-8511, 12 Kami-Hachinotsubo Kotari,Nagaokakyo City, Kyoto JAPAN</v>
      </c>
      <c r="J53" s="298" t="str">
        <f>IFERROR(__xludf.DUMMYFUNCTION("""COMPUTED_VALUE"""),"KOSHIN LTD., Postal Code 617-8511, 12 Kami-Hachinotsubo Kotari,Nagaokakyo City, Kyoto JAPAN")</f>
        <v>KOSHIN LTD., Postal Code 617-8511, 12 Kami-Hachinotsubo Kotari,Nagaokakyo City, Kyoto JAPAN</v>
      </c>
      <c r="K53" s="301">
        <f>IFERROR(__xludf.DUMMYFUNCTION("""COMPUTED_VALUE"""),24.0)</f>
        <v>24</v>
      </c>
      <c r="L53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53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53" s="309"/>
    </row>
    <row r="54">
      <c r="A54" s="259">
        <f>IFERROR(__xludf.DUMMYFUNCTION("""COMPUTED_VALUE"""),8.0)</f>
        <v>8</v>
      </c>
      <c r="B54" s="261" t="str">
        <f>IFERROR(__xludf.DUMMYFUNCTION("""COMPUTED_VALUE"""),"НАРЕЗЧИК ШВОВ")</f>
        <v>НАРЕЗЧИК ШВОВ</v>
      </c>
      <c r="C54" s="263" t="str">
        <f>IFERROR(__xludf.DUMMYFUNCTION("""COMPUTED_VALUE"""),"")</f>
        <v/>
      </c>
      <c r="D54" s="265" t="str">
        <f>IFERROR(__xludf.DUMMYFUNCTION("""COMPUTED_VALUE"""),"")</f>
        <v/>
      </c>
      <c r="E54" s="269" t="str">
        <f>IFERROR(__xludf.DUMMYFUNCTION("""COMPUTED_VALUE"""),"")</f>
        <v/>
      </c>
      <c r="F54" s="271">
        <f t="shared" si="9"/>
        <v>0</v>
      </c>
      <c r="G54" s="273" t="str">
        <f>IFERROR(__xludf.DUMMYFUNCTION("""COMPUTED_VALUE"""),"")</f>
        <v/>
      </c>
      <c r="H54" s="275" t="str">
        <f>IFERROR(__xludf.DUMMYFUNCTION("""COMPUTED_VALUE"""),"")</f>
        <v/>
      </c>
      <c r="I54" s="277" t="str">
        <f>IFERROR(__xludf.DUMMYFUNCTION("""COMPUTED_VALUE"""),"")</f>
        <v/>
      </c>
      <c r="J54" s="277" t="str">
        <f>IFERROR(__xludf.DUMMYFUNCTION("""COMPUTED_VALUE"""),"")</f>
        <v/>
      </c>
      <c r="K54" s="279" t="str">
        <f>IFERROR(__xludf.DUMMYFUNCTION("""COMPUTED_VALUE"""),"")</f>
        <v/>
      </c>
      <c r="L54" s="277" t="str">
        <f>IFERROR(__xludf.DUMMYFUNCTION("""COMPUTED_VALUE"""),"")</f>
        <v/>
      </c>
      <c r="M54" s="281" t="str">
        <f>IFERROR(__xludf.DUMMYFUNCTION("""COMPUTED_VALUE"""),"")</f>
        <v/>
      </c>
      <c r="N54" s="281"/>
    </row>
    <row r="55">
      <c r="A55" s="283">
        <f>IFERROR(__xludf.DUMMYFUNCTION("""COMPUTED_VALUE"""),2689.0)</f>
        <v>2689</v>
      </c>
      <c r="B55" s="363" t="str">
        <f>IFERROR(__xludf.DUMMYFUNCTION("""COMPUTED_VALUE"""),"Нарезчик швов MF20-4 без диска (Хонда GX390)")</f>
        <v>Нарезчик швов MF20-4 без диска (Хонда GX390)</v>
      </c>
      <c r="C55" s="287" t="str">
        <f>IFERROR(__xludf.DUMMYFUNCTION("""COMPUTED_VALUE"""),"ф500 мм, 195 кг")</f>
        <v>ф500 мм, 195 кг</v>
      </c>
      <c r="D55" s="289">
        <f>IFERROR(__xludf.DUMMYFUNCTION("""COMPUTED_VALUE"""),3472.0)</f>
        <v>3472</v>
      </c>
      <c r="E55" s="291">
        <f>IFERROR(__xludf.DUMMYFUNCTION("""COMPUTED_VALUE"""),2951.2)</f>
        <v>2951.2</v>
      </c>
      <c r="F55" s="294">
        <f t="shared" si="9"/>
        <v>520.8</v>
      </c>
      <c r="G55" s="313" t="str">
        <f>IFERROR(__xludf.DUMMYFUNCTION("""COMPUTED_VALUE"""),"в наличии")</f>
        <v>в наличии</v>
      </c>
      <c r="H55" s="319" t="str">
        <f>IFERROR(__xludf.DUMMYFUNCTION("""COMPUTED_VALUE"""),"http://isell.by/index.pl?act=PRODUCT&amp;id=236")</f>
        <v>http://isell.by/index.pl?act=PRODUCT&amp;id=236</v>
      </c>
      <c r="I55" s="298" t="str">
        <f>IFERROR(__xludf.DUMMYFUNCTION("""COMPUTED_VALUE"""),"TEKPAC Engineering Co., Ltd; YAXI INDUSTRY ZONE, LUOSHE TOWN, WUXI, China")</f>
        <v>TEKPAC Engineering Co., Ltd; YAXI INDUSTRY ZONE, LUOSHE TOWN, WUXI, China</v>
      </c>
      <c r="J55" s="298" t="str">
        <f>IFERROR(__xludf.DUMMYFUNCTION("""COMPUTED_VALUE"""),"TEKPAC Engineering Co., Ltd; YAXI INDUSTRY ZONE, LUOSHE TOWN, WUXI, China")</f>
        <v>TEKPAC Engineering Co., Ltd; YAXI INDUSTRY ZONE, LUOSHE TOWN, WUXI, China</v>
      </c>
      <c r="K55" s="301">
        <f>IFERROR(__xludf.DUMMYFUNCTION("""COMPUTED_VALUE"""),24.0)</f>
        <v>24</v>
      </c>
      <c r="L55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55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55" s="309"/>
    </row>
    <row r="56">
      <c r="A56" s="259">
        <f>IFERROR(__xludf.DUMMYFUNCTION("""COMPUTED_VALUE"""),9.0)</f>
        <v>9</v>
      </c>
      <c r="B56" s="261" t="str">
        <f>IFERROR(__xludf.DUMMYFUNCTION("""COMPUTED_VALUE"""),"ПАРКЕТО-ШЛИФОВАЛЬНАЯ МАШИНА")</f>
        <v>ПАРКЕТО-ШЛИФОВАЛЬНАЯ МАШИНА</v>
      </c>
      <c r="C56" s="263" t="str">
        <f>IFERROR(__xludf.DUMMYFUNCTION("""COMPUTED_VALUE"""),"")</f>
        <v/>
      </c>
      <c r="D56" s="265" t="str">
        <f>IFERROR(__xludf.DUMMYFUNCTION("""COMPUTED_VALUE"""),"")</f>
        <v/>
      </c>
      <c r="E56" s="269" t="str">
        <f>IFERROR(__xludf.DUMMYFUNCTION("""COMPUTED_VALUE"""),"")</f>
        <v/>
      </c>
      <c r="F56" s="271">
        <f t="shared" si="9"/>
        <v>0</v>
      </c>
      <c r="G56" s="273" t="str">
        <f>IFERROR(__xludf.DUMMYFUNCTION("""COMPUTED_VALUE"""),"")</f>
        <v/>
      </c>
      <c r="H56" s="275" t="str">
        <f>IFERROR(__xludf.DUMMYFUNCTION("""COMPUTED_VALUE"""),"")</f>
        <v/>
      </c>
      <c r="I56" s="277" t="str">
        <f>IFERROR(__xludf.DUMMYFUNCTION("""COMPUTED_VALUE"""),"")</f>
        <v/>
      </c>
      <c r="J56" s="277" t="str">
        <f>IFERROR(__xludf.DUMMYFUNCTION("""COMPUTED_VALUE"""),"")</f>
        <v/>
      </c>
      <c r="K56" s="279" t="str">
        <f>IFERROR(__xludf.DUMMYFUNCTION("""COMPUTED_VALUE"""),"")</f>
        <v/>
      </c>
      <c r="L56" s="277" t="str">
        <f>IFERROR(__xludf.DUMMYFUNCTION("""COMPUTED_VALUE"""),"")</f>
        <v/>
      </c>
      <c r="M56" s="281" t="str">
        <f>IFERROR(__xludf.DUMMYFUNCTION("""COMPUTED_VALUE"""),"")</f>
        <v/>
      </c>
      <c r="N56" s="281"/>
    </row>
    <row r="57">
      <c r="A57" s="283">
        <f>IFERROR(__xludf.DUMMYFUNCTION("""COMPUTED_VALUE"""),4241.0)</f>
        <v>4241</v>
      </c>
      <c r="B57" s="363" t="str">
        <f>IFERROR(__xludf.DUMMYFUNCTION("""COMPUTED_VALUE"""),"Паркето-шлифовальная машина LEVEL")</f>
        <v>Паркето-шлифовальная машина LEVEL</v>
      </c>
      <c r="C57" s="287" t="str">
        <f>IFERROR(__xludf.DUMMYFUNCTION("""COMPUTED_VALUE"""),"-")</f>
        <v>-</v>
      </c>
      <c r="D57" s="289">
        <f>IFERROR(__xludf.DUMMYFUNCTION("""COMPUTED_VALUE"""),3345.0)</f>
        <v>3345</v>
      </c>
      <c r="E57" s="291">
        <f>IFERROR(__xludf.DUMMYFUNCTION("""COMPUTED_VALUE"""),2843.25)</f>
        <v>2843.25</v>
      </c>
      <c r="F57" s="294">
        <f t="shared" si="9"/>
        <v>501.75</v>
      </c>
      <c r="G57" s="313" t="str">
        <f>IFERROR(__xludf.DUMMYFUNCTION("""COMPUTED_VALUE"""),"под заказ")</f>
        <v>под заказ</v>
      </c>
      <c r="H57" s="319" t="str">
        <f>IFERROR(__xludf.DUMMYFUNCTION("""COMPUTED_VALUE"""),"http://isell.by/index.pl?act=PRODUCT&amp;id=355")</f>
        <v>http://isell.by/index.pl?act=PRODUCT&amp;id=355</v>
      </c>
      <c r="I57" s="305" t="str">
        <f>IFERROR(__xludf.DUMMYFUNCTION("""COMPUTED_VALUE"""),"")</f>
        <v/>
      </c>
      <c r="J57" s="305" t="str">
        <f>IFERROR(__xludf.DUMMYFUNCTION("""COMPUTED_VALUE"""),"")</f>
        <v/>
      </c>
      <c r="K57" s="301" t="str">
        <f>IFERROR(__xludf.DUMMYFUNCTION("""COMPUTED_VALUE"""),"")</f>
        <v/>
      </c>
      <c r="L57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57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57" s="309"/>
    </row>
    <row r="58">
      <c r="A58" s="259">
        <f>IFERROR(__xludf.DUMMYFUNCTION("""COMPUTED_VALUE"""),10.0)</f>
        <v>10</v>
      </c>
      <c r="B58" s="261" t="str">
        <f>IFERROR(__xludf.DUMMYFUNCTION("""COMPUTED_VALUE"""),"СТАНКИ ДЛЯ ГИБКИ И РЕЗКИ АРМАТУРЫ - ПОД ЗАКАЗ")</f>
        <v>СТАНКИ ДЛЯ ГИБКИ И РЕЗКИ АРМАТУРЫ - ПОД ЗАКАЗ</v>
      </c>
      <c r="C58" s="263" t="str">
        <f>IFERROR(__xludf.DUMMYFUNCTION("""COMPUTED_VALUE"""),"")</f>
        <v/>
      </c>
      <c r="D58" s="265" t="str">
        <f>IFERROR(__xludf.DUMMYFUNCTION("""COMPUTED_VALUE"""),"")</f>
        <v/>
      </c>
      <c r="E58" s="269" t="str">
        <f>IFERROR(__xludf.DUMMYFUNCTION("""COMPUTED_VALUE"""),"")</f>
        <v/>
      </c>
      <c r="F58" s="271"/>
      <c r="G58" s="273" t="str">
        <f>IFERROR(__xludf.DUMMYFUNCTION("""COMPUTED_VALUE"""),"")</f>
        <v/>
      </c>
      <c r="H58" s="275" t="str">
        <f>IFERROR(__xludf.DUMMYFUNCTION("""COMPUTED_VALUE"""),"")</f>
        <v/>
      </c>
      <c r="I58" s="277" t="str">
        <f>IFERROR(__xludf.DUMMYFUNCTION("""COMPUTED_VALUE"""),"")</f>
        <v/>
      </c>
      <c r="J58" s="277" t="str">
        <f>IFERROR(__xludf.DUMMYFUNCTION("""COMPUTED_VALUE"""),"")</f>
        <v/>
      </c>
      <c r="K58" s="279" t="str">
        <f>IFERROR(__xludf.DUMMYFUNCTION("""COMPUTED_VALUE"""),"")</f>
        <v/>
      </c>
      <c r="L58" s="277" t="str">
        <f>IFERROR(__xludf.DUMMYFUNCTION("""COMPUTED_VALUE"""),"")</f>
        <v/>
      </c>
      <c r="M58" s="281" t="str">
        <f>IFERROR(__xludf.DUMMYFUNCTION("""COMPUTED_VALUE"""),"")</f>
        <v/>
      </c>
      <c r="N58" s="281"/>
    </row>
    <row r="59">
      <c r="A59" s="283">
        <f>IFERROR(__xludf.DUMMYFUNCTION("""COMPUTED_VALUE"""),4238.0)</f>
        <v>4238</v>
      </c>
      <c r="B59" s="363" t="str">
        <f>IFERROR(__xludf.DUMMYFUNCTION("""COMPUTED_VALUE"""),"Станок для гибки арматуры GW-40")</f>
        <v>Станок для гибки арматуры GW-40</v>
      </c>
      <c r="C59" s="287" t="str">
        <f>IFERROR(__xludf.DUMMYFUNCTION("""COMPUTED_VALUE"""),"3 кВт, max 40мм, 272 кг, пневмопедали")</f>
        <v>3 кВт, max 40мм, 272 кг, пневмопедали</v>
      </c>
      <c r="D59" s="289">
        <f>IFERROR(__xludf.DUMMYFUNCTION("""COMPUTED_VALUE"""),2908.0)</f>
        <v>2908</v>
      </c>
      <c r="E59" s="291">
        <f>IFERROR(__xludf.DUMMYFUNCTION("""COMPUTED_VALUE"""),2471.7999999999997)</f>
        <v>2471.8</v>
      </c>
      <c r="F59" s="294">
        <f>D59-E59</f>
        <v>436.2</v>
      </c>
      <c r="G59" s="313" t="str">
        <f>IFERROR(__xludf.DUMMYFUNCTION("""COMPUTED_VALUE"""),"под заказ")</f>
        <v>под заказ</v>
      </c>
      <c r="H59" s="370" t="str">
        <f>IFERROR(__xludf.DUMMYFUNCTION("""COMPUTED_VALUE"""),"http://isell.by/index.pl?act=PRODUCT&amp;id=330")</f>
        <v>http://isell.by/index.pl?act=PRODUCT&amp;id=330</v>
      </c>
      <c r="I59" s="298" t="str">
        <f>IFERROR(__xludf.DUMMYFUNCTION("""COMPUTED_VALUE"""),"ООО «СибТоргСервис», 630049, г. Новосибирск, Красный проспект, 200, оф. 416")</f>
        <v>ООО «СибТоргСервис», 630049, г. Новосибирск, Красный проспект, 200, оф. 416</v>
      </c>
      <c r="J59" s="298" t="str">
        <f>IFERROR(__xludf.DUMMYFUNCTION("""COMPUTED_VALUE"""),"TEKPAC Engineering Co., Ltd; YAXI INDUSTRY ZONE, LUOSHE TOWN, WUXI, China")</f>
        <v>TEKPAC Engineering Co., Ltd; YAXI INDUSTRY ZONE, LUOSHE TOWN, WUXI, China</v>
      </c>
      <c r="K59" s="301">
        <f>IFERROR(__xludf.DUMMYFUNCTION("""COMPUTED_VALUE"""),24.0)</f>
        <v>24</v>
      </c>
      <c r="L59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59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59" s="309"/>
    </row>
    <row r="60">
      <c r="A60" s="283">
        <f>IFERROR(__xludf.DUMMYFUNCTION("""COMPUTED_VALUE"""),4534.0)</f>
        <v>4534</v>
      </c>
      <c r="B60" s="363" t="str">
        <f>IFERROR(__xludf.DUMMYFUNCTION("""COMPUTED_VALUE"""),"Станок для гибки арматуры GW-50")</f>
        <v>Станок для гибки арматуры GW-50</v>
      </c>
      <c r="C60" s="287" t="str">
        <f>IFERROR(__xludf.DUMMYFUNCTION("""COMPUTED_VALUE"""),"4 кВт, max 50мм, 368 кг, пневмопедали")</f>
        <v>4 кВт, max 50мм, 368 кг, пневмопедали</v>
      </c>
      <c r="D60" s="289">
        <f>IFERROR(__xludf.DUMMYFUNCTION("""COMPUTED_VALUE"""),4057.0)</f>
        <v>4057</v>
      </c>
      <c r="E60" s="291">
        <f>IFERROR(__xludf.DUMMYFUNCTION("""COMPUTED_VALUE"""),3448.45)</f>
        <v>3448.45</v>
      </c>
      <c r="F60" s="294"/>
      <c r="G60" s="313" t="str">
        <f>IFERROR(__xludf.DUMMYFUNCTION("""COMPUTED_VALUE"""),"под заказ")</f>
        <v>под заказ</v>
      </c>
      <c r="H60" s="370" t="str">
        <f>IFERROR(__xludf.DUMMYFUNCTION("""COMPUTED_VALUE"""),"http://isell.by/index.pl?act=PRODUCT&amp;id=331")</f>
        <v>http://isell.by/index.pl?act=PRODUCT&amp;id=331</v>
      </c>
      <c r="I60" s="298" t="str">
        <f>IFERROR(__xludf.DUMMYFUNCTION("""COMPUTED_VALUE"""),"ООО «СибТоргСервис», 630049, г. Новосибирск, Красный проспект, 200, оф. 416")</f>
        <v>ООО «СибТоргСервис», 630049, г. Новосибирск, Красный проспект, 200, оф. 416</v>
      </c>
      <c r="J60" s="298" t="str">
        <f>IFERROR(__xludf.DUMMYFUNCTION("""COMPUTED_VALUE"""),"TEKPAC Engineering Co., Ltd; YAXI INDUSTRY ZONE, LUOSHE TOWN, WUXI, China")</f>
        <v>TEKPAC Engineering Co., Ltd; YAXI INDUSTRY ZONE, LUOSHE TOWN, WUXI, China</v>
      </c>
      <c r="K60" s="301">
        <f>IFERROR(__xludf.DUMMYFUNCTION("""COMPUTED_VALUE"""),24.0)</f>
        <v>24</v>
      </c>
      <c r="L60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60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60" s="309"/>
    </row>
    <row r="61">
      <c r="A61" s="283">
        <f>IFERROR(__xludf.DUMMYFUNCTION("""COMPUTED_VALUE"""),4535.0)</f>
        <v>4535</v>
      </c>
      <c r="B61" s="363" t="str">
        <f>IFERROR(__xludf.DUMMYFUNCTION("""COMPUTED_VALUE"""),"Станок для резки арматуры GQ-40")</f>
        <v>Станок для резки арматуры GQ-40</v>
      </c>
      <c r="C61" s="287" t="str">
        <f>IFERROR(__xludf.DUMMYFUNCTION("""COMPUTED_VALUE"""),"3 кВт, max 40мм, 380 кг")</f>
        <v>3 кВт, max 40мм, 380 кг</v>
      </c>
      <c r="D61" s="289">
        <f>IFERROR(__xludf.DUMMYFUNCTION("""COMPUTED_VALUE"""),3636.0)</f>
        <v>3636</v>
      </c>
      <c r="E61" s="291">
        <f>IFERROR(__xludf.DUMMYFUNCTION("""COMPUTED_VALUE"""),3090.6)</f>
        <v>3090.6</v>
      </c>
      <c r="F61" s="294">
        <f t="shared" ref="F61:F62" si="10">D61-E61</f>
        <v>545.4</v>
      </c>
      <c r="G61" s="313" t="str">
        <f>IFERROR(__xludf.DUMMYFUNCTION("""COMPUTED_VALUE"""),"под заказ")</f>
        <v>под заказ</v>
      </c>
      <c r="H61" s="369" t="str">
        <f>IFERROR(__xludf.DUMMYFUNCTION("""COMPUTED_VALUE"""),"http://isell.by/index.pl?act=PRODUCT&amp;id=332")</f>
        <v>http://isell.by/index.pl?act=PRODUCT&amp;id=332</v>
      </c>
      <c r="I61" s="298" t="str">
        <f>IFERROR(__xludf.DUMMYFUNCTION("""COMPUTED_VALUE"""),"ООО «СибТоргСервис», 630049, г. Новосибирск, Красный проспект, 200, оф. 416")</f>
        <v>ООО «СибТоргСервис», 630049, г. Новосибирск, Красный проспект, 200, оф. 416</v>
      </c>
      <c r="J61" s="298" t="str">
        <f>IFERROR(__xludf.DUMMYFUNCTION("""COMPUTED_VALUE"""),"TEKPAC Engineering Co., Ltd; YAXI INDUSTRY ZONE, LUOSHE TOWN, WUXI, China")</f>
        <v>TEKPAC Engineering Co., Ltd; YAXI INDUSTRY ZONE, LUOSHE TOWN, WUXI, China</v>
      </c>
      <c r="K61" s="301">
        <f>IFERROR(__xludf.DUMMYFUNCTION("""COMPUTED_VALUE"""),24.0)</f>
        <v>24</v>
      </c>
      <c r="L61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61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61" s="309"/>
    </row>
    <row r="62">
      <c r="A62" s="283">
        <f>IFERROR(__xludf.DUMMYFUNCTION("""COMPUTED_VALUE"""),4536.0)</f>
        <v>4536</v>
      </c>
      <c r="B62" s="363" t="str">
        <f>IFERROR(__xludf.DUMMYFUNCTION("""COMPUTED_VALUE"""),"Станок для резки арматуры GQ-50")</f>
        <v>Станок для резки арматуры GQ-50</v>
      </c>
      <c r="C62" s="287" t="str">
        <f>IFERROR(__xludf.DUMMYFUNCTION("""COMPUTED_VALUE"""),"4 кВт, max 50мм, 525 кг,")</f>
        <v>4 кВт, max 50мм, 525 кг,</v>
      </c>
      <c r="D62" s="289">
        <f>IFERROR(__xludf.DUMMYFUNCTION("""COMPUTED_VALUE"""),4708.0)</f>
        <v>4708</v>
      </c>
      <c r="E62" s="291">
        <f>IFERROR(__xludf.DUMMYFUNCTION("""COMPUTED_VALUE"""),4001.7999999999997)</f>
        <v>4001.8</v>
      </c>
      <c r="F62" s="294">
        <f t="shared" si="10"/>
        <v>706.2</v>
      </c>
      <c r="G62" s="313" t="str">
        <f>IFERROR(__xludf.DUMMYFUNCTION("""COMPUTED_VALUE"""),"под заказ")</f>
        <v>под заказ</v>
      </c>
      <c r="H62" s="369" t="str">
        <f>IFERROR(__xludf.DUMMYFUNCTION("""COMPUTED_VALUE"""),"http://isell.by/index.pl?act=PRODUCT&amp;id=333")</f>
        <v>http://isell.by/index.pl?act=PRODUCT&amp;id=333</v>
      </c>
      <c r="I62" s="298" t="str">
        <f>IFERROR(__xludf.DUMMYFUNCTION("""COMPUTED_VALUE"""),"ООО «СибТоргСервис», 630049, г. Новосибирск, Красный проспект, 200, оф. 416")</f>
        <v>ООО «СибТоргСервис», 630049, г. Новосибирск, Красный проспект, 200, оф. 416</v>
      </c>
      <c r="J62" s="298" t="str">
        <f>IFERROR(__xludf.DUMMYFUNCTION("""COMPUTED_VALUE"""),"TEKPAC Engineering Co., Ltd; YAXI INDUSTRY ZONE, LUOSHE TOWN, WUXI, China")</f>
        <v>TEKPAC Engineering Co., Ltd; YAXI INDUSTRY ZONE, LUOSHE TOWN, WUXI, China</v>
      </c>
      <c r="K62" s="301">
        <f>IFERROR(__xludf.DUMMYFUNCTION("""COMPUTED_VALUE"""),24.0)</f>
        <v>24</v>
      </c>
      <c r="L62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62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62" s="309"/>
    </row>
    <row r="63">
      <c r="A63" s="259">
        <f>IFERROR(__xludf.DUMMYFUNCTION("""COMPUTED_VALUE"""),11.0)</f>
        <v>11</v>
      </c>
      <c r="B63" s="261" t="str">
        <f>IFERROR(__xludf.DUMMYFUNCTION("""COMPUTED_VALUE"""),"СТАНЦИИ ПРОГРЕВА БЕТОНА - ПОД ЗАКАЗ")</f>
        <v>СТАНЦИИ ПРОГРЕВА БЕТОНА - ПОД ЗАКАЗ</v>
      </c>
      <c r="C63" s="263" t="str">
        <f>IFERROR(__xludf.DUMMYFUNCTION("""COMPUTED_VALUE"""),"")</f>
        <v/>
      </c>
      <c r="D63" s="265" t="str">
        <f>IFERROR(__xludf.DUMMYFUNCTION("""COMPUTED_VALUE"""),"")</f>
        <v/>
      </c>
      <c r="E63" s="269" t="str">
        <f>IFERROR(__xludf.DUMMYFUNCTION("""COMPUTED_VALUE"""),"")</f>
        <v/>
      </c>
      <c r="F63" s="271"/>
      <c r="G63" s="273" t="str">
        <f>IFERROR(__xludf.DUMMYFUNCTION("""COMPUTED_VALUE"""),"")</f>
        <v/>
      </c>
      <c r="H63" s="275" t="str">
        <f>IFERROR(__xludf.DUMMYFUNCTION("""COMPUTED_VALUE"""),"")</f>
        <v/>
      </c>
      <c r="I63" s="277" t="str">
        <f>IFERROR(__xludf.DUMMYFUNCTION("""COMPUTED_VALUE"""),"")</f>
        <v/>
      </c>
      <c r="J63" s="277" t="str">
        <f>IFERROR(__xludf.DUMMYFUNCTION("""COMPUTED_VALUE"""),"")</f>
        <v/>
      </c>
      <c r="K63" s="279" t="str">
        <f>IFERROR(__xludf.DUMMYFUNCTION("""COMPUTED_VALUE"""),"")</f>
        <v/>
      </c>
      <c r="L63" s="277" t="str">
        <f>IFERROR(__xludf.DUMMYFUNCTION("""COMPUTED_VALUE"""),"")</f>
        <v/>
      </c>
      <c r="M63" s="281" t="str">
        <f>IFERROR(__xludf.DUMMYFUNCTION("""COMPUTED_VALUE"""),"")</f>
        <v/>
      </c>
      <c r="N63" s="281"/>
    </row>
    <row r="64">
      <c r="A64" s="283" t="str">
        <f>IFERROR(__xludf.DUMMYFUNCTION("""COMPUTED_VALUE"""),"")</f>
        <v/>
      </c>
      <c r="B64" s="363" t="str">
        <f>IFERROR(__xludf.DUMMYFUNCTION("""COMPUTED_VALUE"""),"Трансформатор для подогрева бетона ТСДЗ - 63М/0.38 УЗ - без автомат.")</f>
        <v>Трансформатор для подогрева бетона ТСДЗ - 63М/0.38 УЗ - без автомат.</v>
      </c>
      <c r="C64" s="287" t="str">
        <f>IFERROR(__xludf.DUMMYFUNCTION("""COMPUTED_VALUE"""),"63 кВА, 63/70/80 В, 278 кг")</f>
        <v>63 кВА, 63/70/80 В, 278 кг</v>
      </c>
      <c r="D64" s="289">
        <f>IFERROR(__xludf.DUMMYFUNCTION("""COMPUTED_VALUE"""),3299.0)</f>
        <v>3299</v>
      </c>
      <c r="E64" s="368">
        <f>IFERROR(__xludf.DUMMYFUNCTION("""COMPUTED_VALUE"""),2804.15)</f>
        <v>2804.15</v>
      </c>
      <c r="F64" s="294">
        <f t="shared" ref="F64:F67" si="11">D64-E64</f>
        <v>494.85</v>
      </c>
      <c r="G64" s="313" t="str">
        <f>IFERROR(__xludf.DUMMYFUNCTION("""COMPUTED_VALUE"""),"под заказ")</f>
        <v>под заказ</v>
      </c>
      <c r="H64" s="373" t="str">
        <f>IFERROR(__xludf.DUMMYFUNCTION("""COMPUTED_VALUE"""),"http://isell.by/index.pl?act=PRODUCT&amp;id=502")</f>
        <v>http://isell.by/index.pl?act=PRODUCT&amp;id=502</v>
      </c>
      <c r="I64" s="374" t="str">
        <f>IFERROR(__xludf.DUMMYFUNCTION("""COMPUTED_VALUE"""),"ООО «ЗСО «КаВик», 215505, Смоленская область, Сафоновский район, г. Сафоново, ул. Октябрьская, дом 90")</f>
        <v>ООО «ЗСО «КаВик», 215505, Смоленская область, Сафоновский район, г. Сафоново, ул. Октябрьская, дом 90</v>
      </c>
      <c r="J64" s="298" t="str">
        <f>IFERROR(__xludf.DUMMYFUNCTION("""COMPUTED_VALUE"""),"ООО «ЗСО «КаВик», 215505, Смоленская область, Сафоновский район, г. Сафоново, ул. Октябрьская, дом 90")</f>
        <v>ООО «ЗСО «КаВик», 215505, Смоленская область, Сафоновский район, г. Сафоново, ул. Октябрьская, дом 90</v>
      </c>
      <c r="K64" s="375">
        <f>IFERROR(__xludf.DUMMYFUNCTION("""COMPUTED_VALUE"""),24.0)</f>
        <v>24</v>
      </c>
      <c r="L64" s="376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64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64" s="309"/>
    </row>
    <row r="65">
      <c r="A65" s="283" t="str">
        <f>IFERROR(__xludf.DUMMYFUNCTION("""COMPUTED_VALUE"""),"")</f>
        <v/>
      </c>
      <c r="B65" s="363" t="str">
        <f>IFERROR(__xludf.DUMMYFUNCTION("""COMPUTED_VALUE"""),"Трансформатор для подогрева бетона ТСДЗ - 80М/0.38 УЗ - без автомат.")</f>
        <v>Трансформатор для подогрева бетона ТСДЗ - 80М/0.38 УЗ - без автомат.</v>
      </c>
      <c r="C65" s="287" t="str">
        <f>IFERROR(__xludf.DUMMYFUNCTION("""COMPUTED_VALUE"""),"80 кВА, 45/55/75 В, 316 кг")</f>
        <v>80 кВА, 45/55/75 В, 316 кг</v>
      </c>
      <c r="D65" s="289">
        <f>IFERROR(__xludf.DUMMYFUNCTION("""COMPUTED_VALUE"""),3749.0)</f>
        <v>3749</v>
      </c>
      <c r="E65" s="368">
        <f>IFERROR(__xludf.DUMMYFUNCTION("""COMPUTED_VALUE"""),3186.65)</f>
        <v>3186.65</v>
      </c>
      <c r="F65" s="294">
        <f t="shared" si="11"/>
        <v>562.35</v>
      </c>
      <c r="G65" s="313" t="str">
        <f>IFERROR(__xludf.DUMMYFUNCTION("""COMPUTED_VALUE"""),"под заказ")</f>
        <v>под заказ</v>
      </c>
      <c r="H65" s="373" t="str">
        <f>IFERROR(__xludf.DUMMYFUNCTION("""COMPUTED_VALUE"""),"http://isell.by/index.pl?act=PRODUCT&amp;id=502")</f>
        <v>http://isell.by/index.pl?act=PRODUCT&amp;id=502</v>
      </c>
      <c r="I65" s="374" t="str">
        <f>IFERROR(__xludf.DUMMYFUNCTION("""COMPUTED_VALUE"""),"ООО «ЗСО «КаВик», 215505, Смоленская область, Сафоновский район, г. Сафоново, ул. Октябрьская, дом 90")</f>
        <v>ООО «ЗСО «КаВик», 215505, Смоленская область, Сафоновский район, г. Сафоново, ул. Октябрьская, дом 90</v>
      </c>
      <c r="J65" s="298" t="str">
        <f>IFERROR(__xludf.DUMMYFUNCTION("""COMPUTED_VALUE"""),"ООО «ЗСО «КаВик», 215505, Смоленская область, Сафоновский район, г. Сафоново, ул. Октябрьская, дом 90")</f>
        <v>ООО «ЗСО «КаВик», 215505, Смоленская область, Сафоновский район, г. Сафоново, ул. Октябрьская, дом 90</v>
      </c>
      <c r="K65" s="375">
        <f>IFERROR(__xludf.DUMMYFUNCTION("""COMPUTED_VALUE"""),24.0)</f>
        <v>24</v>
      </c>
      <c r="L65" s="376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65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65" s="309"/>
    </row>
    <row r="66">
      <c r="A66" s="283" t="str">
        <f>IFERROR(__xludf.DUMMYFUNCTION("""COMPUTED_VALUE"""),"")</f>
        <v/>
      </c>
      <c r="B66" s="363" t="str">
        <f>IFERROR(__xludf.DUMMYFUNCTION("""COMPUTED_VALUE"""),"Трансформатор для подогрева бетона ТСДЗ - 63/0.38 УЗ")</f>
        <v>Трансформатор для подогрева бетона ТСДЗ - 63/0.38 УЗ</v>
      </c>
      <c r="C66" s="287" t="str">
        <f>IFERROR(__xludf.DUMMYFUNCTION("""COMPUTED_VALUE"""),"63 кВА, 63/70/80 В, 310 кг")</f>
        <v>63 кВА, 63/70/80 В, 310 кг</v>
      </c>
      <c r="D66" s="289">
        <f>IFERROR(__xludf.DUMMYFUNCTION("""COMPUTED_VALUE"""),3419.0)</f>
        <v>3419</v>
      </c>
      <c r="E66" s="368">
        <f>IFERROR(__xludf.DUMMYFUNCTION("""COMPUTED_VALUE"""),2906.15)</f>
        <v>2906.15</v>
      </c>
      <c r="F66" s="294">
        <f t="shared" si="11"/>
        <v>512.85</v>
      </c>
      <c r="G66" s="313" t="str">
        <f>IFERROR(__xludf.DUMMYFUNCTION("""COMPUTED_VALUE"""),"под заказ")</f>
        <v>под заказ</v>
      </c>
      <c r="H66" s="369" t="str">
        <f>IFERROR(__xludf.DUMMYFUNCTION("""COMPUTED_VALUE"""),"http://isell.by/index.pl?act=PRODUCT&amp;id=502")</f>
        <v>http://isell.by/index.pl?act=PRODUCT&amp;id=502</v>
      </c>
      <c r="I66" s="298" t="str">
        <f>IFERROR(__xludf.DUMMYFUNCTION("""COMPUTED_VALUE"""),"ООО «ЗСО «КаВик», 215505, Смоленская область, Сафоновский район, г. Сафоново, ул. Октябрьская, дом 90")</f>
        <v>ООО «ЗСО «КаВик», 215505, Смоленская область, Сафоновский район, г. Сафоново, ул. Октябрьская, дом 90</v>
      </c>
      <c r="J66" s="298" t="str">
        <f>IFERROR(__xludf.DUMMYFUNCTION("""COMPUTED_VALUE"""),"ООО «ЗСО «КаВик», 215505, Смоленская область, Сафоновский район, г. Сафоново, ул. Октябрьская, дом 90")</f>
        <v>ООО «ЗСО «КаВик», 215505, Смоленская область, Сафоновский район, г. Сафоново, ул. Октябрьская, дом 90</v>
      </c>
      <c r="K66" s="301">
        <f>IFERROR(__xludf.DUMMYFUNCTION("""COMPUTED_VALUE"""),24.0)</f>
        <v>24</v>
      </c>
      <c r="L66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66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66" s="309"/>
    </row>
    <row r="67">
      <c r="A67" s="283" t="str">
        <f>IFERROR(__xludf.DUMMYFUNCTION("""COMPUTED_VALUE"""),"")</f>
        <v/>
      </c>
      <c r="B67" s="363" t="str">
        <f>IFERROR(__xludf.DUMMYFUNCTION("""COMPUTED_VALUE"""),"Трансформатор для подогрева бетона ТСДЗ - 80/0.38 УЗ")</f>
        <v>Трансформатор для подогрева бетона ТСДЗ - 80/0.38 УЗ</v>
      </c>
      <c r="C67" s="287" t="str">
        <f>IFERROR(__xludf.DUMMYFUNCTION("""COMPUTED_VALUE"""),"80 кВА, 45/55/75 В, 340кг")</f>
        <v>80 кВА, 45/55/75 В, 340кг</v>
      </c>
      <c r="D67" s="289">
        <f>IFERROR(__xludf.DUMMYFUNCTION("""COMPUTED_VALUE"""),3838.0)</f>
        <v>3838</v>
      </c>
      <c r="E67" s="368">
        <f>IFERROR(__xludf.DUMMYFUNCTION("""COMPUTED_VALUE"""),3262.2999999999997)</f>
        <v>3262.3</v>
      </c>
      <c r="F67" s="294">
        <f t="shared" si="11"/>
        <v>575.7</v>
      </c>
      <c r="G67" s="313" t="str">
        <f>IFERROR(__xludf.DUMMYFUNCTION("""COMPUTED_VALUE"""),"под заказ")</f>
        <v>под заказ</v>
      </c>
      <c r="H67" s="373" t="str">
        <f>IFERROR(__xludf.DUMMYFUNCTION("""COMPUTED_VALUE"""),"http://isell.by/index.pl?act=PRODUCT&amp;id=502")</f>
        <v>http://isell.by/index.pl?act=PRODUCT&amp;id=502</v>
      </c>
      <c r="I67" s="374" t="str">
        <f>IFERROR(__xludf.DUMMYFUNCTION("""COMPUTED_VALUE"""),"ООО «ЗСО «КаВик», 215505, Смоленская область, Сафоновский район, г. Сафоново, ул. Октябрьская, дом 90")</f>
        <v>ООО «ЗСО «КаВик», 215505, Смоленская область, Сафоновский район, г. Сафоново, ул. Октябрьская, дом 90</v>
      </c>
      <c r="J67" s="298" t="str">
        <f>IFERROR(__xludf.DUMMYFUNCTION("""COMPUTED_VALUE"""),"ООО «ЗСО «КаВик», 215505, Смоленская область, Сафоновский район, г. Сафоново, ул. Октябрьская, дом 90")</f>
        <v>ООО «ЗСО «КаВик», 215505, Смоленская область, Сафоновский район, г. Сафоново, ул. Октябрьская, дом 90</v>
      </c>
      <c r="K67" s="375">
        <f>IFERROR(__xludf.DUMMYFUNCTION("""COMPUTED_VALUE"""),24.0)</f>
        <v>24</v>
      </c>
      <c r="L67" s="376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67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67" s="309"/>
    </row>
    <row r="68">
      <c r="A68" s="259">
        <f>IFERROR(__xludf.DUMMYFUNCTION("""COMPUTED_VALUE"""),12.0)</f>
        <v>12</v>
      </c>
      <c r="B68" s="261" t="str">
        <f>IFERROR(__xludf.DUMMYFUNCTION("""COMPUTED_VALUE"""),"ТЕПЛОВЫЕ ПУШКИ")</f>
        <v>ТЕПЛОВЫЕ ПУШКИ</v>
      </c>
      <c r="C68" s="263" t="str">
        <f>IFERROR(__xludf.DUMMYFUNCTION("""COMPUTED_VALUE"""),"")</f>
        <v/>
      </c>
      <c r="D68" s="265" t="str">
        <f>IFERROR(__xludf.DUMMYFUNCTION("""COMPUTED_VALUE"""),"")</f>
        <v/>
      </c>
      <c r="E68" s="269" t="str">
        <f>IFERROR(__xludf.DUMMYFUNCTION("""COMPUTED_VALUE"""),"")</f>
        <v/>
      </c>
      <c r="F68" s="271"/>
      <c r="G68" s="273" t="str">
        <f>IFERROR(__xludf.DUMMYFUNCTION("""COMPUTED_VALUE"""),"")</f>
        <v/>
      </c>
      <c r="H68" s="275" t="str">
        <f>IFERROR(__xludf.DUMMYFUNCTION("""COMPUTED_VALUE"""),"")</f>
        <v/>
      </c>
      <c r="I68" s="277" t="str">
        <f>IFERROR(__xludf.DUMMYFUNCTION("""COMPUTED_VALUE"""),"")</f>
        <v/>
      </c>
      <c r="J68" s="277" t="str">
        <f>IFERROR(__xludf.DUMMYFUNCTION("""COMPUTED_VALUE"""),"")</f>
        <v/>
      </c>
      <c r="K68" s="279" t="str">
        <f>IFERROR(__xludf.DUMMYFUNCTION("""COMPUTED_VALUE"""),"")</f>
        <v/>
      </c>
      <c r="L68" s="277" t="str">
        <f>IFERROR(__xludf.DUMMYFUNCTION("""COMPUTED_VALUE"""),"")</f>
        <v/>
      </c>
      <c r="M68" s="281" t="str">
        <f>IFERROR(__xludf.DUMMYFUNCTION("""COMPUTED_VALUE"""),"")</f>
        <v/>
      </c>
      <c r="N68" s="281"/>
    </row>
    <row r="69">
      <c r="A69" s="283">
        <f>IFERROR(__xludf.DUMMYFUNCTION("""COMPUTED_VALUE"""),4822.0)</f>
        <v>4822</v>
      </c>
      <c r="B69" s="363" t="str">
        <f>IFERROR(__xludf.DUMMYFUNCTION("""COMPUTED_VALUE"""),"Стационарный жидкотопливный нагреватель MASTER WA 33 C")</f>
        <v>Стационарный жидкотопливный нагреватель MASTER WA 33 C</v>
      </c>
      <c r="C69" s="287" t="str">
        <f>IFERROR(__xludf.DUMMYFUNCTION("""COMPUTED_VALUE"""),"мощность 17-33 кВт")</f>
        <v>мощность 17-33 кВт</v>
      </c>
      <c r="D69" s="289">
        <f>IFERROR(__xludf.DUMMYFUNCTION("""COMPUTED_VALUE"""),5000.0)</f>
        <v>5000</v>
      </c>
      <c r="E69" s="291">
        <f>IFERROR(__xludf.DUMMYFUNCTION("""COMPUTED_VALUE"""),4250.0)</f>
        <v>4250</v>
      </c>
      <c r="F69" s="294">
        <f t="shared" ref="F69:F74" si="12">D69-E69</f>
        <v>750</v>
      </c>
      <c r="G69" s="313" t="str">
        <f>IFERROR(__xludf.DUMMYFUNCTION("""COMPUTED_VALUE"""),"под заказ")</f>
        <v>под заказ</v>
      </c>
      <c r="H69" s="370" t="str">
        <f>IFERROR(__xludf.DUMMYFUNCTION("""COMPUTED_VALUE"""),"http://isell.by/index.pl?act=PRODUCT&amp;id=499")</f>
        <v>http://isell.by/index.pl?act=PRODUCT&amp;id=499</v>
      </c>
      <c r="I69" s="298" t="str">
        <f>IFERROR(__xludf.DUMMYFUNCTION("""COMPUTED_VALUE"""),"MCS Central Europe Sp. z o.o., ul. Magazynowa 5a, 62-023 Gadki, Poland. Польша")</f>
        <v>MCS Central Europe Sp. z o.o., ul. Magazynowa 5a, 62-023 Gadki, Poland. Польша</v>
      </c>
      <c r="J69" s="298" t="str">
        <f>IFERROR(__xludf.DUMMYFUNCTION("""COMPUTED_VALUE"""),"MCS Central Europe Sp. z o.o., ul. Magazynowa 5a, 62-023 Gadki, Poland. Польша")</f>
        <v>MCS Central Europe Sp. z o.o., ul. Magazynowa 5a, 62-023 Gadki, Poland. Польша</v>
      </c>
      <c r="K69" s="301">
        <f>IFERROR(__xludf.DUMMYFUNCTION("""COMPUTED_VALUE"""),24.0)</f>
        <v>24</v>
      </c>
      <c r="L69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69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69" s="309"/>
    </row>
    <row r="70">
      <c r="A70" s="283">
        <f>IFERROR(__xludf.DUMMYFUNCTION("""COMPUTED_VALUE"""),4068.0)</f>
        <v>4068</v>
      </c>
      <c r="B70" s="363" t="str">
        <f>IFERROR(__xludf.DUMMYFUNCTION("""COMPUTED_VALUE"""),"Тепловая пушка газовая LXG 15M")</f>
        <v>Тепловая пушка газовая LXG 15M</v>
      </c>
      <c r="C70" s="287" t="str">
        <f>IFERROR(__xludf.DUMMYFUNCTION("""COMPUTED_VALUE"""),"мощность 15кВт")</f>
        <v>мощность 15кВт</v>
      </c>
      <c r="D70" s="289">
        <f>IFERROR(__xludf.DUMMYFUNCTION("""COMPUTED_VALUE"""),195.0)</f>
        <v>195</v>
      </c>
      <c r="E70" s="291">
        <f>IFERROR(__xludf.DUMMYFUNCTION("""COMPUTED_VALUE"""),195.0)</f>
        <v>195</v>
      </c>
      <c r="F70" s="294">
        <f t="shared" si="12"/>
        <v>0</v>
      </c>
      <c r="G70" s="313" t="str">
        <f>IFERROR(__xludf.DUMMYFUNCTION("""COMPUTED_VALUE"""),"в наличии")</f>
        <v>в наличии</v>
      </c>
      <c r="H70" s="370" t="str">
        <f>IFERROR(__xludf.DUMMYFUNCTION("""COMPUTED_VALUE"""),"http://isell.by/index.pl?act=PRODUCT&amp;id=99")</f>
        <v>http://isell.by/index.pl?act=PRODUCT&amp;id=99</v>
      </c>
      <c r="I70" s="298" t="str">
        <f>IFERROR(__xludf.DUMMYFUNCTION("""COMPUTED_VALUE"""),"TEKPAC Engineering Co., Ltd; YAXI INDUSTRY ZONE, LUOSHE TOWN, WUXI, China")</f>
        <v>TEKPAC Engineering Co., Ltd; YAXI INDUSTRY ZONE, LUOSHE TOWN, WUXI, China</v>
      </c>
      <c r="J70" s="298" t="str">
        <f>IFERROR(__xludf.DUMMYFUNCTION("""COMPUTED_VALUE"""),"TEKPAC Engineering Co., Ltd; YAXI INDUSTRY ZONE, LUOSHE TOWN, WUXI, China")</f>
        <v>TEKPAC Engineering Co., Ltd; YAXI INDUSTRY ZONE, LUOSHE TOWN, WUXI, China</v>
      </c>
      <c r="K70" s="301">
        <f>IFERROR(__xludf.DUMMYFUNCTION("""COMPUTED_VALUE"""),24.0)</f>
        <v>24</v>
      </c>
      <c r="L70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70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70" s="309"/>
    </row>
    <row r="71">
      <c r="A71" s="283">
        <f>IFERROR(__xludf.DUMMYFUNCTION("""COMPUTED_VALUE"""),4069.0)</f>
        <v>4069</v>
      </c>
      <c r="B71" s="363" t="str">
        <f>IFERROR(__xludf.DUMMYFUNCTION("""COMPUTED_VALUE"""),"Тепловая пушка газовая LXG 30M")</f>
        <v>Тепловая пушка газовая LXG 30M</v>
      </c>
      <c r="C71" s="287" t="str">
        <f>IFERROR(__xludf.DUMMYFUNCTION("""COMPUTED_VALUE"""),"мощность 30кВт")</f>
        <v>мощность 30кВт</v>
      </c>
      <c r="D71" s="289">
        <f>IFERROR(__xludf.DUMMYFUNCTION("""COMPUTED_VALUE"""),230.0)</f>
        <v>230</v>
      </c>
      <c r="E71" s="368">
        <f>IFERROR(__xludf.DUMMYFUNCTION("""COMPUTED_VALUE"""),230.0)</f>
        <v>230</v>
      </c>
      <c r="F71" s="294">
        <f t="shared" si="12"/>
        <v>0</v>
      </c>
      <c r="G71" s="313" t="str">
        <f>IFERROR(__xludf.DUMMYFUNCTION("""COMPUTED_VALUE"""),"в наличии")</f>
        <v>в наличии</v>
      </c>
      <c r="H71" s="369" t="str">
        <f>IFERROR(__xludf.DUMMYFUNCTION("""COMPUTED_VALUE"""),"http://isell.by/index.pl?act=PRODUCT&amp;id=100")</f>
        <v>http://isell.by/index.pl?act=PRODUCT&amp;id=100</v>
      </c>
      <c r="I71" s="298" t="str">
        <f>IFERROR(__xludf.DUMMYFUNCTION("""COMPUTED_VALUE"""),"TEKPAC Engineering Co., Ltd; YAXI INDUSTRY ZONE, LUOSHE TOWN, WUXI, China")</f>
        <v>TEKPAC Engineering Co., Ltd; YAXI INDUSTRY ZONE, LUOSHE TOWN, WUXI, China</v>
      </c>
      <c r="J71" s="298" t="str">
        <f>IFERROR(__xludf.DUMMYFUNCTION("""COMPUTED_VALUE"""),"TEKPAC Engineering Co., Ltd; YAXI INDUSTRY ZONE, LUOSHE TOWN, WUXI, China")</f>
        <v>TEKPAC Engineering Co., Ltd; YAXI INDUSTRY ZONE, LUOSHE TOWN, WUXI, China</v>
      </c>
      <c r="K71" s="301">
        <f>IFERROR(__xludf.DUMMYFUNCTION("""COMPUTED_VALUE"""),24.0)</f>
        <v>24</v>
      </c>
      <c r="L71" s="305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71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71" s="309"/>
    </row>
    <row r="72">
      <c r="A72" s="283">
        <f>IFERROR(__xludf.DUMMYFUNCTION("""COMPUTED_VALUE"""),4070.0)</f>
        <v>4070</v>
      </c>
      <c r="B72" s="363" t="str">
        <f>IFERROR(__xludf.DUMMYFUNCTION("""COMPUTED_VALUE"""),"Электрическая тепловая пушка LXDY5")</f>
        <v>Электрическая тепловая пушка LXDY5</v>
      </c>
      <c r="C72" s="287" t="str">
        <f>IFERROR(__xludf.DUMMYFUNCTION("""COMPUTED_VALUE"""),"400В, мощность 5кВт")</f>
        <v>400В, мощность 5кВт</v>
      </c>
      <c r="D72" s="289">
        <f>IFERROR(__xludf.DUMMYFUNCTION("""COMPUTED_VALUE"""),90.0)</f>
        <v>90</v>
      </c>
      <c r="E72" s="368">
        <f>IFERROR(__xludf.DUMMYFUNCTION("""COMPUTED_VALUE"""),90.0)</f>
        <v>90</v>
      </c>
      <c r="F72" s="294">
        <f t="shared" si="12"/>
        <v>0</v>
      </c>
      <c r="G72" s="313" t="str">
        <f>IFERROR(__xludf.DUMMYFUNCTION("""COMPUTED_VALUE"""),"в наличии")</f>
        <v>в наличии</v>
      </c>
      <c r="H72" s="373" t="str">
        <f>IFERROR(__xludf.DUMMYFUNCTION("""COMPUTED_VALUE"""),"http://isell.by/index.pl?act=PRODUCT&amp;id=287")</f>
        <v>http://isell.by/index.pl?act=PRODUCT&amp;id=287</v>
      </c>
      <c r="I72" s="374" t="str">
        <f>IFERROR(__xludf.DUMMYFUNCTION("""COMPUTED_VALUE"""),"TEKPAC Engineering Co., Ltd; YAXI INDUSTRY ZONE, LUOSHE TOWN, WUXI, China")</f>
        <v>TEKPAC Engineering Co., Ltd; YAXI INDUSTRY ZONE, LUOSHE TOWN, WUXI, China</v>
      </c>
      <c r="J72" s="298" t="str">
        <f>IFERROR(__xludf.DUMMYFUNCTION("""COMPUTED_VALUE"""),"TEKPAC Engineering Co., Ltd; YAXI INDUSTRY ZONE, LUOSHE TOWN, WUXI, China")</f>
        <v>TEKPAC Engineering Co., Ltd; YAXI INDUSTRY ZONE, LUOSHE TOWN, WUXI, China</v>
      </c>
      <c r="K72" s="375">
        <f>IFERROR(__xludf.DUMMYFUNCTION("""COMPUTED_VALUE"""),24.0)</f>
        <v>24</v>
      </c>
      <c r="L72" s="376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72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72" s="309"/>
    </row>
    <row r="73">
      <c r="A73" s="283">
        <f>IFERROR(__xludf.DUMMYFUNCTION("""COMPUTED_VALUE"""),4071.0)</f>
        <v>4071</v>
      </c>
      <c r="B73" s="363" t="str">
        <f>IFERROR(__xludf.DUMMYFUNCTION("""COMPUTED_VALUE"""),"Электрическая тепловая пушка LXDY9")</f>
        <v>Электрическая тепловая пушка LXDY9</v>
      </c>
      <c r="C73" s="287" t="str">
        <f>IFERROR(__xludf.DUMMYFUNCTION("""COMPUTED_VALUE"""),"400В, мощность 9кВт")</f>
        <v>400В, мощность 9кВт</v>
      </c>
      <c r="D73" s="289">
        <f>IFERROR(__xludf.DUMMYFUNCTION("""COMPUTED_VALUE"""),125.0)</f>
        <v>125</v>
      </c>
      <c r="E73" s="368">
        <f>IFERROR(__xludf.DUMMYFUNCTION("""COMPUTED_VALUE"""),125.0)</f>
        <v>125</v>
      </c>
      <c r="F73" s="294">
        <f t="shared" si="12"/>
        <v>0</v>
      </c>
      <c r="G73" s="313" t="str">
        <f>IFERROR(__xludf.DUMMYFUNCTION("""COMPUTED_VALUE"""),"в наличии")</f>
        <v>в наличии</v>
      </c>
      <c r="H73" s="373" t="str">
        <f>IFERROR(__xludf.DUMMYFUNCTION("""COMPUTED_VALUE"""),"http://isell.by/index.pl?act=PRODUCT&amp;id=288")</f>
        <v>http://isell.by/index.pl?act=PRODUCT&amp;id=288</v>
      </c>
      <c r="I73" s="374" t="str">
        <f>IFERROR(__xludf.DUMMYFUNCTION("""COMPUTED_VALUE"""),"TEKPAC Engineering Co., Ltd; YAXI INDUSTRY ZONE, LUOSHE TOWN, WUXI, China")</f>
        <v>TEKPAC Engineering Co., Ltd; YAXI INDUSTRY ZONE, LUOSHE TOWN, WUXI, China</v>
      </c>
      <c r="J73" s="298" t="str">
        <f>IFERROR(__xludf.DUMMYFUNCTION("""COMPUTED_VALUE"""),"TEKPAC Engineering Co., Ltd; YAXI INDUSTRY ZONE, LUOSHE TOWN, WUXI, China")</f>
        <v>TEKPAC Engineering Co., Ltd; YAXI INDUSTRY ZONE, LUOSHE TOWN, WUXI, China</v>
      </c>
      <c r="K73" s="375">
        <f>IFERROR(__xludf.DUMMYFUNCTION("""COMPUTED_VALUE"""),24.0)</f>
        <v>24</v>
      </c>
      <c r="L73" s="376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73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73" s="309"/>
    </row>
    <row r="74">
      <c r="A74" s="283">
        <f>IFERROR(__xludf.DUMMYFUNCTION("""COMPUTED_VALUE"""),4072.0)</f>
        <v>4072</v>
      </c>
      <c r="B74" s="363" t="str">
        <f>IFERROR(__xludf.DUMMYFUNCTION("""COMPUTED_VALUE"""),"Электрическая тепловая пушка LXF18")</f>
        <v>Электрическая тепловая пушка LXF18</v>
      </c>
      <c r="C74" s="287" t="str">
        <f>IFERROR(__xludf.DUMMYFUNCTION("""COMPUTED_VALUE"""),"400В, мощность 18кВт")</f>
        <v>400В, мощность 18кВт</v>
      </c>
      <c r="D74" s="289">
        <f>IFERROR(__xludf.DUMMYFUNCTION("""COMPUTED_VALUE"""),240.0)</f>
        <v>240</v>
      </c>
      <c r="E74" s="368">
        <f>IFERROR(__xludf.DUMMYFUNCTION("""COMPUTED_VALUE"""),240.0)</f>
        <v>240</v>
      </c>
      <c r="F74" s="294">
        <f t="shared" si="12"/>
        <v>0</v>
      </c>
      <c r="G74" s="313" t="str">
        <f>IFERROR(__xludf.DUMMYFUNCTION("""COMPUTED_VALUE"""),"в наличии")</f>
        <v>в наличии</v>
      </c>
      <c r="H74" s="373" t="str">
        <f>IFERROR(__xludf.DUMMYFUNCTION("""COMPUTED_VALUE"""),"http://isell.by/index.pl?act=PRODUCT&amp;id=302")</f>
        <v>http://isell.by/index.pl?act=PRODUCT&amp;id=302</v>
      </c>
      <c r="I74" s="374" t="str">
        <f>IFERROR(__xludf.DUMMYFUNCTION("""COMPUTED_VALUE"""),"TEKPAC Engineering Co., Ltd; YAXI INDUSTRY ZONE, LUOSHE TOWN, WUXI, China")</f>
        <v>TEKPAC Engineering Co., Ltd; YAXI INDUSTRY ZONE, LUOSHE TOWN, WUXI, China</v>
      </c>
      <c r="J74" s="298" t="str">
        <f>IFERROR(__xludf.DUMMYFUNCTION("""COMPUTED_VALUE"""),"TEKPAC Engineering Co., Ltd; YAXI INDUSTRY ZONE, LUOSHE TOWN, WUXI, China")</f>
        <v>TEKPAC Engineering Co., Ltd; YAXI INDUSTRY ZONE, LUOSHE TOWN, WUXI, China</v>
      </c>
      <c r="K74" s="375">
        <f>IFERROR(__xludf.DUMMYFUNCTION("""COMPUTED_VALUE"""),24.0)</f>
        <v>24</v>
      </c>
      <c r="L74" s="376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M74" s="309" t="str">
        <f>IFERROR(__xludf.DUMMYFUNCTION("""COMPUTED_VALUE"""),"Частное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333-33"&amp;"-96 МТС")</f>
        <v>Частное торговое унитарное предприятие «ИнстгруппМ», УНП 691532357, Р/с 3012000883009 в ОАО Банк БелВЭБ г. Минск код. 226, Адрес: 223051, Минский район, а.г. Колодищи, ул. Минская 56. +375 (17) 388-42-90 Город, +375 (29) 666-55-93 Velcom, +375 (33) 333-33-96 МТС</v>
      </c>
      <c r="N74" s="309"/>
    </row>
    <row r="75">
      <c r="A75" s="382" t="str">
        <f>IFERROR(__xludf.DUMMYFUNCTION("""COMPUTED_VALUE"""),"")</f>
        <v/>
      </c>
      <c r="B75" s="387" t="str">
        <f>IFERROR(__xludf.DUMMYFUNCTION("""COMPUTED_VALUE"""),"")</f>
        <v/>
      </c>
      <c r="C75" s="389" t="str">
        <f>IFERROR(__xludf.DUMMYFUNCTION("""COMPUTED_VALUE"""),"")</f>
        <v/>
      </c>
      <c r="D75" s="391" t="str">
        <f>IFERROR(__xludf.DUMMYFUNCTION("""COMPUTED_VALUE"""),"")</f>
        <v/>
      </c>
      <c r="E75" s="392" t="str">
        <f>IFERROR(__xludf.DUMMYFUNCTION("""COMPUTED_VALUE"""),"")</f>
        <v/>
      </c>
      <c r="F75" s="393"/>
      <c r="G75" s="395" t="str">
        <f>IFERROR(__xludf.DUMMYFUNCTION("""COMPUTED_VALUE"""),"")</f>
        <v/>
      </c>
      <c r="H75" s="396" t="str">
        <f>IFERROR(__xludf.DUMMYFUNCTION("""COMPUTED_VALUE"""),"")</f>
        <v/>
      </c>
      <c r="I75" s="305" t="str">
        <f>IFERROR(__xludf.DUMMYFUNCTION("""COMPUTED_VALUE"""),"")</f>
        <v/>
      </c>
      <c r="J75" s="305" t="str">
        <f>IFERROR(__xludf.DUMMYFUNCTION("""COMPUTED_VALUE"""),"")</f>
        <v/>
      </c>
      <c r="K75" s="301" t="str">
        <f>IFERROR(__xludf.DUMMYFUNCTION("""COMPUTED_VALUE"""),"")</f>
        <v/>
      </c>
      <c r="L75" s="305" t="str">
        <f>IFERROR(__xludf.DUMMYFUNCTION("""COMPUTED_VALUE"""),"")</f>
        <v/>
      </c>
      <c r="M75" s="309" t="str">
        <f>IFERROR(__xludf.DUMMYFUNCTION("""COMPUTED_VALUE"""),"")</f>
        <v/>
      </c>
      <c r="N75" s="309"/>
    </row>
    <row r="76">
      <c r="A76" s="382" t="str">
        <f>IFERROR(__xludf.DUMMYFUNCTION("""COMPUTED_VALUE"""),"")</f>
        <v/>
      </c>
      <c r="B76" s="387" t="str">
        <f>IFERROR(__xludf.DUMMYFUNCTION("""COMPUTED_VALUE"""),"")</f>
        <v/>
      </c>
      <c r="C76" s="389" t="str">
        <f>IFERROR(__xludf.DUMMYFUNCTION("""COMPUTED_VALUE"""),"")</f>
        <v/>
      </c>
      <c r="D76" s="391" t="str">
        <f>IFERROR(__xludf.DUMMYFUNCTION("""COMPUTED_VALUE"""),"")</f>
        <v/>
      </c>
      <c r="E76" s="392" t="str">
        <f>IFERROR(__xludf.DUMMYFUNCTION("""COMPUTED_VALUE"""),"")</f>
        <v/>
      </c>
      <c r="F76" s="393"/>
      <c r="G76" s="395" t="str">
        <f>IFERROR(__xludf.DUMMYFUNCTION("""COMPUTED_VALUE"""),"")</f>
        <v/>
      </c>
      <c r="H76" s="396" t="str">
        <f>IFERROR(__xludf.DUMMYFUNCTION("""COMPUTED_VALUE"""),"")</f>
        <v/>
      </c>
      <c r="I76" s="399" t="str">
        <f>IFERROR(__xludf.DUMMYFUNCTION("""COMPUTED_VALUE"""),"")</f>
        <v/>
      </c>
      <c r="J76" s="400" t="str">
        <f>IFERROR(__xludf.DUMMYFUNCTION("""COMPUTED_VALUE"""),"")</f>
        <v/>
      </c>
      <c r="K76" s="401" t="str">
        <f>IFERROR(__xludf.DUMMYFUNCTION("""COMPUTED_VALUE"""),"")</f>
        <v/>
      </c>
      <c r="L76" s="399" t="str">
        <f>IFERROR(__xludf.DUMMYFUNCTION("""COMPUTED_VALUE"""),"")</f>
        <v/>
      </c>
      <c r="M76" s="402" t="str">
        <f>IFERROR(__xludf.DUMMYFUNCTION("""COMPUTED_VALUE"""),"")</f>
        <v/>
      </c>
      <c r="N76" s="402"/>
    </row>
    <row r="77">
      <c r="A77" s="382" t="str">
        <f>IFERROR(__xludf.DUMMYFUNCTION("""COMPUTED_VALUE"""),"")</f>
        <v/>
      </c>
      <c r="B77" s="403" t="str">
        <f>IFERROR(__xludf.DUMMYFUNCTION("""COMPUTED_VALUE"""),"ПЕРЕПРОДАЖА")</f>
        <v>ПЕРЕПРОДАЖА</v>
      </c>
      <c r="C77" s="389" t="str">
        <f>IFERROR(__xludf.DUMMYFUNCTION("""COMPUTED_VALUE"""),"")</f>
        <v/>
      </c>
      <c r="D77" s="391" t="str">
        <f>IFERROR(__xludf.DUMMYFUNCTION("""COMPUTED_VALUE"""),"")</f>
        <v/>
      </c>
      <c r="E77" s="392" t="str">
        <f>IFERROR(__xludf.DUMMYFUNCTION("""COMPUTED_VALUE"""),"")</f>
        <v/>
      </c>
      <c r="F77" s="393"/>
      <c r="G77" s="395" t="str">
        <f>IFERROR(__xludf.DUMMYFUNCTION("""COMPUTED_VALUE"""),"")</f>
        <v/>
      </c>
      <c r="H77" s="396" t="str">
        <f>IFERROR(__xludf.DUMMYFUNCTION("""COMPUTED_VALUE"""),"")</f>
        <v/>
      </c>
      <c r="I77" s="399" t="str">
        <f>IFERROR(__xludf.DUMMYFUNCTION("""COMPUTED_VALUE"""),"")</f>
        <v/>
      </c>
      <c r="J77" s="400" t="str">
        <f>IFERROR(__xludf.DUMMYFUNCTION("""COMPUTED_VALUE"""),"")</f>
        <v/>
      </c>
      <c r="K77" s="401" t="str">
        <f>IFERROR(__xludf.DUMMYFUNCTION("""COMPUTED_VALUE"""),"")</f>
        <v/>
      </c>
      <c r="L77" s="399" t="str">
        <f>IFERROR(__xludf.DUMMYFUNCTION("""COMPUTED_VALUE"""),"")</f>
        <v/>
      </c>
      <c r="M77" s="402" t="str">
        <f>IFERROR(__xludf.DUMMYFUNCTION("""COMPUTED_VALUE"""),"")</f>
        <v/>
      </c>
      <c r="N77" s="402"/>
    </row>
    <row r="78">
      <c r="A78" s="382">
        <f>IFERROR(__xludf.DUMMYFUNCTION("""COMPUTED_VALUE"""),13.0)</f>
        <v>13</v>
      </c>
      <c r="B78" s="387" t="str">
        <f>IFERROR(__xludf.DUMMYFUNCTION("""COMPUTED_VALUE"""),"АЛМАЗНЫЕ КРУГИ и кровельные фрезы")</f>
        <v>АЛМАЗНЫЕ КРУГИ и кровельные фрезы</v>
      </c>
      <c r="C78" s="389" t="str">
        <f>IFERROR(__xludf.DUMMYFUNCTION("""COMPUTED_VALUE"""),"")</f>
        <v/>
      </c>
      <c r="D78" s="391" t="str">
        <f>IFERROR(__xludf.DUMMYFUNCTION("""COMPUTED_VALUE"""),"")</f>
        <v/>
      </c>
      <c r="E78" s="392" t="str">
        <f>IFERROR(__xludf.DUMMYFUNCTION("""COMPUTED_VALUE"""),"")</f>
        <v/>
      </c>
      <c r="F78" s="393"/>
      <c r="G78" s="395" t="str">
        <f>IFERROR(__xludf.DUMMYFUNCTION("""COMPUTED_VALUE"""),"")</f>
        <v/>
      </c>
      <c r="H78" s="396" t="str">
        <f>IFERROR(__xludf.DUMMYFUNCTION("""COMPUTED_VALUE"""),"")</f>
        <v/>
      </c>
      <c r="I78" s="399" t="str">
        <f>IFERROR(__xludf.DUMMYFUNCTION("""COMPUTED_VALUE"""),"")</f>
        <v/>
      </c>
      <c r="J78" s="400" t="str">
        <f>IFERROR(__xludf.DUMMYFUNCTION("""COMPUTED_VALUE"""),"")</f>
        <v/>
      </c>
      <c r="K78" s="401" t="str">
        <f>IFERROR(__xludf.DUMMYFUNCTION("""COMPUTED_VALUE"""),"")</f>
        <v/>
      </c>
      <c r="L78" s="399" t="str">
        <f>IFERROR(__xludf.DUMMYFUNCTION("""COMPUTED_VALUE"""),"")</f>
        <v/>
      </c>
      <c r="M78" s="402" t="str">
        <f>IFERROR(__xludf.DUMMYFUNCTION("""COMPUTED_VALUE"""),"")</f>
        <v/>
      </c>
      <c r="N78" s="402"/>
    </row>
    <row r="79">
      <c r="A79" s="382"/>
      <c r="B79" s="387"/>
      <c r="C79" s="389"/>
      <c r="D79" s="391"/>
      <c r="E79" s="392"/>
      <c r="F79" s="393"/>
      <c r="G79" s="395"/>
      <c r="H79" s="396"/>
      <c r="I79" s="399"/>
      <c r="J79" s="400"/>
      <c r="K79" s="401"/>
      <c r="L79" s="399"/>
      <c r="M79" s="402"/>
      <c r="N79" s="402"/>
    </row>
    <row r="80">
      <c r="A80" s="382"/>
      <c r="B80" s="387"/>
      <c r="C80" s="389"/>
      <c r="D80" s="391"/>
      <c r="E80" s="392"/>
      <c r="F80" s="393"/>
      <c r="G80" s="395"/>
      <c r="H80" s="396"/>
      <c r="I80" s="399"/>
      <c r="J80" s="400"/>
      <c r="K80" s="401"/>
      <c r="L80" s="399"/>
      <c r="M80" s="402"/>
      <c r="N80" s="402"/>
    </row>
    <row r="81">
      <c r="A81" s="382"/>
      <c r="B81" s="387"/>
      <c r="C81" s="389"/>
      <c r="D81" s="391"/>
      <c r="E81" s="392"/>
      <c r="F81" s="393"/>
      <c r="G81" s="395"/>
      <c r="H81" s="396"/>
      <c r="I81" s="399"/>
      <c r="J81" s="400"/>
      <c r="K81" s="401"/>
      <c r="L81" s="399"/>
      <c r="M81" s="402"/>
      <c r="N81" s="402"/>
    </row>
    <row r="82">
      <c r="A82" s="382"/>
      <c r="B82" s="387"/>
      <c r="C82" s="389"/>
      <c r="D82" s="391"/>
      <c r="E82" s="392"/>
      <c r="F82" s="393"/>
      <c r="G82" s="395"/>
      <c r="H82" s="396"/>
      <c r="I82" s="399"/>
      <c r="J82" s="400"/>
      <c r="K82" s="401"/>
      <c r="L82" s="399"/>
      <c r="M82" s="402"/>
      <c r="N82" s="402"/>
    </row>
    <row r="83">
      <c r="A83" s="382"/>
      <c r="B83" s="387"/>
      <c r="C83" s="389"/>
      <c r="D83" s="391"/>
      <c r="E83" s="392"/>
      <c r="F83" s="393"/>
      <c r="G83" s="395"/>
      <c r="H83" s="396"/>
      <c r="I83" s="399"/>
      <c r="J83" s="400"/>
      <c r="K83" s="401"/>
      <c r="L83" s="399"/>
      <c r="M83" s="402"/>
      <c r="N83" s="402"/>
    </row>
    <row r="84">
      <c r="A84" s="382"/>
      <c r="B84" s="387"/>
      <c r="C84" s="389"/>
      <c r="D84" s="391"/>
      <c r="E84" s="392"/>
      <c r="F84" s="393"/>
      <c r="G84" s="395"/>
      <c r="H84" s="396"/>
      <c r="I84" s="399"/>
      <c r="J84" s="400"/>
      <c r="K84" s="401"/>
      <c r="L84" s="399"/>
      <c r="M84" s="402"/>
      <c r="N84" s="402"/>
    </row>
    <row r="85">
      <c r="A85" s="382"/>
      <c r="B85" s="387"/>
      <c r="C85" s="389"/>
      <c r="D85" s="391"/>
      <c r="E85" s="392"/>
      <c r="F85" s="393"/>
      <c r="G85" s="395"/>
      <c r="H85" s="396"/>
      <c r="I85" s="399"/>
      <c r="J85" s="400"/>
      <c r="K85" s="401"/>
      <c r="L85" s="399"/>
      <c r="M85" s="402"/>
      <c r="N85" s="402"/>
    </row>
    <row r="86">
      <c r="A86" s="382"/>
      <c r="B86" s="387"/>
      <c r="C86" s="389"/>
      <c r="D86" s="391"/>
      <c r="E86" s="392"/>
      <c r="F86" s="393"/>
      <c r="G86" s="395"/>
      <c r="H86" s="396"/>
      <c r="I86" s="399"/>
      <c r="J86" s="400"/>
      <c r="K86" s="401"/>
      <c r="L86" s="399"/>
      <c r="M86" s="402"/>
      <c r="N86" s="402"/>
    </row>
    <row r="87">
      <c r="A87" s="382"/>
      <c r="B87" s="387"/>
      <c r="C87" s="389"/>
      <c r="D87" s="391"/>
      <c r="E87" s="392"/>
      <c r="F87" s="393"/>
      <c r="G87" s="395"/>
      <c r="H87" s="396"/>
      <c r="I87" s="399"/>
      <c r="J87" s="400"/>
      <c r="K87" s="401"/>
      <c r="L87" s="399"/>
      <c r="M87" s="402"/>
      <c r="N87" s="402"/>
    </row>
    <row r="88">
      <c r="A88" s="382"/>
      <c r="B88" s="387"/>
      <c r="C88" s="389"/>
      <c r="D88" s="391"/>
      <c r="E88" s="392"/>
      <c r="F88" s="393"/>
      <c r="G88" s="395"/>
      <c r="H88" s="396"/>
      <c r="I88" s="399"/>
      <c r="J88" s="400"/>
      <c r="K88" s="401"/>
      <c r="L88" s="399"/>
      <c r="M88" s="402"/>
      <c r="N88" s="402"/>
    </row>
    <row r="89">
      <c r="A89" s="382"/>
      <c r="B89" s="387"/>
      <c r="C89" s="389"/>
      <c r="D89" s="391"/>
      <c r="E89" s="392"/>
      <c r="F89" s="393"/>
      <c r="G89" s="395"/>
      <c r="H89" s="396"/>
      <c r="I89" s="399"/>
      <c r="J89" s="400"/>
      <c r="K89" s="401"/>
      <c r="L89" s="399"/>
      <c r="M89" s="402"/>
      <c r="N89" s="402"/>
    </row>
    <row r="90">
      <c r="A90" s="382"/>
      <c r="B90" s="387"/>
      <c r="C90" s="389"/>
      <c r="D90" s="391"/>
      <c r="E90" s="392"/>
      <c r="F90" s="393"/>
      <c r="G90" s="395"/>
      <c r="H90" s="396"/>
      <c r="I90" s="399"/>
      <c r="J90" s="400"/>
      <c r="K90" s="401"/>
      <c r="L90" s="399"/>
      <c r="M90" s="402"/>
      <c r="N90" s="402"/>
    </row>
    <row r="91">
      <c r="A91" s="382"/>
      <c r="B91" s="387"/>
      <c r="C91" s="389"/>
      <c r="D91" s="391"/>
      <c r="E91" s="392"/>
      <c r="F91" s="393"/>
      <c r="G91" s="395"/>
      <c r="H91" s="396"/>
      <c r="I91" s="399"/>
      <c r="J91" s="400"/>
      <c r="K91" s="401"/>
      <c r="L91" s="399"/>
      <c r="M91" s="402"/>
      <c r="N91" s="402"/>
    </row>
    <row r="92">
      <c r="A92" s="382"/>
      <c r="B92" s="387"/>
      <c r="C92" s="389"/>
      <c r="D92" s="391"/>
      <c r="E92" s="392"/>
      <c r="F92" s="393"/>
      <c r="G92" s="395"/>
      <c r="H92" s="396"/>
      <c r="I92" s="399"/>
      <c r="J92" s="400"/>
      <c r="K92" s="401"/>
      <c r="L92" s="399"/>
      <c r="M92" s="402"/>
      <c r="N92" s="402"/>
    </row>
    <row r="93">
      <c r="A93" s="382"/>
      <c r="B93" s="387"/>
      <c r="C93" s="389"/>
      <c r="D93" s="391"/>
      <c r="E93" s="392"/>
      <c r="F93" s="393"/>
      <c r="G93" s="395"/>
      <c r="H93" s="396"/>
      <c r="I93" s="399"/>
      <c r="J93" s="400"/>
      <c r="K93" s="401"/>
      <c r="L93" s="399"/>
      <c r="M93" s="402"/>
      <c r="N93" s="402"/>
    </row>
    <row r="94">
      <c r="A94" s="382"/>
      <c r="B94" s="387"/>
      <c r="C94" s="389"/>
      <c r="D94" s="391"/>
      <c r="E94" s="392"/>
      <c r="F94" s="393"/>
      <c r="G94" s="395"/>
      <c r="H94" s="396"/>
      <c r="I94" s="399"/>
      <c r="J94" s="400"/>
      <c r="K94" s="401"/>
      <c r="L94" s="399"/>
      <c r="M94" s="402"/>
      <c r="N94" s="402"/>
    </row>
    <row r="95">
      <c r="A95" s="382"/>
      <c r="B95" s="387"/>
      <c r="C95" s="389"/>
      <c r="D95" s="391"/>
      <c r="E95" s="392"/>
      <c r="F95" s="393"/>
      <c r="G95" s="395"/>
      <c r="H95" s="396"/>
      <c r="I95" s="399"/>
      <c r="J95" s="400"/>
      <c r="K95" s="401"/>
      <c r="L95" s="399"/>
      <c r="M95" s="402"/>
      <c r="N95" s="402"/>
    </row>
    <row r="96">
      <c r="A96" s="382"/>
      <c r="B96" s="387"/>
      <c r="C96" s="389"/>
      <c r="D96" s="391"/>
      <c r="E96" s="392"/>
      <c r="F96" s="393"/>
      <c r="G96" s="395"/>
      <c r="H96" s="396"/>
      <c r="I96" s="399"/>
      <c r="J96" s="400"/>
      <c r="K96" s="401"/>
      <c r="L96" s="399"/>
      <c r="M96" s="402"/>
      <c r="N96" s="402"/>
    </row>
    <row r="97">
      <c r="A97" s="382"/>
      <c r="B97" s="387"/>
      <c r="C97" s="389"/>
      <c r="D97" s="391"/>
      <c r="E97" s="392"/>
      <c r="F97" s="393"/>
      <c r="G97" s="395"/>
      <c r="H97" s="396"/>
      <c r="I97" s="399"/>
      <c r="J97" s="400"/>
      <c r="K97" s="401"/>
      <c r="L97" s="399"/>
      <c r="M97" s="402"/>
      <c r="N97" s="402"/>
    </row>
    <row r="98">
      <c r="A98" s="382"/>
      <c r="B98" s="387"/>
      <c r="C98" s="389"/>
      <c r="D98" s="391"/>
      <c r="E98" s="392"/>
      <c r="F98" s="393"/>
      <c r="G98" s="395"/>
      <c r="H98" s="396"/>
      <c r="I98" s="399"/>
      <c r="J98" s="400"/>
      <c r="K98" s="401"/>
      <c r="L98" s="399"/>
      <c r="M98" s="402"/>
      <c r="N98" s="402"/>
    </row>
    <row r="99">
      <c r="A99" s="382"/>
      <c r="B99" s="387"/>
      <c r="C99" s="389"/>
      <c r="D99" s="391"/>
      <c r="E99" s="392"/>
      <c r="F99" s="393"/>
      <c r="G99" s="395"/>
      <c r="H99" s="396"/>
      <c r="I99" s="399"/>
      <c r="J99" s="400"/>
      <c r="K99" s="401"/>
      <c r="L99" s="399"/>
      <c r="M99" s="402"/>
      <c r="N99" s="402"/>
    </row>
    <row r="100">
      <c r="A100" s="382"/>
      <c r="B100" s="387"/>
      <c r="C100" s="389"/>
      <c r="D100" s="391"/>
      <c r="E100" s="392"/>
      <c r="F100" s="393"/>
      <c r="G100" s="395"/>
      <c r="H100" s="396"/>
      <c r="I100" s="399"/>
      <c r="J100" s="400"/>
      <c r="K100" s="401"/>
      <c r="L100" s="399"/>
      <c r="M100" s="402"/>
      <c r="N100" s="402"/>
    </row>
    <row r="101">
      <c r="A101" s="382"/>
      <c r="B101" s="387"/>
      <c r="C101" s="389"/>
      <c r="D101" s="391"/>
      <c r="E101" s="392"/>
      <c r="F101" s="393"/>
      <c r="G101" s="395"/>
      <c r="H101" s="396"/>
      <c r="I101" s="399"/>
      <c r="J101" s="400"/>
      <c r="K101" s="401"/>
      <c r="L101" s="399"/>
      <c r="M101" s="402"/>
      <c r="N101" s="402"/>
    </row>
    <row r="102">
      <c r="A102" s="382"/>
      <c r="B102" s="387"/>
      <c r="C102" s="389"/>
      <c r="D102" s="391"/>
      <c r="E102" s="392"/>
      <c r="F102" s="393"/>
      <c r="G102" s="395"/>
      <c r="H102" s="396"/>
      <c r="I102" s="399"/>
      <c r="J102" s="400"/>
      <c r="K102" s="401"/>
      <c r="L102" s="399"/>
      <c r="M102" s="402"/>
      <c r="N102" s="402"/>
    </row>
    <row r="103">
      <c r="A103" s="382"/>
      <c r="B103" s="387"/>
      <c r="C103" s="389"/>
      <c r="D103" s="391"/>
      <c r="E103" s="392"/>
      <c r="F103" s="393"/>
      <c r="G103" s="395"/>
      <c r="H103" s="396"/>
      <c r="I103" s="399"/>
      <c r="J103" s="400"/>
      <c r="K103" s="401"/>
      <c r="L103" s="399"/>
      <c r="M103" s="402"/>
      <c r="N103" s="402"/>
    </row>
    <row r="104">
      <c r="A104" s="382"/>
      <c r="B104" s="387"/>
      <c r="C104" s="389"/>
      <c r="D104" s="391"/>
      <c r="E104" s="392"/>
      <c r="F104" s="393"/>
      <c r="G104" s="395"/>
      <c r="H104" s="396"/>
      <c r="I104" s="399"/>
      <c r="J104" s="400"/>
      <c r="K104" s="401"/>
      <c r="L104" s="399"/>
      <c r="M104" s="402"/>
      <c r="N104" s="402"/>
    </row>
    <row r="105">
      <c r="A105" s="382"/>
      <c r="B105" s="387"/>
      <c r="C105" s="389"/>
      <c r="D105" s="391"/>
      <c r="E105" s="392"/>
      <c r="F105" s="393"/>
      <c r="G105" s="395"/>
      <c r="H105" s="396"/>
      <c r="I105" s="399"/>
      <c r="J105" s="400"/>
      <c r="K105" s="401"/>
      <c r="L105" s="399"/>
      <c r="M105" s="402"/>
      <c r="N105" s="402"/>
    </row>
    <row r="106">
      <c r="A106" s="382"/>
      <c r="B106" s="387"/>
      <c r="C106" s="389"/>
      <c r="D106" s="391"/>
      <c r="E106" s="392"/>
      <c r="F106" s="393"/>
      <c r="G106" s="395"/>
      <c r="H106" s="396"/>
      <c r="I106" s="399"/>
      <c r="J106" s="400"/>
      <c r="K106" s="401"/>
      <c r="L106" s="399"/>
      <c r="M106" s="402"/>
      <c r="N106" s="402"/>
    </row>
    <row r="107">
      <c r="A107" s="382"/>
      <c r="B107" s="387"/>
      <c r="C107" s="389"/>
      <c r="D107" s="391"/>
      <c r="E107" s="392"/>
      <c r="F107" s="393"/>
      <c r="G107" s="395"/>
      <c r="H107" s="396"/>
      <c r="I107" s="399"/>
      <c r="J107" s="400"/>
      <c r="K107" s="401"/>
      <c r="L107" s="399"/>
      <c r="M107" s="402"/>
      <c r="N107" s="402"/>
    </row>
    <row r="108">
      <c r="A108" s="382"/>
      <c r="B108" s="387"/>
      <c r="C108" s="389"/>
      <c r="D108" s="391"/>
      <c r="E108" s="392"/>
      <c r="F108" s="393"/>
      <c r="G108" s="395"/>
      <c r="H108" s="396"/>
      <c r="I108" s="399"/>
      <c r="J108" s="400"/>
      <c r="K108" s="401"/>
      <c r="L108" s="399"/>
      <c r="M108" s="402"/>
      <c r="N108" s="402"/>
    </row>
    <row r="109">
      <c r="A109" s="382"/>
      <c r="B109" s="387"/>
      <c r="C109" s="389"/>
      <c r="D109" s="391"/>
      <c r="E109" s="392"/>
      <c r="F109" s="393"/>
      <c r="G109" s="395"/>
      <c r="H109" s="396"/>
      <c r="I109" s="399"/>
      <c r="J109" s="400"/>
      <c r="K109" s="401"/>
      <c r="L109" s="399"/>
      <c r="M109" s="402"/>
      <c r="N109" s="402"/>
    </row>
    <row r="110">
      <c r="A110" s="382"/>
      <c r="B110" s="387"/>
      <c r="C110" s="389"/>
      <c r="D110" s="391"/>
      <c r="E110" s="392"/>
      <c r="F110" s="393"/>
      <c r="G110" s="395"/>
      <c r="H110" s="396"/>
      <c r="I110" s="399"/>
      <c r="J110" s="400"/>
      <c r="K110" s="401"/>
      <c r="L110" s="399"/>
      <c r="M110" s="402"/>
      <c r="N110" s="402"/>
    </row>
    <row r="111">
      <c r="A111" s="382"/>
      <c r="B111" s="387"/>
      <c r="C111" s="389"/>
      <c r="D111" s="391"/>
      <c r="E111" s="392"/>
      <c r="F111" s="393"/>
      <c r="G111" s="395"/>
      <c r="H111" s="396"/>
      <c r="I111" s="399"/>
      <c r="J111" s="400"/>
      <c r="K111" s="401"/>
      <c r="L111" s="399"/>
      <c r="M111" s="402"/>
      <c r="N111" s="402"/>
    </row>
    <row r="112">
      <c r="A112" s="382"/>
      <c r="B112" s="387"/>
      <c r="C112" s="389"/>
      <c r="D112" s="391"/>
      <c r="E112" s="392"/>
      <c r="F112" s="393"/>
      <c r="G112" s="395"/>
      <c r="H112" s="396"/>
      <c r="I112" s="399"/>
      <c r="J112" s="400"/>
      <c r="K112" s="401"/>
      <c r="L112" s="399"/>
      <c r="M112" s="402"/>
      <c r="N112" s="402"/>
    </row>
    <row r="113">
      <c r="A113" s="382"/>
      <c r="B113" s="387"/>
      <c r="C113" s="389"/>
      <c r="D113" s="391"/>
      <c r="E113" s="392"/>
      <c r="F113" s="393"/>
      <c r="G113" s="395"/>
      <c r="H113" s="396"/>
      <c r="I113" s="399"/>
      <c r="J113" s="400"/>
      <c r="K113" s="401"/>
      <c r="L113" s="399"/>
      <c r="M113" s="402"/>
      <c r="N113" s="402"/>
    </row>
    <row r="114">
      <c r="A114" s="382"/>
      <c r="B114" s="387"/>
      <c r="C114" s="389"/>
      <c r="D114" s="391"/>
      <c r="E114" s="392"/>
      <c r="F114" s="393"/>
      <c r="G114" s="395"/>
      <c r="H114" s="396"/>
      <c r="I114" s="399"/>
      <c r="J114" s="400"/>
      <c r="K114" s="401"/>
      <c r="L114" s="399"/>
      <c r="M114" s="402"/>
      <c r="N114" s="402"/>
    </row>
    <row r="115">
      <c r="A115" s="382"/>
      <c r="B115" s="387"/>
      <c r="C115" s="389"/>
      <c r="D115" s="391"/>
      <c r="E115" s="392"/>
      <c r="F115" s="393"/>
      <c r="G115" s="395"/>
      <c r="H115" s="396"/>
      <c r="I115" s="399"/>
      <c r="J115" s="400"/>
      <c r="K115" s="401"/>
      <c r="L115" s="399"/>
      <c r="M115" s="402"/>
      <c r="N115" s="402"/>
    </row>
    <row r="116">
      <c r="A116" s="382"/>
      <c r="B116" s="387"/>
      <c r="C116" s="389"/>
      <c r="D116" s="391"/>
      <c r="E116" s="392"/>
      <c r="F116" s="393"/>
      <c r="G116" s="395"/>
      <c r="H116" s="396"/>
      <c r="I116" s="399"/>
      <c r="J116" s="400"/>
      <c r="K116" s="401"/>
      <c r="L116" s="399"/>
      <c r="M116" s="402"/>
      <c r="N116" s="402"/>
    </row>
    <row r="117">
      <c r="A117" s="382"/>
      <c r="B117" s="387"/>
      <c r="C117" s="389"/>
      <c r="D117" s="391"/>
      <c r="E117" s="392"/>
      <c r="F117" s="393"/>
      <c r="G117" s="395"/>
      <c r="H117" s="396"/>
      <c r="I117" s="399"/>
      <c r="J117" s="400"/>
      <c r="K117" s="401"/>
      <c r="L117" s="399"/>
      <c r="M117" s="402"/>
      <c r="N117" s="402"/>
    </row>
    <row r="118">
      <c r="A118" s="382"/>
      <c r="B118" s="387"/>
      <c r="C118" s="389"/>
      <c r="D118" s="391"/>
      <c r="E118" s="392"/>
      <c r="F118" s="393"/>
      <c r="G118" s="395"/>
      <c r="H118" s="396"/>
      <c r="I118" s="399"/>
      <c r="J118" s="400"/>
      <c r="K118" s="401"/>
      <c r="L118" s="399"/>
      <c r="M118" s="402"/>
      <c r="N118" s="402"/>
    </row>
    <row r="119">
      <c r="A119" s="382"/>
      <c r="B119" s="387"/>
      <c r="C119" s="389"/>
      <c r="D119" s="391"/>
      <c r="E119" s="392"/>
      <c r="F119" s="393"/>
      <c r="G119" s="395"/>
      <c r="H119" s="396"/>
      <c r="I119" s="399"/>
      <c r="J119" s="400"/>
      <c r="K119" s="401"/>
      <c r="L119" s="399"/>
      <c r="M119" s="402"/>
      <c r="N119" s="402"/>
    </row>
    <row r="120">
      <c r="A120" s="382"/>
      <c r="B120" s="387"/>
      <c r="C120" s="389"/>
      <c r="D120" s="391"/>
      <c r="E120" s="392"/>
      <c r="F120" s="393"/>
      <c r="G120" s="395"/>
      <c r="H120" s="396"/>
      <c r="I120" s="399"/>
      <c r="J120" s="400"/>
      <c r="K120" s="401"/>
      <c r="L120" s="399"/>
      <c r="M120" s="402"/>
      <c r="N120" s="402"/>
    </row>
    <row r="121">
      <c r="A121" s="382"/>
      <c r="B121" s="387"/>
      <c r="C121" s="389"/>
      <c r="D121" s="391"/>
      <c r="E121" s="392"/>
      <c r="F121" s="393"/>
      <c r="G121" s="395"/>
      <c r="H121" s="396"/>
      <c r="I121" s="399"/>
      <c r="J121" s="400"/>
      <c r="K121" s="401"/>
      <c r="L121" s="399"/>
      <c r="M121" s="402"/>
      <c r="N121" s="402"/>
    </row>
    <row r="122">
      <c r="A122" s="382"/>
      <c r="B122" s="387"/>
      <c r="C122" s="389"/>
      <c r="D122" s="391"/>
      <c r="E122" s="392"/>
      <c r="F122" s="393"/>
      <c r="G122" s="395"/>
      <c r="H122" s="396"/>
      <c r="I122" s="399"/>
      <c r="J122" s="400"/>
      <c r="K122" s="401"/>
      <c r="L122" s="399"/>
      <c r="M122" s="402"/>
      <c r="N122" s="402"/>
    </row>
    <row r="123">
      <c r="A123" s="382"/>
      <c r="B123" s="387"/>
      <c r="C123" s="389"/>
      <c r="D123" s="391"/>
      <c r="E123" s="392"/>
      <c r="F123" s="393"/>
      <c r="G123" s="395"/>
      <c r="H123" s="396"/>
      <c r="I123" s="399"/>
      <c r="J123" s="400"/>
      <c r="K123" s="401"/>
      <c r="L123" s="399"/>
      <c r="M123" s="402"/>
      <c r="N123" s="402"/>
    </row>
    <row r="124">
      <c r="A124" s="382"/>
      <c r="B124" s="387"/>
      <c r="C124" s="389"/>
      <c r="D124" s="391"/>
      <c r="E124" s="392"/>
      <c r="F124" s="393"/>
      <c r="G124" s="395"/>
      <c r="H124" s="396"/>
      <c r="I124" s="399"/>
      <c r="J124" s="400"/>
      <c r="K124" s="401"/>
      <c r="L124" s="399"/>
      <c r="M124" s="402"/>
      <c r="N124" s="402"/>
    </row>
    <row r="125">
      <c r="A125" s="382"/>
      <c r="B125" s="387"/>
      <c r="C125" s="389"/>
      <c r="D125" s="391"/>
      <c r="E125" s="392"/>
      <c r="F125" s="393"/>
      <c r="G125" s="395"/>
      <c r="H125" s="396"/>
      <c r="I125" s="399"/>
      <c r="J125" s="400"/>
      <c r="K125" s="401"/>
      <c r="L125" s="399"/>
      <c r="M125" s="402"/>
      <c r="N125" s="402"/>
    </row>
    <row r="126">
      <c r="A126" s="382"/>
      <c r="B126" s="387"/>
      <c r="C126" s="389"/>
      <c r="D126" s="391"/>
      <c r="E126" s="392"/>
      <c r="F126" s="393"/>
      <c r="G126" s="395"/>
      <c r="H126" s="396"/>
      <c r="I126" s="399"/>
      <c r="J126" s="400"/>
      <c r="K126" s="401"/>
      <c r="L126" s="399"/>
      <c r="M126" s="402"/>
      <c r="N126" s="402"/>
    </row>
    <row r="127">
      <c r="A127" s="382"/>
      <c r="B127" s="387"/>
      <c r="C127" s="389"/>
      <c r="D127" s="391"/>
      <c r="E127" s="392"/>
      <c r="F127" s="393"/>
      <c r="G127" s="395"/>
      <c r="H127" s="396"/>
      <c r="I127" s="399"/>
      <c r="J127" s="400"/>
      <c r="K127" s="401"/>
      <c r="L127" s="399"/>
      <c r="M127" s="402"/>
      <c r="N127" s="402"/>
    </row>
    <row r="128">
      <c r="A128" s="382"/>
      <c r="B128" s="387"/>
      <c r="C128" s="389"/>
      <c r="D128" s="391"/>
      <c r="E128" s="392"/>
      <c r="F128" s="393"/>
      <c r="G128" s="395"/>
      <c r="H128" s="396"/>
      <c r="I128" s="399"/>
      <c r="J128" s="400"/>
      <c r="K128" s="401"/>
      <c r="L128" s="399"/>
      <c r="M128" s="402"/>
      <c r="N128" s="402"/>
    </row>
    <row r="129">
      <c r="A129" s="382"/>
      <c r="B129" s="387"/>
      <c r="C129" s="389"/>
      <c r="D129" s="391"/>
      <c r="E129" s="392"/>
      <c r="F129" s="393"/>
      <c r="G129" s="395"/>
      <c r="H129" s="396"/>
      <c r="I129" s="399"/>
      <c r="J129" s="400"/>
      <c r="K129" s="401"/>
      <c r="L129" s="399"/>
      <c r="M129" s="402"/>
      <c r="N129" s="402"/>
    </row>
    <row r="130">
      <c r="A130" s="382"/>
      <c r="B130" s="387"/>
      <c r="C130" s="389"/>
      <c r="D130" s="391"/>
      <c r="E130" s="392"/>
      <c r="F130" s="393"/>
      <c r="G130" s="395"/>
      <c r="H130" s="396"/>
      <c r="I130" s="399"/>
      <c r="J130" s="400"/>
      <c r="K130" s="401"/>
      <c r="L130" s="399"/>
      <c r="M130" s="402"/>
      <c r="N130" s="402"/>
    </row>
    <row r="131">
      <c r="A131" s="382"/>
      <c r="B131" s="387"/>
      <c r="C131" s="389"/>
      <c r="D131" s="391"/>
      <c r="E131" s="392"/>
      <c r="F131" s="393"/>
      <c r="G131" s="395"/>
      <c r="H131" s="396"/>
      <c r="I131" s="399"/>
      <c r="J131" s="400"/>
      <c r="K131" s="401"/>
      <c r="L131" s="399"/>
      <c r="M131" s="402"/>
      <c r="N131" s="402"/>
    </row>
    <row r="132">
      <c r="A132" s="382"/>
      <c r="B132" s="387"/>
      <c r="C132" s="389"/>
      <c r="D132" s="391"/>
      <c r="E132" s="392"/>
      <c r="F132" s="393"/>
      <c r="G132" s="395"/>
      <c r="H132" s="396"/>
      <c r="I132" s="399"/>
      <c r="J132" s="400"/>
      <c r="K132" s="401"/>
      <c r="L132" s="399"/>
      <c r="M132" s="402"/>
      <c r="N132" s="402"/>
    </row>
    <row r="133">
      <c r="A133" s="382"/>
      <c r="B133" s="387"/>
      <c r="C133" s="389"/>
      <c r="D133" s="391"/>
      <c r="E133" s="392"/>
      <c r="F133" s="393"/>
      <c r="G133" s="395"/>
      <c r="H133" s="396"/>
      <c r="I133" s="399"/>
      <c r="J133" s="400"/>
      <c r="K133" s="401"/>
      <c r="L133" s="399"/>
      <c r="M133" s="402"/>
      <c r="N133" s="402"/>
    </row>
    <row r="134">
      <c r="A134" s="382"/>
      <c r="B134" s="387"/>
      <c r="C134" s="389"/>
      <c r="D134" s="391"/>
      <c r="E134" s="392"/>
      <c r="F134" s="393"/>
      <c r="G134" s="395"/>
      <c r="H134" s="396"/>
      <c r="I134" s="399"/>
      <c r="J134" s="400"/>
      <c r="K134" s="401"/>
      <c r="L134" s="399"/>
      <c r="M134" s="402"/>
      <c r="N134" s="402"/>
    </row>
    <row r="135">
      <c r="A135" s="382"/>
      <c r="B135" s="387"/>
      <c r="C135" s="389"/>
      <c r="D135" s="391"/>
      <c r="E135" s="392"/>
      <c r="F135" s="393"/>
      <c r="G135" s="395"/>
      <c r="H135" s="396"/>
      <c r="I135" s="399"/>
      <c r="J135" s="400"/>
      <c r="K135" s="401"/>
      <c r="L135" s="399"/>
      <c r="M135" s="402"/>
      <c r="N135" s="402"/>
    </row>
    <row r="136">
      <c r="A136" s="382"/>
      <c r="B136" s="387"/>
      <c r="C136" s="389"/>
      <c r="D136" s="391"/>
      <c r="E136" s="392"/>
      <c r="F136" s="393"/>
      <c r="G136" s="395"/>
      <c r="H136" s="396"/>
      <c r="I136" s="399"/>
      <c r="J136" s="400"/>
      <c r="K136" s="401"/>
      <c r="L136" s="399"/>
      <c r="M136" s="402"/>
      <c r="N136" s="402"/>
    </row>
    <row r="137">
      <c r="A137" s="382"/>
      <c r="B137" s="387"/>
      <c r="C137" s="389"/>
      <c r="D137" s="391"/>
      <c r="E137" s="392"/>
      <c r="F137" s="393"/>
      <c r="G137" s="395"/>
      <c r="H137" s="396"/>
      <c r="I137" s="399"/>
      <c r="J137" s="400"/>
      <c r="K137" s="401"/>
      <c r="L137" s="399"/>
      <c r="M137" s="402"/>
      <c r="N137" s="402"/>
    </row>
    <row r="138">
      <c r="A138" s="382"/>
      <c r="B138" s="387"/>
      <c r="C138" s="389"/>
      <c r="D138" s="391"/>
      <c r="E138" s="392"/>
      <c r="F138" s="393"/>
      <c r="G138" s="395"/>
      <c r="H138" s="396"/>
      <c r="I138" s="399"/>
      <c r="J138" s="400"/>
      <c r="K138" s="401"/>
      <c r="L138" s="399"/>
      <c r="M138" s="402"/>
      <c r="N138" s="402"/>
    </row>
    <row r="139">
      <c r="A139" s="382"/>
      <c r="B139" s="387"/>
      <c r="C139" s="389"/>
      <c r="D139" s="391"/>
      <c r="E139" s="392"/>
      <c r="F139" s="393"/>
      <c r="G139" s="395"/>
      <c r="H139" s="396"/>
      <c r="I139" s="399"/>
      <c r="J139" s="400"/>
      <c r="K139" s="401"/>
      <c r="L139" s="399"/>
      <c r="M139" s="402"/>
      <c r="N139" s="402"/>
    </row>
    <row r="140">
      <c r="A140" s="382"/>
      <c r="B140" s="387"/>
      <c r="C140" s="389"/>
      <c r="D140" s="391"/>
      <c r="E140" s="392"/>
      <c r="F140" s="393"/>
      <c r="G140" s="395"/>
      <c r="H140" s="396"/>
      <c r="I140" s="399"/>
      <c r="J140" s="400"/>
      <c r="K140" s="401"/>
      <c r="L140" s="399"/>
      <c r="M140" s="402"/>
      <c r="N140" s="402"/>
    </row>
    <row r="141">
      <c r="A141" s="382"/>
      <c r="B141" s="387"/>
      <c r="C141" s="389"/>
      <c r="D141" s="391"/>
      <c r="E141" s="392"/>
      <c r="F141" s="393"/>
      <c r="G141" s="395"/>
      <c r="H141" s="396"/>
      <c r="I141" s="399"/>
      <c r="J141" s="400"/>
      <c r="K141" s="401"/>
      <c r="L141" s="399"/>
      <c r="M141" s="402"/>
      <c r="N141" s="402"/>
    </row>
    <row r="142">
      <c r="A142" s="382"/>
      <c r="B142" s="387"/>
      <c r="C142" s="389"/>
      <c r="D142" s="391"/>
      <c r="E142" s="392"/>
      <c r="F142" s="393"/>
      <c r="G142" s="395"/>
      <c r="H142" s="396"/>
      <c r="I142" s="399"/>
      <c r="J142" s="400"/>
      <c r="K142" s="401"/>
      <c r="L142" s="399"/>
      <c r="M142" s="402"/>
      <c r="N142" s="402"/>
    </row>
    <row r="143">
      <c r="A143" s="382"/>
      <c r="B143" s="387"/>
      <c r="C143" s="389"/>
      <c r="D143" s="391"/>
      <c r="E143" s="392"/>
      <c r="F143" s="393"/>
      <c r="G143" s="395"/>
      <c r="H143" s="396"/>
      <c r="I143" s="399"/>
      <c r="J143" s="400"/>
      <c r="K143" s="401"/>
      <c r="L143" s="399"/>
      <c r="M143" s="402"/>
      <c r="N143" s="402"/>
    </row>
    <row r="144">
      <c r="A144" s="382"/>
      <c r="B144" s="387"/>
      <c r="C144" s="389"/>
      <c r="D144" s="391"/>
      <c r="E144" s="392"/>
      <c r="F144" s="393"/>
      <c r="G144" s="395"/>
      <c r="H144" s="396"/>
      <c r="I144" s="399"/>
      <c r="J144" s="400"/>
      <c r="K144" s="401"/>
      <c r="L144" s="399"/>
      <c r="M144" s="402"/>
      <c r="N144" s="402"/>
    </row>
    <row r="145">
      <c r="A145" s="382"/>
      <c r="B145" s="387"/>
      <c r="C145" s="389"/>
      <c r="D145" s="391"/>
      <c r="E145" s="392"/>
      <c r="F145" s="393"/>
      <c r="G145" s="395"/>
      <c r="H145" s="396"/>
      <c r="I145" s="399"/>
      <c r="J145" s="400"/>
      <c r="K145" s="401"/>
      <c r="L145" s="399"/>
      <c r="M145" s="402"/>
      <c r="N145" s="402"/>
    </row>
    <row r="146">
      <c r="A146" s="382"/>
      <c r="B146" s="387"/>
      <c r="C146" s="389"/>
      <c r="D146" s="391"/>
      <c r="E146" s="392"/>
      <c r="F146" s="393"/>
      <c r="G146" s="395"/>
      <c r="H146" s="396"/>
      <c r="I146" s="399"/>
      <c r="J146" s="400"/>
      <c r="K146" s="401"/>
      <c r="L146" s="399"/>
      <c r="M146" s="402"/>
      <c r="N146" s="402"/>
    </row>
    <row r="147">
      <c r="A147" s="382"/>
      <c r="B147" s="387"/>
      <c r="C147" s="389"/>
      <c r="D147" s="391"/>
      <c r="E147" s="392"/>
      <c r="F147" s="393"/>
      <c r="G147" s="395"/>
      <c r="H147" s="396"/>
      <c r="I147" s="399"/>
      <c r="J147" s="400"/>
      <c r="K147" s="401"/>
      <c r="L147" s="399"/>
      <c r="M147" s="402"/>
      <c r="N147" s="402"/>
    </row>
    <row r="148">
      <c r="A148" s="382"/>
      <c r="B148" s="387"/>
      <c r="C148" s="389"/>
      <c r="D148" s="391"/>
      <c r="E148" s="392"/>
      <c r="F148" s="393"/>
      <c r="G148" s="395"/>
      <c r="H148" s="396"/>
      <c r="I148" s="399"/>
      <c r="J148" s="400"/>
      <c r="K148" s="401"/>
      <c r="L148" s="399"/>
      <c r="M148" s="402"/>
      <c r="N148" s="402"/>
    </row>
    <row r="149">
      <c r="A149" s="382"/>
      <c r="B149" s="387"/>
      <c r="C149" s="389"/>
      <c r="D149" s="391"/>
      <c r="E149" s="392"/>
      <c r="F149" s="393"/>
      <c r="G149" s="395"/>
      <c r="H149" s="396"/>
      <c r="I149" s="399"/>
      <c r="J149" s="400"/>
      <c r="K149" s="401"/>
      <c r="L149" s="399"/>
      <c r="M149" s="402"/>
      <c r="N149" s="402"/>
    </row>
    <row r="150">
      <c r="A150" s="382"/>
      <c r="B150" s="387"/>
      <c r="C150" s="389"/>
      <c r="D150" s="391"/>
      <c r="E150" s="392"/>
      <c r="F150" s="393"/>
      <c r="G150" s="395"/>
      <c r="H150" s="396"/>
      <c r="I150" s="399"/>
      <c r="J150" s="400"/>
      <c r="K150" s="401"/>
      <c r="L150" s="399"/>
      <c r="M150" s="402"/>
      <c r="N150" s="402"/>
    </row>
    <row r="151">
      <c r="A151" s="382"/>
      <c r="B151" s="387"/>
      <c r="C151" s="389"/>
      <c r="D151" s="391"/>
      <c r="E151" s="392"/>
      <c r="F151" s="393"/>
      <c r="G151" s="395"/>
      <c r="H151" s="396"/>
      <c r="I151" s="399"/>
      <c r="J151" s="400"/>
      <c r="K151" s="401"/>
      <c r="L151" s="399"/>
      <c r="M151" s="402"/>
      <c r="N151" s="402"/>
    </row>
    <row r="152">
      <c r="A152" s="382"/>
      <c r="B152" s="387"/>
      <c r="C152" s="389"/>
      <c r="D152" s="391"/>
      <c r="E152" s="392"/>
      <c r="F152" s="393"/>
      <c r="G152" s="395"/>
      <c r="H152" s="396"/>
      <c r="I152" s="399"/>
      <c r="J152" s="400"/>
      <c r="K152" s="401"/>
      <c r="L152" s="399"/>
      <c r="M152" s="402"/>
      <c r="N152" s="402"/>
    </row>
    <row r="153">
      <c r="A153" s="382"/>
      <c r="B153" s="387"/>
      <c r="C153" s="389"/>
      <c r="D153" s="391"/>
      <c r="E153" s="392"/>
      <c r="F153" s="393"/>
      <c r="G153" s="395"/>
      <c r="H153" s="396"/>
      <c r="I153" s="399"/>
      <c r="J153" s="400"/>
      <c r="K153" s="401"/>
      <c r="L153" s="399"/>
      <c r="M153" s="402"/>
      <c r="N153" s="402"/>
    </row>
    <row r="154">
      <c r="A154" s="382"/>
      <c r="B154" s="387"/>
      <c r="C154" s="389"/>
      <c r="D154" s="391"/>
      <c r="E154" s="392"/>
      <c r="F154" s="393"/>
      <c r="G154" s="395"/>
      <c r="H154" s="396"/>
      <c r="I154" s="399"/>
      <c r="J154" s="400"/>
      <c r="K154" s="401"/>
      <c r="L154" s="399"/>
      <c r="M154" s="402"/>
      <c r="N154" s="402"/>
    </row>
    <row r="155">
      <c r="A155" s="382"/>
      <c r="B155" s="387"/>
      <c r="C155" s="389"/>
      <c r="D155" s="391"/>
      <c r="E155" s="392"/>
      <c r="F155" s="393"/>
      <c r="G155" s="395"/>
      <c r="H155" s="396"/>
      <c r="I155" s="399"/>
      <c r="J155" s="400"/>
      <c r="K155" s="401"/>
      <c r="L155" s="399"/>
      <c r="M155" s="402"/>
      <c r="N155" s="402"/>
    </row>
    <row r="156">
      <c r="A156" s="382"/>
      <c r="B156" s="387"/>
      <c r="C156" s="389"/>
      <c r="D156" s="391"/>
      <c r="E156" s="392"/>
      <c r="F156" s="393"/>
      <c r="G156" s="395"/>
      <c r="H156" s="396"/>
      <c r="I156" s="399"/>
      <c r="J156" s="400"/>
      <c r="K156" s="401"/>
      <c r="L156" s="399"/>
      <c r="M156" s="402"/>
      <c r="N156" s="402"/>
    </row>
    <row r="157">
      <c r="A157" s="382"/>
      <c r="B157" s="387"/>
      <c r="C157" s="389"/>
      <c r="D157" s="391"/>
      <c r="E157" s="392"/>
      <c r="F157" s="393"/>
      <c r="G157" s="395"/>
      <c r="H157" s="396"/>
      <c r="I157" s="399"/>
      <c r="J157" s="400"/>
      <c r="K157" s="401"/>
      <c r="L157" s="399"/>
      <c r="M157" s="402"/>
      <c r="N157" s="402"/>
    </row>
    <row r="158">
      <c r="A158" s="382"/>
      <c r="B158" s="387"/>
      <c r="C158" s="389"/>
      <c r="D158" s="391"/>
      <c r="E158" s="392"/>
      <c r="F158" s="393"/>
      <c r="G158" s="395"/>
      <c r="H158" s="396"/>
      <c r="I158" s="399"/>
      <c r="J158" s="400"/>
      <c r="K158" s="401"/>
      <c r="L158" s="399"/>
      <c r="M158" s="402"/>
      <c r="N158" s="402"/>
    </row>
    <row r="159">
      <c r="A159" s="382"/>
      <c r="B159" s="387"/>
      <c r="C159" s="389"/>
      <c r="D159" s="391"/>
      <c r="E159" s="392"/>
      <c r="F159" s="393"/>
      <c r="G159" s="395"/>
      <c r="H159" s="396"/>
      <c r="I159" s="399"/>
      <c r="J159" s="400"/>
      <c r="K159" s="401"/>
      <c r="L159" s="399"/>
      <c r="M159" s="402"/>
      <c r="N159" s="402"/>
    </row>
    <row r="160">
      <c r="A160" s="382"/>
      <c r="B160" s="387"/>
      <c r="C160" s="389"/>
      <c r="D160" s="391"/>
      <c r="E160" s="392"/>
      <c r="F160" s="393"/>
      <c r="G160" s="395"/>
      <c r="H160" s="396"/>
      <c r="I160" s="399"/>
      <c r="J160" s="400"/>
      <c r="K160" s="401"/>
      <c r="L160" s="399"/>
      <c r="M160" s="402"/>
      <c r="N160" s="402"/>
    </row>
    <row r="161">
      <c r="A161" s="382"/>
      <c r="B161" s="387"/>
      <c r="C161" s="389"/>
      <c r="D161" s="391"/>
      <c r="E161" s="392"/>
      <c r="F161" s="393"/>
      <c r="G161" s="395"/>
      <c r="H161" s="396"/>
      <c r="I161" s="399"/>
      <c r="J161" s="400"/>
      <c r="K161" s="401"/>
      <c r="L161" s="399"/>
      <c r="M161" s="402"/>
      <c r="N161" s="402"/>
    </row>
    <row r="162">
      <c r="A162" s="382"/>
      <c r="B162" s="387"/>
      <c r="C162" s="389"/>
      <c r="D162" s="391"/>
      <c r="E162" s="392"/>
      <c r="F162" s="393"/>
      <c r="G162" s="395"/>
      <c r="H162" s="396"/>
      <c r="I162" s="399"/>
      <c r="J162" s="400"/>
      <c r="K162" s="401"/>
      <c r="L162" s="399"/>
      <c r="M162" s="402"/>
      <c r="N162" s="402"/>
    </row>
    <row r="163">
      <c r="A163" s="382"/>
      <c r="B163" s="387"/>
      <c r="C163" s="389"/>
      <c r="D163" s="391"/>
      <c r="E163" s="392"/>
      <c r="F163" s="393"/>
      <c r="G163" s="395"/>
      <c r="H163" s="396"/>
      <c r="I163" s="399"/>
      <c r="J163" s="400"/>
      <c r="K163" s="401"/>
      <c r="L163" s="399"/>
      <c r="M163" s="402"/>
      <c r="N163" s="402"/>
    </row>
    <row r="164">
      <c r="A164" s="382"/>
      <c r="B164" s="387"/>
      <c r="C164" s="389"/>
      <c r="D164" s="391"/>
      <c r="E164" s="392"/>
      <c r="F164" s="393"/>
      <c r="G164" s="395"/>
      <c r="H164" s="396"/>
      <c r="I164" s="399"/>
      <c r="J164" s="400"/>
      <c r="K164" s="401"/>
      <c r="L164" s="399"/>
      <c r="M164" s="402"/>
      <c r="N164" s="402"/>
    </row>
    <row r="165">
      <c r="A165" s="382"/>
      <c r="B165" s="387"/>
      <c r="C165" s="389"/>
      <c r="D165" s="391"/>
      <c r="E165" s="392"/>
      <c r="F165" s="393"/>
      <c r="G165" s="395"/>
      <c r="H165" s="396"/>
      <c r="I165" s="399"/>
      <c r="J165" s="400"/>
      <c r="K165" s="401"/>
      <c r="L165" s="399"/>
      <c r="M165" s="402"/>
      <c r="N165" s="402"/>
    </row>
    <row r="166">
      <c r="A166" s="382"/>
      <c r="B166" s="387"/>
      <c r="C166" s="389"/>
      <c r="D166" s="391"/>
      <c r="E166" s="392"/>
      <c r="F166" s="393"/>
      <c r="G166" s="395"/>
      <c r="H166" s="396"/>
      <c r="I166" s="399"/>
      <c r="J166" s="400"/>
      <c r="K166" s="401"/>
      <c r="L166" s="399"/>
      <c r="M166" s="402"/>
      <c r="N166" s="402"/>
    </row>
    <row r="167">
      <c r="A167" s="382"/>
      <c r="B167" s="387"/>
      <c r="C167" s="389"/>
      <c r="D167" s="391"/>
      <c r="E167" s="392"/>
      <c r="F167" s="393"/>
      <c r="G167" s="395"/>
      <c r="H167" s="396"/>
      <c r="I167" s="399"/>
      <c r="J167" s="400"/>
      <c r="K167" s="401"/>
      <c r="L167" s="399"/>
      <c r="M167" s="402"/>
      <c r="N167" s="402"/>
    </row>
    <row r="168">
      <c r="A168" s="382"/>
      <c r="B168" s="387"/>
      <c r="C168" s="389"/>
      <c r="D168" s="391"/>
      <c r="E168" s="392"/>
      <c r="F168" s="393"/>
      <c r="G168" s="395"/>
      <c r="H168" s="396"/>
      <c r="I168" s="399"/>
      <c r="J168" s="400"/>
      <c r="K168" s="401"/>
      <c r="L168" s="399"/>
      <c r="M168" s="402"/>
      <c r="N168" s="402"/>
    </row>
    <row r="169">
      <c r="A169" s="382"/>
      <c r="B169" s="387"/>
      <c r="C169" s="389"/>
      <c r="D169" s="391"/>
      <c r="E169" s="392"/>
      <c r="F169" s="393"/>
      <c r="G169" s="395"/>
      <c r="H169" s="396"/>
      <c r="I169" s="399"/>
      <c r="J169" s="400"/>
      <c r="K169" s="401"/>
      <c r="L169" s="399"/>
      <c r="M169" s="402"/>
      <c r="N169" s="402"/>
    </row>
    <row r="170">
      <c r="A170" s="382"/>
      <c r="B170" s="387"/>
      <c r="C170" s="389"/>
      <c r="D170" s="391"/>
      <c r="E170" s="392"/>
      <c r="F170" s="393"/>
      <c r="G170" s="395"/>
      <c r="H170" s="396"/>
      <c r="I170" s="399"/>
      <c r="J170" s="400"/>
      <c r="K170" s="401"/>
      <c r="L170" s="399"/>
      <c r="M170" s="402"/>
      <c r="N170" s="402"/>
    </row>
    <row r="171">
      <c r="A171" s="382"/>
      <c r="B171" s="387"/>
      <c r="C171" s="389"/>
      <c r="D171" s="391"/>
      <c r="E171" s="392"/>
      <c r="F171" s="393"/>
      <c r="G171" s="395"/>
      <c r="H171" s="396"/>
      <c r="I171" s="399"/>
      <c r="J171" s="400"/>
      <c r="K171" s="401"/>
      <c r="L171" s="399"/>
      <c r="M171" s="402"/>
      <c r="N171" s="402"/>
    </row>
    <row r="172">
      <c r="A172" s="382"/>
      <c r="B172" s="387"/>
      <c r="C172" s="389"/>
      <c r="D172" s="391"/>
      <c r="E172" s="392"/>
      <c r="F172" s="393"/>
      <c r="G172" s="395"/>
      <c r="H172" s="396"/>
      <c r="I172" s="399"/>
      <c r="J172" s="400"/>
      <c r="K172" s="401"/>
      <c r="L172" s="399"/>
      <c r="M172" s="402"/>
      <c r="N172" s="402"/>
    </row>
    <row r="173">
      <c r="A173" s="382"/>
      <c r="B173" s="387"/>
      <c r="C173" s="389"/>
      <c r="D173" s="391"/>
      <c r="E173" s="392"/>
      <c r="F173" s="393"/>
      <c r="G173" s="395"/>
      <c r="H173" s="396"/>
      <c r="I173" s="399"/>
      <c r="J173" s="400"/>
      <c r="K173" s="401"/>
      <c r="L173" s="399"/>
      <c r="M173" s="402"/>
      <c r="N173" s="402"/>
    </row>
    <row r="174">
      <c r="A174" s="382"/>
      <c r="B174" s="387"/>
      <c r="C174" s="389"/>
      <c r="D174" s="391"/>
      <c r="E174" s="392"/>
      <c r="F174" s="393"/>
      <c r="G174" s="395"/>
      <c r="H174" s="396"/>
      <c r="I174" s="399"/>
      <c r="J174" s="400"/>
      <c r="K174" s="401"/>
      <c r="L174" s="399"/>
      <c r="M174" s="402"/>
      <c r="N174" s="402"/>
    </row>
    <row r="175">
      <c r="A175" s="382"/>
      <c r="B175" s="387"/>
      <c r="C175" s="389"/>
      <c r="D175" s="391"/>
      <c r="E175" s="392"/>
      <c r="F175" s="393"/>
      <c r="G175" s="395"/>
      <c r="H175" s="396"/>
      <c r="I175" s="399"/>
      <c r="J175" s="400"/>
      <c r="K175" s="401"/>
      <c r="L175" s="399"/>
      <c r="M175" s="402"/>
      <c r="N175" s="402"/>
    </row>
    <row r="176">
      <c r="A176" s="382"/>
      <c r="B176" s="387"/>
      <c r="C176" s="389"/>
      <c r="D176" s="391"/>
      <c r="E176" s="392"/>
      <c r="F176" s="393"/>
      <c r="G176" s="395"/>
      <c r="H176" s="396"/>
      <c r="I176" s="399"/>
      <c r="J176" s="400"/>
      <c r="K176" s="401"/>
      <c r="L176" s="399"/>
      <c r="M176" s="402"/>
      <c r="N176" s="402"/>
    </row>
    <row r="177">
      <c r="A177" s="382"/>
      <c r="B177" s="387"/>
      <c r="C177" s="389"/>
      <c r="D177" s="391"/>
      <c r="E177" s="392"/>
      <c r="F177" s="393"/>
      <c r="G177" s="395"/>
      <c r="H177" s="396"/>
      <c r="I177" s="399"/>
      <c r="J177" s="400"/>
      <c r="K177" s="401"/>
      <c r="L177" s="399"/>
      <c r="M177" s="402"/>
      <c r="N177" s="402"/>
    </row>
    <row r="178">
      <c r="A178" s="382"/>
      <c r="B178" s="387"/>
      <c r="C178" s="389"/>
      <c r="D178" s="391"/>
      <c r="E178" s="392"/>
      <c r="F178" s="393"/>
      <c r="G178" s="395"/>
      <c r="H178" s="396"/>
      <c r="I178" s="399"/>
      <c r="J178" s="400"/>
      <c r="K178" s="401"/>
      <c r="L178" s="399"/>
      <c r="M178" s="402"/>
      <c r="N178" s="402"/>
    </row>
    <row r="179">
      <c r="A179" s="382"/>
      <c r="B179" s="387"/>
      <c r="C179" s="389"/>
      <c r="D179" s="391"/>
      <c r="E179" s="392"/>
      <c r="F179" s="393"/>
      <c r="G179" s="395"/>
      <c r="H179" s="396"/>
      <c r="I179" s="399"/>
      <c r="J179" s="400"/>
      <c r="K179" s="401"/>
      <c r="L179" s="399"/>
      <c r="M179" s="402"/>
      <c r="N179" s="402"/>
    </row>
    <row r="180">
      <c r="A180" s="382"/>
      <c r="B180" s="387"/>
      <c r="C180" s="389"/>
      <c r="D180" s="391"/>
      <c r="E180" s="392"/>
      <c r="F180" s="393"/>
      <c r="G180" s="395"/>
      <c r="H180" s="396"/>
      <c r="I180" s="399"/>
      <c r="J180" s="400"/>
      <c r="K180" s="401"/>
      <c r="L180" s="399"/>
      <c r="M180" s="402"/>
      <c r="N180" s="402"/>
    </row>
    <row r="181">
      <c r="A181" s="382"/>
      <c r="B181" s="387"/>
      <c r="C181" s="389"/>
      <c r="D181" s="391"/>
      <c r="E181" s="392"/>
      <c r="F181" s="393"/>
      <c r="G181" s="395"/>
      <c r="H181" s="396"/>
      <c r="I181" s="399"/>
      <c r="J181" s="400"/>
      <c r="K181" s="401"/>
      <c r="L181" s="399"/>
      <c r="M181" s="402"/>
      <c r="N181" s="402"/>
    </row>
    <row r="182">
      <c r="A182" s="382"/>
      <c r="B182" s="387"/>
      <c r="C182" s="389"/>
      <c r="D182" s="391"/>
      <c r="E182" s="392"/>
      <c r="F182" s="393"/>
      <c r="G182" s="395"/>
      <c r="H182" s="396"/>
      <c r="I182" s="399"/>
      <c r="J182" s="400"/>
      <c r="K182" s="401"/>
      <c r="L182" s="399"/>
      <c r="M182" s="402"/>
      <c r="N182" s="402"/>
    </row>
    <row r="183">
      <c r="A183" s="382"/>
      <c r="B183" s="387"/>
      <c r="C183" s="389"/>
      <c r="D183" s="391"/>
      <c r="E183" s="392"/>
      <c r="F183" s="393"/>
      <c r="G183" s="395"/>
      <c r="H183" s="396"/>
      <c r="I183" s="399"/>
      <c r="J183" s="400"/>
      <c r="K183" s="401"/>
      <c r="L183" s="399"/>
      <c r="M183" s="402"/>
      <c r="N183" s="402"/>
    </row>
    <row r="184">
      <c r="A184" s="382"/>
      <c r="B184" s="387"/>
      <c r="C184" s="389"/>
      <c r="D184" s="391"/>
      <c r="E184" s="392"/>
      <c r="F184" s="393"/>
      <c r="G184" s="395"/>
      <c r="H184" s="396"/>
      <c r="I184" s="399"/>
      <c r="J184" s="400"/>
      <c r="K184" s="401"/>
      <c r="L184" s="399"/>
      <c r="M184" s="402"/>
      <c r="N184" s="402"/>
    </row>
    <row r="185">
      <c r="A185" s="382"/>
      <c r="B185" s="387"/>
      <c r="C185" s="389"/>
      <c r="D185" s="391"/>
      <c r="E185" s="392"/>
      <c r="F185" s="393"/>
      <c r="G185" s="395"/>
      <c r="H185" s="396"/>
      <c r="I185" s="399"/>
      <c r="J185" s="400"/>
      <c r="K185" s="401"/>
      <c r="L185" s="399"/>
      <c r="M185" s="402"/>
      <c r="N185" s="402"/>
    </row>
    <row r="186">
      <c r="A186" s="382"/>
      <c r="B186" s="387"/>
      <c r="C186" s="389"/>
      <c r="D186" s="391"/>
      <c r="E186" s="392"/>
      <c r="F186" s="393"/>
      <c r="G186" s="395"/>
      <c r="H186" s="396"/>
      <c r="I186" s="399"/>
      <c r="J186" s="400"/>
      <c r="K186" s="401"/>
      <c r="L186" s="399"/>
      <c r="M186" s="402"/>
      <c r="N186" s="402"/>
    </row>
    <row r="187">
      <c r="A187" s="382"/>
      <c r="B187" s="387"/>
      <c r="C187" s="389"/>
      <c r="D187" s="391"/>
      <c r="E187" s="392"/>
      <c r="F187" s="393"/>
      <c r="G187" s="395"/>
      <c r="H187" s="396"/>
      <c r="I187" s="399"/>
      <c r="J187" s="400"/>
      <c r="K187" s="401"/>
      <c r="L187" s="399"/>
      <c r="M187" s="402"/>
      <c r="N187" s="402"/>
    </row>
    <row r="188">
      <c r="A188" s="382"/>
      <c r="B188" s="387"/>
      <c r="C188" s="389"/>
      <c r="D188" s="391"/>
      <c r="E188" s="392"/>
      <c r="F188" s="393"/>
      <c r="G188" s="395"/>
      <c r="H188" s="396"/>
      <c r="I188" s="399"/>
      <c r="J188" s="400"/>
      <c r="K188" s="401"/>
      <c r="L188" s="399"/>
      <c r="M188" s="402"/>
      <c r="N188" s="402"/>
    </row>
    <row r="189">
      <c r="A189" s="382"/>
      <c r="B189" s="387"/>
      <c r="C189" s="389"/>
      <c r="D189" s="391"/>
      <c r="E189" s="392"/>
      <c r="F189" s="393"/>
      <c r="G189" s="395"/>
      <c r="H189" s="396"/>
      <c r="I189" s="399"/>
      <c r="J189" s="400"/>
      <c r="K189" s="401"/>
      <c r="L189" s="399"/>
      <c r="M189" s="402"/>
      <c r="N189" s="402"/>
    </row>
    <row r="190">
      <c r="A190" s="382"/>
      <c r="B190" s="387"/>
      <c r="C190" s="389"/>
      <c r="D190" s="391"/>
      <c r="E190" s="392"/>
      <c r="F190" s="393"/>
      <c r="G190" s="395"/>
      <c r="H190" s="396"/>
      <c r="I190" s="399"/>
      <c r="J190" s="400"/>
      <c r="K190" s="401"/>
      <c r="L190" s="399"/>
      <c r="M190" s="402"/>
      <c r="N190" s="402"/>
    </row>
    <row r="191">
      <c r="A191" s="382"/>
      <c r="B191" s="387"/>
      <c r="C191" s="389"/>
      <c r="D191" s="391"/>
      <c r="E191" s="392"/>
      <c r="F191" s="393"/>
      <c r="G191" s="395"/>
      <c r="H191" s="396"/>
      <c r="I191" s="399"/>
      <c r="J191" s="400"/>
      <c r="K191" s="401"/>
      <c r="L191" s="399"/>
      <c r="M191" s="402"/>
      <c r="N191" s="402"/>
    </row>
    <row r="192">
      <c r="A192" s="382"/>
      <c r="B192" s="387"/>
      <c r="C192" s="389"/>
      <c r="D192" s="391"/>
      <c r="E192" s="392"/>
      <c r="F192" s="393"/>
      <c r="G192" s="395"/>
      <c r="H192" s="396"/>
      <c r="I192" s="399"/>
      <c r="J192" s="400"/>
      <c r="K192" s="401"/>
      <c r="L192" s="399"/>
      <c r="M192" s="402"/>
      <c r="N192" s="402"/>
    </row>
    <row r="193">
      <c r="A193" s="382"/>
      <c r="B193" s="387"/>
      <c r="C193" s="389"/>
      <c r="D193" s="391"/>
      <c r="E193" s="392"/>
      <c r="F193" s="393"/>
      <c r="G193" s="395"/>
      <c r="H193" s="396"/>
      <c r="I193" s="399"/>
      <c r="J193" s="400"/>
      <c r="K193" s="401"/>
      <c r="L193" s="399"/>
      <c r="M193" s="402"/>
      <c r="N193" s="402"/>
    </row>
    <row r="194">
      <c r="A194" s="382"/>
      <c r="B194" s="387"/>
      <c r="C194" s="389"/>
      <c r="D194" s="391"/>
      <c r="E194" s="392"/>
      <c r="F194" s="393"/>
      <c r="G194" s="395"/>
      <c r="H194" s="396"/>
      <c r="I194" s="399"/>
      <c r="J194" s="400"/>
      <c r="K194" s="401"/>
      <c r="L194" s="399"/>
      <c r="M194" s="402"/>
      <c r="N194" s="402"/>
    </row>
    <row r="195">
      <c r="A195" s="382"/>
      <c r="B195" s="387"/>
      <c r="C195" s="389"/>
      <c r="D195" s="391"/>
      <c r="E195" s="392"/>
      <c r="F195" s="393"/>
      <c r="G195" s="395"/>
      <c r="H195" s="396"/>
      <c r="I195" s="399"/>
      <c r="J195" s="400"/>
      <c r="K195" s="401"/>
      <c r="L195" s="399"/>
      <c r="M195" s="402"/>
      <c r="N195" s="402"/>
    </row>
    <row r="196">
      <c r="A196" s="382"/>
      <c r="B196" s="387"/>
      <c r="C196" s="389"/>
      <c r="D196" s="391"/>
      <c r="E196" s="392"/>
      <c r="F196" s="393"/>
      <c r="G196" s="395"/>
      <c r="H196" s="396"/>
      <c r="I196" s="399"/>
      <c r="J196" s="400"/>
      <c r="K196" s="401"/>
      <c r="L196" s="399"/>
      <c r="M196" s="402"/>
      <c r="N196" s="402"/>
    </row>
    <row r="197">
      <c r="A197" s="382"/>
      <c r="B197" s="387"/>
      <c r="C197" s="389"/>
      <c r="D197" s="391"/>
      <c r="E197" s="392"/>
      <c r="F197" s="393"/>
      <c r="G197" s="395"/>
      <c r="H197" s="396"/>
      <c r="I197" s="399"/>
      <c r="J197" s="400"/>
      <c r="K197" s="401"/>
      <c r="L197" s="399"/>
      <c r="M197" s="402"/>
      <c r="N197" s="402"/>
    </row>
    <row r="198">
      <c r="A198" s="382"/>
      <c r="B198" s="387"/>
      <c r="C198" s="389"/>
      <c r="D198" s="391"/>
      <c r="E198" s="392"/>
      <c r="F198" s="393"/>
      <c r="G198" s="395"/>
      <c r="H198" s="396"/>
      <c r="I198" s="399"/>
      <c r="J198" s="400"/>
      <c r="K198" s="401"/>
      <c r="L198" s="399"/>
      <c r="M198" s="402"/>
      <c r="N198" s="402"/>
    </row>
    <row r="199">
      <c r="A199" s="382"/>
      <c r="B199" s="387"/>
      <c r="C199" s="389"/>
      <c r="D199" s="391"/>
      <c r="E199" s="392"/>
      <c r="F199" s="393"/>
      <c r="G199" s="395"/>
      <c r="H199" s="396"/>
      <c r="I199" s="399"/>
      <c r="J199" s="400"/>
      <c r="K199" s="401"/>
      <c r="L199" s="399"/>
      <c r="M199" s="402"/>
      <c r="N199" s="402"/>
    </row>
    <row r="200">
      <c r="A200" s="382"/>
      <c r="B200" s="387"/>
      <c r="C200" s="389"/>
      <c r="D200" s="391"/>
      <c r="E200" s="392"/>
      <c r="F200" s="393"/>
      <c r="G200" s="395"/>
      <c r="H200" s="396"/>
      <c r="I200" s="399"/>
      <c r="J200" s="400"/>
      <c r="K200" s="401"/>
      <c r="L200" s="399"/>
      <c r="M200" s="402"/>
      <c r="N200" s="402"/>
    </row>
    <row r="201">
      <c r="A201" s="382"/>
      <c r="B201" s="387"/>
      <c r="C201" s="389"/>
      <c r="D201" s="391"/>
      <c r="E201" s="392"/>
      <c r="F201" s="393"/>
      <c r="G201" s="395"/>
      <c r="H201" s="396"/>
      <c r="I201" s="399"/>
      <c r="J201" s="400"/>
      <c r="K201" s="401"/>
      <c r="L201" s="399"/>
      <c r="M201" s="402"/>
      <c r="N201" s="402"/>
    </row>
    <row r="202">
      <c r="A202" s="382"/>
      <c r="B202" s="387"/>
      <c r="C202" s="389"/>
      <c r="D202" s="391"/>
      <c r="E202" s="392"/>
      <c r="F202" s="393"/>
      <c r="G202" s="395"/>
      <c r="H202" s="396"/>
      <c r="I202" s="399"/>
      <c r="J202" s="400"/>
      <c r="K202" s="401"/>
      <c r="L202" s="399"/>
      <c r="M202" s="402"/>
      <c r="N202" s="402"/>
    </row>
    <row r="203">
      <c r="A203" s="382"/>
      <c r="B203" s="387"/>
      <c r="C203" s="389"/>
      <c r="D203" s="391"/>
      <c r="E203" s="392"/>
      <c r="F203" s="393"/>
      <c r="G203" s="395"/>
      <c r="H203" s="396"/>
      <c r="I203" s="399"/>
      <c r="J203" s="400"/>
      <c r="K203" s="401"/>
      <c r="L203" s="399"/>
      <c r="M203" s="402"/>
      <c r="N203" s="402"/>
    </row>
    <row r="204">
      <c r="A204" s="382"/>
      <c r="B204" s="387"/>
      <c r="C204" s="389"/>
      <c r="D204" s="391"/>
      <c r="E204" s="392"/>
      <c r="F204" s="393"/>
      <c r="G204" s="395"/>
      <c r="H204" s="396"/>
      <c r="I204" s="399"/>
      <c r="J204" s="400"/>
      <c r="K204" s="401"/>
      <c r="L204" s="399"/>
      <c r="M204" s="402"/>
      <c r="N204" s="402"/>
    </row>
    <row r="205">
      <c r="A205" s="382"/>
      <c r="B205" s="387"/>
      <c r="C205" s="389"/>
      <c r="D205" s="391"/>
      <c r="E205" s="392"/>
      <c r="F205" s="393"/>
      <c r="G205" s="395"/>
      <c r="H205" s="396"/>
      <c r="I205" s="399"/>
      <c r="J205" s="400"/>
      <c r="K205" s="401"/>
      <c r="L205" s="399"/>
      <c r="M205" s="402"/>
      <c r="N205" s="402"/>
    </row>
    <row r="206">
      <c r="A206" s="382"/>
      <c r="B206" s="387"/>
      <c r="C206" s="389"/>
      <c r="D206" s="391"/>
      <c r="E206" s="392"/>
      <c r="F206" s="393"/>
      <c r="G206" s="395"/>
      <c r="H206" s="396"/>
      <c r="I206" s="399"/>
      <c r="J206" s="400"/>
      <c r="K206" s="401"/>
      <c r="L206" s="399"/>
      <c r="M206" s="402"/>
      <c r="N206" s="402"/>
    </row>
    <row r="207">
      <c r="A207" s="382"/>
      <c r="B207" s="387"/>
      <c r="C207" s="389"/>
      <c r="D207" s="391"/>
      <c r="E207" s="392"/>
      <c r="F207" s="393"/>
      <c r="G207" s="395"/>
      <c r="H207" s="396"/>
      <c r="I207" s="399"/>
      <c r="J207" s="400"/>
      <c r="K207" s="401"/>
      <c r="L207" s="399"/>
      <c r="M207" s="402"/>
      <c r="N207" s="402"/>
    </row>
    <row r="208">
      <c r="A208" s="382"/>
      <c r="B208" s="387"/>
      <c r="C208" s="389"/>
      <c r="D208" s="391"/>
      <c r="E208" s="392"/>
      <c r="F208" s="393"/>
      <c r="G208" s="395"/>
      <c r="H208" s="396"/>
      <c r="I208" s="399"/>
      <c r="J208" s="400"/>
      <c r="K208" s="401"/>
      <c r="L208" s="399"/>
      <c r="M208" s="402"/>
      <c r="N208" s="402"/>
    </row>
    <row r="209">
      <c r="A209" s="382"/>
      <c r="B209" s="387"/>
      <c r="C209" s="389"/>
      <c r="D209" s="391"/>
      <c r="E209" s="392"/>
      <c r="F209" s="393"/>
      <c r="G209" s="395"/>
      <c r="H209" s="396"/>
      <c r="I209" s="399"/>
      <c r="J209" s="400"/>
      <c r="K209" s="401"/>
      <c r="L209" s="399"/>
      <c r="M209" s="402"/>
      <c r="N209" s="402"/>
    </row>
    <row r="210">
      <c r="A210" s="382"/>
      <c r="B210" s="387"/>
      <c r="C210" s="389"/>
      <c r="D210" s="391"/>
      <c r="E210" s="392"/>
      <c r="F210" s="393"/>
      <c r="G210" s="395"/>
      <c r="H210" s="396"/>
      <c r="I210" s="399"/>
      <c r="J210" s="400"/>
      <c r="K210" s="401"/>
      <c r="L210" s="399"/>
      <c r="M210" s="402"/>
      <c r="N210" s="402"/>
    </row>
    <row r="211">
      <c r="A211" s="382"/>
      <c r="B211" s="387"/>
      <c r="C211" s="389"/>
      <c r="D211" s="391"/>
      <c r="E211" s="392"/>
      <c r="F211" s="393"/>
      <c r="G211" s="395"/>
      <c r="H211" s="396"/>
      <c r="I211" s="399"/>
      <c r="J211" s="400"/>
      <c r="K211" s="401"/>
      <c r="L211" s="399"/>
      <c r="M211" s="402"/>
      <c r="N211" s="402"/>
    </row>
    <row r="212">
      <c r="A212" s="382"/>
      <c r="B212" s="387"/>
      <c r="C212" s="389"/>
      <c r="D212" s="391"/>
      <c r="E212" s="392"/>
      <c r="F212" s="393"/>
      <c r="G212" s="395"/>
      <c r="H212" s="396"/>
      <c r="I212" s="399"/>
      <c r="J212" s="400"/>
      <c r="K212" s="401"/>
      <c r="L212" s="399"/>
      <c r="M212" s="402"/>
      <c r="N212" s="402"/>
    </row>
    <row r="213">
      <c r="A213" s="382"/>
      <c r="B213" s="387"/>
      <c r="C213" s="389"/>
      <c r="D213" s="391"/>
      <c r="E213" s="392"/>
      <c r="F213" s="393"/>
      <c r="G213" s="395"/>
      <c r="H213" s="396"/>
      <c r="I213" s="399"/>
      <c r="J213" s="400"/>
      <c r="K213" s="401"/>
      <c r="L213" s="399"/>
      <c r="M213" s="402"/>
      <c r="N213" s="402"/>
    </row>
    <row r="214">
      <c r="A214" s="382"/>
      <c r="B214" s="387"/>
      <c r="C214" s="389"/>
      <c r="D214" s="391"/>
      <c r="E214" s="392"/>
      <c r="F214" s="393"/>
      <c r="G214" s="395"/>
      <c r="H214" s="396"/>
      <c r="I214" s="399"/>
      <c r="J214" s="400"/>
      <c r="K214" s="401"/>
      <c r="L214" s="399"/>
      <c r="M214" s="402"/>
      <c r="N214" s="402"/>
    </row>
    <row r="215">
      <c r="A215" s="382"/>
      <c r="B215" s="387"/>
      <c r="C215" s="389"/>
      <c r="D215" s="391"/>
      <c r="E215" s="392"/>
      <c r="F215" s="393"/>
      <c r="G215" s="395"/>
      <c r="H215" s="396"/>
      <c r="I215" s="399"/>
      <c r="J215" s="400"/>
      <c r="K215" s="401"/>
      <c r="L215" s="399"/>
      <c r="M215" s="402"/>
      <c r="N215" s="402"/>
    </row>
    <row r="216">
      <c r="A216" s="382"/>
      <c r="B216" s="387"/>
      <c r="C216" s="389"/>
      <c r="D216" s="391"/>
      <c r="E216" s="392"/>
      <c r="F216" s="393"/>
      <c r="G216" s="395"/>
      <c r="H216" s="396"/>
      <c r="I216" s="399"/>
      <c r="J216" s="400"/>
      <c r="K216" s="401"/>
      <c r="L216" s="399"/>
      <c r="M216" s="402"/>
      <c r="N216" s="402"/>
    </row>
    <row r="217">
      <c r="A217" s="382"/>
      <c r="B217" s="387"/>
      <c r="C217" s="389"/>
      <c r="D217" s="391"/>
      <c r="E217" s="392"/>
      <c r="F217" s="393"/>
      <c r="G217" s="395"/>
      <c r="H217" s="396"/>
      <c r="I217" s="399"/>
      <c r="J217" s="400"/>
      <c r="K217" s="401"/>
      <c r="L217" s="399"/>
      <c r="M217" s="402"/>
      <c r="N217" s="402"/>
    </row>
    <row r="218">
      <c r="A218" s="382"/>
      <c r="B218" s="387"/>
      <c r="C218" s="389"/>
      <c r="D218" s="391"/>
      <c r="E218" s="392"/>
      <c r="F218" s="393"/>
      <c r="G218" s="395"/>
      <c r="H218" s="396"/>
      <c r="I218" s="399"/>
      <c r="J218" s="400"/>
      <c r="K218" s="401"/>
      <c r="L218" s="399"/>
      <c r="M218" s="402"/>
      <c r="N218" s="402"/>
    </row>
    <row r="219">
      <c r="A219" s="382"/>
      <c r="B219" s="387"/>
      <c r="C219" s="389"/>
      <c r="D219" s="391"/>
      <c r="E219" s="392"/>
      <c r="F219" s="393"/>
      <c r="G219" s="395"/>
      <c r="H219" s="396"/>
      <c r="I219" s="399"/>
      <c r="J219" s="400"/>
      <c r="K219" s="401"/>
      <c r="L219" s="399"/>
      <c r="M219" s="402"/>
      <c r="N219" s="402"/>
    </row>
    <row r="220">
      <c r="A220" s="382"/>
      <c r="B220" s="387"/>
      <c r="C220" s="389"/>
      <c r="D220" s="391"/>
      <c r="E220" s="392"/>
      <c r="F220" s="393"/>
      <c r="G220" s="395"/>
      <c r="H220" s="396"/>
      <c r="I220" s="399"/>
      <c r="J220" s="400"/>
      <c r="K220" s="401"/>
      <c r="L220" s="399"/>
      <c r="M220" s="402"/>
      <c r="N220" s="402"/>
    </row>
    <row r="221">
      <c r="A221" s="382"/>
      <c r="B221" s="387"/>
      <c r="C221" s="389"/>
      <c r="D221" s="391"/>
      <c r="E221" s="392"/>
      <c r="F221" s="393"/>
      <c r="G221" s="395"/>
      <c r="H221" s="396"/>
      <c r="I221" s="399"/>
      <c r="J221" s="400"/>
      <c r="K221" s="401"/>
      <c r="L221" s="399"/>
      <c r="M221" s="402"/>
      <c r="N221" s="402"/>
    </row>
    <row r="222">
      <c r="A222" s="382"/>
      <c r="B222" s="387"/>
      <c r="C222" s="389"/>
      <c r="D222" s="391"/>
      <c r="E222" s="392"/>
      <c r="F222" s="393"/>
      <c r="G222" s="395"/>
      <c r="H222" s="396"/>
      <c r="I222" s="399"/>
      <c r="J222" s="400"/>
      <c r="K222" s="401"/>
      <c r="L222" s="399"/>
      <c r="M222" s="402"/>
      <c r="N222" s="402"/>
    </row>
    <row r="223">
      <c r="A223" s="382"/>
      <c r="B223" s="387"/>
      <c r="C223" s="389"/>
      <c r="D223" s="391"/>
      <c r="E223" s="392"/>
      <c r="F223" s="393"/>
      <c r="G223" s="395"/>
      <c r="H223" s="396"/>
      <c r="I223" s="399"/>
      <c r="J223" s="400"/>
      <c r="K223" s="401"/>
      <c r="L223" s="399"/>
      <c r="M223" s="402"/>
      <c r="N223" s="402"/>
    </row>
    <row r="224">
      <c r="A224" s="382"/>
      <c r="B224" s="387"/>
      <c r="C224" s="389"/>
      <c r="D224" s="391"/>
      <c r="E224" s="392"/>
      <c r="F224" s="393"/>
      <c r="G224" s="395"/>
      <c r="H224" s="396"/>
      <c r="I224" s="399"/>
      <c r="J224" s="400"/>
      <c r="K224" s="401"/>
      <c r="L224" s="399"/>
      <c r="M224" s="402"/>
      <c r="N224" s="402"/>
    </row>
    <row r="225">
      <c r="A225" s="382"/>
      <c r="B225" s="387"/>
      <c r="C225" s="389"/>
      <c r="D225" s="391"/>
      <c r="E225" s="392"/>
      <c r="F225" s="393"/>
      <c r="G225" s="395"/>
      <c r="H225" s="396"/>
      <c r="I225" s="399"/>
      <c r="J225" s="400"/>
      <c r="K225" s="401"/>
      <c r="L225" s="399"/>
      <c r="M225" s="402"/>
      <c r="N225" s="402"/>
    </row>
    <row r="226">
      <c r="A226" s="382"/>
      <c r="B226" s="387"/>
      <c r="C226" s="389"/>
      <c r="D226" s="391"/>
      <c r="E226" s="392"/>
      <c r="F226" s="393"/>
      <c r="G226" s="395"/>
      <c r="H226" s="396"/>
      <c r="I226" s="399"/>
      <c r="J226" s="400"/>
      <c r="K226" s="401"/>
      <c r="L226" s="399"/>
      <c r="M226" s="402"/>
      <c r="N226" s="402"/>
    </row>
    <row r="227">
      <c r="A227" s="382"/>
      <c r="B227" s="387"/>
      <c r="C227" s="389"/>
      <c r="D227" s="391"/>
      <c r="E227" s="392"/>
      <c r="F227" s="393"/>
      <c r="G227" s="395"/>
      <c r="H227" s="396"/>
      <c r="I227" s="399"/>
      <c r="J227" s="400"/>
      <c r="K227" s="401"/>
      <c r="L227" s="399"/>
      <c r="M227" s="402"/>
      <c r="N227" s="402"/>
    </row>
    <row r="228">
      <c r="A228" s="382"/>
      <c r="B228" s="387"/>
      <c r="C228" s="389"/>
      <c r="D228" s="391"/>
      <c r="E228" s="392"/>
      <c r="F228" s="393"/>
      <c r="G228" s="395"/>
      <c r="H228" s="396"/>
      <c r="I228" s="399"/>
      <c r="J228" s="400"/>
      <c r="K228" s="401"/>
      <c r="L228" s="399"/>
      <c r="M228" s="402"/>
      <c r="N228" s="402"/>
    </row>
    <row r="229">
      <c r="A229" s="382"/>
      <c r="B229" s="387"/>
      <c r="C229" s="389"/>
      <c r="D229" s="391"/>
      <c r="E229" s="392"/>
      <c r="F229" s="393"/>
      <c r="G229" s="395"/>
      <c r="H229" s="396"/>
      <c r="I229" s="399"/>
      <c r="J229" s="400"/>
      <c r="K229" s="401"/>
      <c r="L229" s="399"/>
      <c r="M229" s="402"/>
      <c r="N229" s="402"/>
    </row>
    <row r="230">
      <c r="A230" s="382"/>
      <c r="B230" s="387"/>
      <c r="C230" s="389"/>
      <c r="D230" s="391"/>
      <c r="E230" s="392"/>
      <c r="F230" s="393"/>
      <c r="G230" s="395"/>
      <c r="H230" s="396"/>
      <c r="I230" s="399"/>
      <c r="J230" s="400"/>
      <c r="K230" s="401"/>
      <c r="L230" s="399"/>
      <c r="M230" s="402"/>
      <c r="N230" s="402"/>
    </row>
    <row r="231">
      <c r="A231" s="382"/>
      <c r="B231" s="387"/>
      <c r="C231" s="389"/>
      <c r="D231" s="391"/>
      <c r="E231" s="392"/>
      <c r="F231" s="393"/>
      <c r="G231" s="395"/>
      <c r="H231" s="396"/>
      <c r="I231" s="399"/>
      <c r="J231" s="400"/>
      <c r="K231" s="401"/>
      <c r="L231" s="399"/>
      <c r="M231" s="402"/>
      <c r="N231" s="402"/>
    </row>
    <row r="232">
      <c r="A232" s="382"/>
      <c r="B232" s="387"/>
      <c r="C232" s="389"/>
      <c r="D232" s="391"/>
      <c r="E232" s="392"/>
      <c r="F232" s="393"/>
      <c r="G232" s="395"/>
      <c r="H232" s="396"/>
      <c r="I232" s="399"/>
      <c r="J232" s="400"/>
      <c r="K232" s="401"/>
      <c r="L232" s="399"/>
      <c r="M232" s="402"/>
      <c r="N232" s="402"/>
    </row>
    <row r="233">
      <c r="A233" s="382"/>
      <c r="B233" s="387"/>
      <c r="C233" s="389"/>
      <c r="D233" s="391"/>
      <c r="E233" s="392"/>
      <c r="F233" s="393"/>
      <c r="G233" s="395"/>
      <c r="H233" s="396"/>
      <c r="I233" s="399"/>
      <c r="J233" s="400"/>
      <c r="K233" s="401"/>
      <c r="L233" s="399"/>
      <c r="M233" s="402"/>
      <c r="N233" s="402"/>
    </row>
    <row r="234">
      <c r="A234" s="382"/>
      <c r="B234" s="387"/>
      <c r="C234" s="389"/>
      <c r="D234" s="391"/>
      <c r="E234" s="392"/>
      <c r="F234" s="393"/>
      <c r="G234" s="395"/>
      <c r="H234" s="396"/>
      <c r="I234" s="399"/>
      <c r="J234" s="400"/>
      <c r="K234" s="401"/>
      <c r="L234" s="399"/>
      <c r="M234" s="402"/>
      <c r="N234" s="402"/>
    </row>
    <row r="235">
      <c r="A235" s="382"/>
      <c r="B235" s="387"/>
      <c r="C235" s="389"/>
      <c r="D235" s="391"/>
      <c r="E235" s="392"/>
      <c r="F235" s="393"/>
      <c r="G235" s="395"/>
      <c r="H235" s="396"/>
      <c r="I235" s="399"/>
      <c r="J235" s="400"/>
      <c r="K235" s="401"/>
      <c r="L235" s="399"/>
      <c r="M235" s="402"/>
      <c r="N235" s="402"/>
    </row>
    <row r="236">
      <c r="A236" s="382"/>
      <c r="B236" s="387"/>
      <c r="C236" s="389"/>
      <c r="D236" s="391"/>
      <c r="E236" s="392"/>
      <c r="F236" s="393"/>
      <c r="G236" s="395"/>
      <c r="H236" s="396"/>
      <c r="I236" s="399"/>
      <c r="J236" s="400"/>
      <c r="K236" s="401"/>
      <c r="L236" s="399"/>
      <c r="M236" s="402"/>
      <c r="N236" s="402"/>
    </row>
    <row r="237">
      <c r="A237" s="382"/>
      <c r="B237" s="387"/>
      <c r="C237" s="389"/>
      <c r="D237" s="391"/>
      <c r="E237" s="392"/>
      <c r="F237" s="393"/>
      <c r="G237" s="395"/>
      <c r="H237" s="396"/>
      <c r="I237" s="399"/>
      <c r="J237" s="400"/>
      <c r="K237" s="401"/>
      <c r="L237" s="399"/>
      <c r="M237" s="402"/>
      <c r="N237" s="402"/>
    </row>
    <row r="238">
      <c r="A238" s="382"/>
      <c r="B238" s="387"/>
      <c r="C238" s="389"/>
      <c r="D238" s="391"/>
      <c r="E238" s="392"/>
      <c r="F238" s="393"/>
      <c r="G238" s="395"/>
      <c r="H238" s="396"/>
      <c r="I238" s="399"/>
      <c r="J238" s="400"/>
      <c r="K238" s="401"/>
      <c r="L238" s="399"/>
      <c r="M238" s="402"/>
      <c r="N238" s="402"/>
    </row>
    <row r="239">
      <c r="A239" s="382"/>
      <c r="B239" s="387"/>
      <c r="C239" s="389"/>
      <c r="D239" s="391"/>
      <c r="E239" s="392"/>
      <c r="F239" s="393"/>
      <c r="G239" s="395"/>
      <c r="H239" s="396"/>
      <c r="I239" s="399"/>
      <c r="J239" s="400"/>
      <c r="K239" s="401"/>
      <c r="L239" s="399"/>
      <c r="M239" s="402"/>
      <c r="N239" s="402"/>
    </row>
    <row r="240">
      <c r="A240" s="382"/>
      <c r="B240" s="387"/>
      <c r="C240" s="389"/>
      <c r="D240" s="391"/>
      <c r="E240" s="392"/>
      <c r="F240" s="393"/>
      <c r="G240" s="395"/>
      <c r="H240" s="396"/>
      <c r="I240" s="399"/>
      <c r="J240" s="400"/>
      <c r="K240" s="401"/>
      <c r="L240" s="399"/>
      <c r="M240" s="402"/>
      <c r="N240" s="402"/>
    </row>
    <row r="241">
      <c r="A241" s="382"/>
      <c r="B241" s="387"/>
      <c r="C241" s="389"/>
      <c r="D241" s="391"/>
      <c r="E241" s="392"/>
      <c r="F241" s="393"/>
      <c r="G241" s="395"/>
      <c r="H241" s="396"/>
      <c r="I241" s="399"/>
      <c r="J241" s="400"/>
      <c r="K241" s="401"/>
      <c r="L241" s="399"/>
      <c r="M241" s="402"/>
      <c r="N241" s="402"/>
    </row>
    <row r="242">
      <c r="A242" s="382"/>
      <c r="B242" s="387"/>
      <c r="C242" s="389"/>
      <c r="D242" s="391"/>
      <c r="E242" s="392"/>
      <c r="F242" s="393"/>
      <c r="G242" s="395"/>
      <c r="H242" s="396"/>
      <c r="I242" s="399"/>
      <c r="J242" s="400"/>
      <c r="K242" s="401"/>
      <c r="L242" s="399"/>
      <c r="M242" s="402"/>
      <c r="N242" s="402"/>
    </row>
    <row r="243">
      <c r="A243" s="382"/>
      <c r="B243" s="387"/>
      <c r="C243" s="389"/>
      <c r="D243" s="391"/>
      <c r="E243" s="392"/>
      <c r="F243" s="393"/>
      <c r="G243" s="395"/>
      <c r="H243" s="396"/>
      <c r="I243" s="399"/>
      <c r="J243" s="400"/>
      <c r="K243" s="401"/>
      <c r="L243" s="399"/>
      <c r="M243" s="402"/>
      <c r="N243" s="402"/>
    </row>
    <row r="244">
      <c r="A244" s="382"/>
      <c r="B244" s="387"/>
      <c r="C244" s="389"/>
      <c r="D244" s="391"/>
      <c r="E244" s="392"/>
      <c r="F244" s="393"/>
      <c r="G244" s="395"/>
      <c r="H244" s="396"/>
      <c r="I244" s="399"/>
      <c r="J244" s="400"/>
      <c r="K244" s="401"/>
      <c r="L244" s="399"/>
      <c r="M244" s="402"/>
      <c r="N244" s="402"/>
    </row>
    <row r="245">
      <c r="A245" s="382"/>
      <c r="B245" s="387"/>
      <c r="C245" s="389"/>
      <c r="D245" s="391"/>
      <c r="E245" s="392"/>
      <c r="F245" s="393"/>
      <c r="G245" s="395"/>
      <c r="H245" s="396"/>
      <c r="I245" s="399"/>
      <c r="J245" s="400"/>
      <c r="K245" s="401"/>
      <c r="L245" s="399"/>
      <c r="M245" s="402"/>
      <c r="N245" s="402"/>
    </row>
    <row r="246">
      <c r="A246" s="382"/>
      <c r="B246" s="387"/>
      <c r="C246" s="389"/>
      <c r="D246" s="391"/>
      <c r="E246" s="392"/>
      <c r="F246" s="393"/>
      <c r="G246" s="395"/>
      <c r="H246" s="396"/>
      <c r="I246" s="399"/>
      <c r="J246" s="400"/>
      <c r="K246" s="401"/>
      <c r="L246" s="399"/>
      <c r="M246" s="402"/>
      <c r="N246" s="402"/>
    </row>
    <row r="247">
      <c r="A247" s="382"/>
      <c r="B247" s="387"/>
      <c r="C247" s="389"/>
      <c r="D247" s="391"/>
      <c r="E247" s="392"/>
      <c r="F247" s="393"/>
      <c r="G247" s="395"/>
      <c r="H247" s="396"/>
      <c r="I247" s="399"/>
      <c r="J247" s="400"/>
      <c r="K247" s="401"/>
      <c r="L247" s="399"/>
      <c r="M247" s="402"/>
      <c r="N247" s="402"/>
    </row>
    <row r="248">
      <c r="A248" s="382"/>
      <c r="B248" s="387"/>
      <c r="C248" s="389"/>
      <c r="D248" s="391"/>
      <c r="E248" s="392"/>
      <c r="F248" s="393"/>
      <c r="G248" s="395"/>
      <c r="H248" s="396"/>
      <c r="I248" s="399"/>
      <c r="J248" s="400"/>
      <c r="K248" s="401"/>
      <c r="L248" s="399"/>
      <c r="M248" s="402"/>
      <c r="N248" s="402"/>
    </row>
    <row r="249">
      <c r="A249" s="382"/>
      <c r="B249" s="387"/>
      <c r="C249" s="389"/>
      <c r="D249" s="391"/>
      <c r="E249" s="392"/>
      <c r="F249" s="393"/>
      <c r="G249" s="395"/>
      <c r="H249" s="396"/>
      <c r="I249" s="399"/>
      <c r="J249" s="400"/>
      <c r="K249" s="401"/>
      <c r="L249" s="399"/>
      <c r="M249" s="402"/>
      <c r="N249" s="402"/>
    </row>
    <row r="250">
      <c r="A250" s="382"/>
      <c r="B250" s="387"/>
      <c r="C250" s="389"/>
      <c r="D250" s="391"/>
      <c r="E250" s="392"/>
      <c r="F250" s="393"/>
      <c r="G250" s="395"/>
      <c r="H250" s="396"/>
      <c r="I250" s="399"/>
      <c r="J250" s="400"/>
      <c r="K250" s="401"/>
      <c r="L250" s="399"/>
      <c r="M250" s="402"/>
      <c r="N250" s="402"/>
    </row>
    <row r="251">
      <c r="A251" s="382"/>
      <c r="B251" s="387"/>
      <c r="C251" s="389"/>
      <c r="D251" s="391"/>
      <c r="E251" s="392"/>
      <c r="F251" s="393"/>
      <c r="G251" s="395"/>
      <c r="H251" s="396"/>
      <c r="I251" s="399"/>
      <c r="J251" s="400"/>
      <c r="K251" s="401"/>
      <c r="L251" s="399"/>
      <c r="M251" s="402"/>
      <c r="N251" s="402"/>
    </row>
    <row r="252">
      <c r="A252" s="382"/>
      <c r="B252" s="387"/>
      <c r="C252" s="389"/>
      <c r="D252" s="391"/>
      <c r="E252" s="392"/>
      <c r="F252" s="393"/>
      <c r="G252" s="395"/>
      <c r="H252" s="396"/>
      <c r="I252" s="399"/>
      <c r="J252" s="400"/>
      <c r="K252" s="401"/>
      <c r="L252" s="399"/>
      <c r="M252" s="402"/>
      <c r="N252" s="402"/>
    </row>
    <row r="253">
      <c r="A253" s="382"/>
      <c r="B253" s="387"/>
      <c r="C253" s="389"/>
      <c r="D253" s="391"/>
      <c r="E253" s="392"/>
      <c r="F253" s="393"/>
      <c r="G253" s="395"/>
      <c r="H253" s="396"/>
      <c r="I253" s="399"/>
      <c r="J253" s="400"/>
      <c r="K253" s="401"/>
      <c r="L253" s="399"/>
      <c r="M253" s="402"/>
      <c r="N253" s="402"/>
    </row>
    <row r="254">
      <c r="A254" s="382"/>
      <c r="B254" s="387"/>
      <c r="C254" s="389"/>
      <c r="D254" s="391"/>
      <c r="E254" s="392"/>
      <c r="F254" s="393"/>
      <c r="G254" s="395"/>
      <c r="H254" s="396"/>
      <c r="I254" s="399"/>
      <c r="J254" s="400"/>
      <c r="K254" s="401"/>
      <c r="L254" s="399"/>
      <c r="M254" s="402"/>
      <c r="N254" s="402"/>
    </row>
    <row r="255">
      <c r="A255" s="382"/>
      <c r="B255" s="387"/>
      <c r="C255" s="389"/>
      <c r="D255" s="391"/>
      <c r="E255" s="392"/>
      <c r="F255" s="393"/>
      <c r="G255" s="395"/>
      <c r="H255" s="396"/>
      <c r="I255" s="399"/>
      <c r="J255" s="400"/>
      <c r="K255" s="401"/>
      <c r="L255" s="399"/>
      <c r="M255" s="402"/>
      <c r="N255" s="402"/>
    </row>
    <row r="256">
      <c r="A256" s="382"/>
      <c r="B256" s="387"/>
      <c r="C256" s="389"/>
      <c r="D256" s="391"/>
      <c r="E256" s="392"/>
      <c r="F256" s="393"/>
      <c r="G256" s="395"/>
      <c r="H256" s="396"/>
      <c r="I256" s="399"/>
      <c r="J256" s="400"/>
      <c r="K256" s="401"/>
      <c r="L256" s="399"/>
      <c r="M256" s="402"/>
      <c r="N256" s="402"/>
    </row>
    <row r="257">
      <c r="A257" s="382"/>
      <c r="B257" s="387"/>
      <c r="C257" s="389"/>
      <c r="D257" s="391"/>
      <c r="E257" s="392"/>
      <c r="F257" s="393"/>
      <c r="G257" s="395"/>
      <c r="H257" s="396"/>
      <c r="I257" s="399"/>
      <c r="J257" s="400"/>
      <c r="K257" s="401"/>
      <c r="L257" s="399"/>
      <c r="M257" s="402"/>
      <c r="N257" s="402"/>
    </row>
    <row r="258">
      <c r="A258" s="382"/>
      <c r="B258" s="387"/>
      <c r="C258" s="389"/>
      <c r="D258" s="391"/>
      <c r="E258" s="392"/>
      <c r="F258" s="393"/>
      <c r="G258" s="395"/>
      <c r="H258" s="396"/>
      <c r="I258" s="399"/>
      <c r="J258" s="400"/>
      <c r="K258" s="401"/>
      <c r="L258" s="399"/>
      <c r="M258" s="402"/>
      <c r="N258" s="402"/>
    </row>
    <row r="259">
      <c r="A259" s="382"/>
      <c r="B259" s="387"/>
      <c r="C259" s="389"/>
      <c r="D259" s="391"/>
      <c r="E259" s="392"/>
      <c r="F259" s="393"/>
      <c r="G259" s="395"/>
      <c r="H259" s="396"/>
      <c r="I259" s="399"/>
      <c r="J259" s="400"/>
      <c r="K259" s="401"/>
      <c r="L259" s="399"/>
      <c r="M259" s="402"/>
      <c r="N259" s="402"/>
    </row>
    <row r="260">
      <c r="A260" s="382"/>
      <c r="B260" s="387"/>
      <c r="C260" s="389"/>
      <c r="D260" s="391"/>
      <c r="E260" s="392"/>
      <c r="F260" s="393"/>
      <c r="G260" s="395"/>
      <c r="H260" s="396"/>
      <c r="I260" s="399"/>
      <c r="J260" s="400"/>
      <c r="K260" s="401"/>
      <c r="L260" s="399"/>
      <c r="M260" s="402"/>
      <c r="N260" s="402"/>
    </row>
    <row r="261">
      <c r="A261" s="382"/>
      <c r="B261" s="387"/>
      <c r="C261" s="389"/>
      <c r="D261" s="391"/>
      <c r="E261" s="392"/>
      <c r="F261" s="393"/>
      <c r="G261" s="395"/>
      <c r="H261" s="396"/>
      <c r="I261" s="399"/>
      <c r="J261" s="400"/>
      <c r="K261" s="401"/>
      <c r="L261" s="399"/>
      <c r="M261" s="402"/>
      <c r="N261" s="402"/>
    </row>
    <row r="262">
      <c r="A262" s="382"/>
      <c r="B262" s="387"/>
      <c r="C262" s="389"/>
      <c r="D262" s="391"/>
      <c r="E262" s="392"/>
      <c r="F262" s="393"/>
      <c r="G262" s="395"/>
      <c r="H262" s="396"/>
      <c r="I262" s="399"/>
      <c r="J262" s="400"/>
      <c r="K262" s="401"/>
      <c r="L262" s="399"/>
      <c r="M262" s="402"/>
      <c r="N262" s="402"/>
    </row>
    <row r="263">
      <c r="A263" s="382"/>
      <c r="B263" s="387"/>
      <c r="C263" s="389"/>
      <c r="D263" s="391"/>
      <c r="E263" s="392"/>
      <c r="F263" s="393"/>
      <c r="G263" s="395"/>
      <c r="H263" s="396"/>
      <c r="I263" s="399"/>
      <c r="J263" s="400"/>
      <c r="K263" s="401"/>
      <c r="L263" s="399"/>
      <c r="M263" s="402"/>
      <c r="N263" s="402"/>
    </row>
    <row r="264">
      <c r="A264" s="382"/>
      <c r="B264" s="387"/>
      <c r="C264" s="389"/>
      <c r="D264" s="391"/>
      <c r="E264" s="392"/>
      <c r="F264" s="393"/>
      <c r="G264" s="395"/>
      <c r="H264" s="396"/>
      <c r="I264" s="399"/>
      <c r="J264" s="400"/>
      <c r="K264" s="401"/>
      <c r="L264" s="399"/>
      <c r="M264" s="402"/>
      <c r="N264" s="402"/>
    </row>
    <row r="265">
      <c r="A265" s="382"/>
      <c r="B265" s="387"/>
      <c r="C265" s="389"/>
      <c r="D265" s="391"/>
      <c r="E265" s="392"/>
      <c r="F265" s="393"/>
      <c r="G265" s="395"/>
      <c r="H265" s="396"/>
      <c r="I265" s="399"/>
      <c r="J265" s="400"/>
      <c r="K265" s="401"/>
      <c r="L265" s="399"/>
      <c r="M265" s="402"/>
      <c r="N265" s="402"/>
    </row>
    <row r="266">
      <c r="A266" s="382"/>
      <c r="B266" s="387"/>
      <c r="C266" s="389"/>
      <c r="D266" s="391"/>
      <c r="E266" s="392"/>
      <c r="F266" s="393"/>
      <c r="G266" s="395"/>
      <c r="H266" s="396"/>
      <c r="I266" s="399"/>
      <c r="J266" s="400"/>
      <c r="K266" s="401"/>
      <c r="L266" s="399"/>
      <c r="M266" s="402"/>
      <c r="N266" s="402"/>
    </row>
    <row r="267">
      <c r="A267" s="382"/>
      <c r="B267" s="387"/>
      <c r="C267" s="389"/>
      <c r="D267" s="391"/>
      <c r="E267" s="392"/>
      <c r="F267" s="393"/>
      <c r="G267" s="395"/>
      <c r="H267" s="396"/>
      <c r="I267" s="399"/>
      <c r="J267" s="400"/>
      <c r="K267" s="401"/>
      <c r="L267" s="399"/>
      <c r="M267" s="402"/>
      <c r="N267" s="402"/>
    </row>
    <row r="268">
      <c r="A268" s="382"/>
      <c r="B268" s="387"/>
      <c r="C268" s="389"/>
      <c r="D268" s="391"/>
      <c r="E268" s="392"/>
      <c r="F268" s="393"/>
      <c r="G268" s="395"/>
      <c r="H268" s="396"/>
      <c r="I268" s="399"/>
      <c r="J268" s="400"/>
      <c r="K268" s="401"/>
      <c r="L268" s="399"/>
      <c r="M268" s="402"/>
      <c r="N268" s="402"/>
    </row>
    <row r="269">
      <c r="A269" s="382"/>
      <c r="B269" s="387"/>
      <c r="C269" s="389"/>
      <c r="D269" s="391"/>
      <c r="E269" s="392"/>
      <c r="F269" s="393"/>
      <c r="G269" s="395"/>
      <c r="H269" s="396"/>
      <c r="I269" s="399"/>
      <c r="J269" s="400"/>
      <c r="K269" s="401"/>
      <c r="L269" s="399"/>
      <c r="M269" s="402"/>
      <c r="N269" s="402"/>
    </row>
    <row r="270">
      <c r="A270" s="382"/>
      <c r="B270" s="387"/>
      <c r="C270" s="389"/>
      <c r="D270" s="391"/>
      <c r="E270" s="392"/>
      <c r="F270" s="393"/>
      <c r="G270" s="395"/>
      <c r="H270" s="396"/>
      <c r="I270" s="399"/>
      <c r="J270" s="400"/>
      <c r="K270" s="401"/>
      <c r="L270" s="399"/>
      <c r="M270" s="402"/>
      <c r="N270" s="402"/>
    </row>
    <row r="271">
      <c r="A271" s="382"/>
      <c r="B271" s="387"/>
      <c r="C271" s="389"/>
      <c r="D271" s="391"/>
      <c r="E271" s="392"/>
      <c r="F271" s="393"/>
      <c r="G271" s="395"/>
      <c r="H271" s="396"/>
      <c r="I271" s="399"/>
      <c r="J271" s="400"/>
      <c r="K271" s="401"/>
      <c r="L271" s="399"/>
      <c r="M271" s="402"/>
      <c r="N271" s="402"/>
    </row>
    <row r="272">
      <c r="A272" s="382"/>
      <c r="B272" s="387"/>
      <c r="C272" s="389"/>
      <c r="D272" s="391"/>
      <c r="E272" s="392"/>
      <c r="F272" s="393"/>
      <c r="G272" s="395"/>
      <c r="H272" s="396"/>
      <c r="I272" s="399"/>
      <c r="J272" s="400"/>
      <c r="K272" s="401"/>
      <c r="L272" s="399"/>
      <c r="M272" s="402"/>
      <c r="N272" s="402"/>
    </row>
    <row r="273">
      <c r="A273" s="382"/>
      <c r="B273" s="387"/>
      <c r="C273" s="389"/>
      <c r="D273" s="391"/>
      <c r="E273" s="392"/>
      <c r="F273" s="393"/>
      <c r="G273" s="395"/>
      <c r="H273" s="396"/>
      <c r="I273" s="399"/>
      <c r="J273" s="400"/>
      <c r="K273" s="401"/>
      <c r="L273" s="399"/>
      <c r="M273" s="402"/>
      <c r="N273" s="402"/>
    </row>
    <row r="274">
      <c r="A274" s="382"/>
      <c r="B274" s="387"/>
      <c r="C274" s="389"/>
      <c r="D274" s="391"/>
      <c r="E274" s="392"/>
      <c r="F274" s="393"/>
      <c r="G274" s="395"/>
      <c r="H274" s="396"/>
      <c r="I274" s="399"/>
      <c r="J274" s="400"/>
      <c r="K274" s="401"/>
      <c r="L274" s="399"/>
      <c r="M274" s="402"/>
      <c r="N274" s="402"/>
    </row>
    <row r="275">
      <c r="A275" s="382"/>
      <c r="B275" s="387"/>
      <c r="C275" s="389"/>
      <c r="D275" s="391"/>
      <c r="E275" s="392"/>
      <c r="F275" s="393"/>
      <c r="G275" s="395"/>
      <c r="H275" s="396"/>
      <c r="I275" s="399"/>
      <c r="J275" s="400"/>
      <c r="K275" s="401"/>
      <c r="L275" s="399"/>
      <c r="M275" s="402"/>
      <c r="N275" s="402"/>
    </row>
    <row r="276">
      <c r="A276" s="382"/>
      <c r="B276" s="387"/>
      <c r="C276" s="389"/>
      <c r="D276" s="391"/>
      <c r="E276" s="392"/>
      <c r="F276" s="393"/>
      <c r="G276" s="395"/>
      <c r="H276" s="396"/>
      <c r="I276" s="399"/>
      <c r="J276" s="400"/>
      <c r="K276" s="401"/>
      <c r="L276" s="399"/>
      <c r="M276" s="402"/>
      <c r="N276" s="402"/>
    </row>
    <row r="277">
      <c r="A277" s="382"/>
      <c r="B277" s="387"/>
      <c r="C277" s="389"/>
      <c r="D277" s="391"/>
      <c r="E277" s="392"/>
      <c r="F277" s="393"/>
      <c r="G277" s="395"/>
      <c r="H277" s="396"/>
      <c r="I277" s="399"/>
      <c r="J277" s="400"/>
      <c r="K277" s="401"/>
      <c r="L277" s="399"/>
      <c r="M277" s="402"/>
      <c r="N277" s="402"/>
    </row>
    <row r="278">
      <c r="A278" s="382"/>
      <c r="B278" s="387"/>
      <c r="C278" s="389"/>
      <c r="D278" s="391"/>
      <c r="E278" s="392"/>
      <c r="F278" s="393"/>
      <c r="G278" s="395"/>
      <c r="H278" s="396"/>
      <c r="I278" s="399"/>
      <c r="J278" s="400"/>
      <c r="K278" s="401"/>
      <c r="L278" s="399"/>
      <c r="M278" s="402"/>
      <c r="N278" s="402"/>
    </row>
    <row r="279">
      <c r="A279" s="382"/>
      <c r="B279" s="387"/>
      <c r="C279" s="389"/>
      <c r="D279" s="391"/>
      <c r="E279" s="392"/>
      <c r="F279" s="393"/>
      <c r="G279" s="395"/>
      <c r="H279" s="396"/>
      <c r="I279" s="399"/>
      <c r="J279" s="400"/>
      <c r="K279" s="401"/>
      <c r="L279" s="399"/>
      <c r="M279" s="402"/>
      <c r="N279" s="402"/>
    </row>
    <row r="280">
      <c r="A280" s="382"/>
      <c r="B280" s="387"/>
      <c r="C280" s="389"/>
      <c r="D280" s="391"/>
      <c r="E280" s="392"/>
      <c r="F280" s="393"/>
      <c r="G280" s="395"/>
      <c r="H280" s="396"/>
      <c r="I280" s="399"/>
      <c r="J280" s="400"/>
      <c r="K280" s="401"/>
      <c r="L280" s="399"/>
      <c r="M280" s="402"/>
      <c r="N280" s="402"/>
    </row>
    <row r="281">
      <c r="A281" s="382"/>
      <c r="B281" s="387"/>
      <c r="C281" s="389"/>
      <c r="D281" s="391"/>
      <c r="E281" s="392"/>
      <c r="F281" s="393"/>
      <c r="G281" s="395"/>
      <c r="H281" s="396"/>
      <c r="I281" s="399"/>
      <c r="J281" s="400"/>
      <c r="K281" s="401"/>
      <c r="L281" s="399"/>
      <c r="M281" s="402"/>
      <c r="N281" s="402"/>
    </row>
    <row r="282">
      <c r="A282" s="382"/>
      <c r="B282" s="387"/>
      <c r="C282" s="389"/>
      <c r="D282" s="391"/>
      <c r="E282" s="392"/>
      <c r="F282" s="393"/>
      <c r="G282" s="395"/>
      <c r="H282" s="396"/>
      <c r="I282" s="399"/>
      <c r="J282" s="400"/>
      <c r="K282" s="401"/>
      <c r="L282" s="399"/>
      <c r="M282" s="402"/>
      <c r="N282" s="402"/>
    </row>
    <row r="283">
      <c r="A283" s="382"/>
      <c r="B283" s="387"/>
      <c r="C283" s="389"/>
      <c r="D283" s="391"/>
      <c r="E283" s="392"/>
      <c r="F283" s="393"/>
      <c r="G283" s="395"/>
      <c r="H283" s="396"/>
      <c r="I283" s="399"/>
      <c r="J283" s="400"/>
      <c r="K283" s="401"/>
      <c r="L283" s="399"/>
      <c r="M283" s="402"/>
      <c r="N283" s="402"/>
    </row>
    <row r="284">
      <c r="A284" s="382"/>
      <c r="B284" s="387"/>
      <c r="C284" s="389"/>
      <c r="D284" s="391"/>
      <c r="E284" s="392"/>
      <c r="F284" s="393"/>
      <c r="G284" s="395"/>
      <c r="H284" s="396"/>
      <c r="I284" s="399"/>
      <c r="J284" s="400"/>
      <c r="K284" s="401"/>
      <c r="L284" s="399"/>
      <c r="M284" s="402"/>
      <c r="N284" s="402"/>
    </row>
    <row r="285">
      <c r="A285" s="382"/>
      <c r="B285" s="387"/>
      <c r="C285" s="389"/>
      <c r="D285" s="391"/>
      <c r="E285" s="392"/>
      <c r="F285" s="393"/>
      <c r="G285" s="395"/>
      <c r="H285" s="396"/>
      <c r="I285" s="399"/>
      <c r="J285" s="400"/>
      <c r="K285" s="401"/>
      <c r="L285" s="399"/>
      <c r="M285" s="402"/>
      <c r="N285" s="402"/>
    </row>
    <row r="286">
      <c r="A286" s="382"/>
      <c r="B286" s="387"/>
      <c r="C286" s="389"/>
      <c r="D286" s="391"/>
      <c r="E286" s="392"/>
      <c r="F286" s="393"/>
      <c r="G286" s="395"/>
      <c r="H286" s="396"/>
      <c r="I286" s="399"/>
      <c r="J286" s="400"/>
      <c r="K286" s="401"/>
      <c r="L286" s="399"/>
      <c r="M286" s="402"/>
      <c r="N286" s="402"/>
    </row>
    <row r="287">
      <c r="A287" s="382"/>
      <c r="B287" s="387"/>
      <c r="C287" s="389"/>
      <c r="D287" s="391"/>
      <c r="E287" s="392"/>
      <c r="F287" s="393"/>
      <c r="G287" s="395"/>
      <c r="H287" s="396"/>
      <c r="I287" s="399"/>
      <c r="J287" s="400"/>
      <c r="K287" s="401"/>
      <c r="L287" s="399"/>
      <c r="M287" s="402"/>
      <c r="N287" s="402"/>
    </row>
    <row r="288">
      <c r="A288" s="382"/>
      <c r="B288" s="387"/>
      <c r="C288" s="389"/>
      <c r="D288" s="391"/>
      <c r="E288" s="392"/>
      <c r="F288" s="393"/>
      <c r="G288" s="395"/>
      <c r="H288" s="396"/>
      <c r="I288" s="399"/>
      <c r="J288" s="400"/>
      <c r="K288" s="401"/>
      <c r="L288" s="399"/>
      <c r="M288" s="402"/>
      <c r="N288" s="402"/>
    </row>
    <row r="289">
      <c r="A289" s="382"/>
      <c r="B289" s="387"/>
      <c r="C289" s="389"/>
      <c r="D289" s="391"/>
      <c r="E289" s="392"/>
      <c r="F289" s="393"/>
      <c r="G289" s="395"/>
      <c r="H289" s="396"/>
      <c r="I289" s="399"/>
      <c r="J289" s="400"/>
      <c r="K289" s="401"/>
      <c r="L289" s="399"/>
      <c r="M289" s="402"/>
      <c r="N289" s="402"/>
    </row>
    <row r="290">
      <c r="A290" s="382"/>
      <c r="B290" s="387"/>
      <c r="C290" s="389"/>
      <c r="D290" s="391"/>
      <c r="E290" s="392"/>
      <c r="F290" s="393"/>
      <c r="G290" s="395"/>
      <c r="H290" s="396"/>
      <c r="I290" s="399"/>
      <c r="J290" s="400"/>
      <c r="K290" s="401"/>
      <c r="L290" s="399"/>
      <c r="M290" s="402"/>
      <c r="N290" s="402"/>
    </row>
    <row r="291">
      <c r="A291" s="382"/>
      <c r="B291" s="387"/>
      <c r="C291" s="389"/>
      <c r="D291" s="391"/>
      <c r="E291" s="392"/>
      <c r="F291" s="393"/>
      <c r="G291" s="395"/>
      <c r="H291" s="396"/>
      <c r="I291" s="399"/>
      <c r="J291" s="400"/>
      <c r="K291" s="401"/>
      <c r="L291" s="399"/>
      <c r="M291" s="402"/>
      <c r="N291" s="402"/>
    </row>
    <row r="292">
      <c r="A292" s="382"/>
      <c r="B292" s="387"/>
      <c r="C292" s="389"/>
      <c r="D292" s="391"/>
      <c r="E292" s="392"/>
      <c r="F292" s="393"/>
      <c r="G292" s="395"/>
      <c r="H292" s="396"/>
      <c r="I292" s="399"/>
      <c r="J292" s="400"/>
      <c r="K292" s="401"/>
      <c r="L292" s="399"/>
      <c r="M292" s="402"/>
      <c r="N292" s="402"/>
    </row>
    <row r="293">
      <c r="A293" s="382"/>
      <c r="B293" s="387"/>
      <c r="C293" s="389"/>
      <c r="D293" s="391"/>
      <c r="E293" s="392"/>
      <c r="F293" s="393"/>
      <c r="G293" s="395"/>
      <c r="H293" s="396"/>
      <c r="I293" s="399"/>
      <c r="J293" s="400"/>
      <c r="K293" s="401"/>
      <c r="L293" s="399"/>
      <c r="M293" s="402"/>
      <c r="N293" s="402"/>
    </row>
    <row r="294">
      <c r="A294" s="382"/>
      <c r="B294" s="387"/>
      <c r="C294" s="389"/>
      <c r="D294" s="391"/>
      <c r="E294" s="392"/>
      <c r="F294" s="393"/>
      <c r="G294" s="395"/>
      <c r="H294" s="396"/>
      <c r="I294" s="399"/>
      <c r="J294" s="400"/>
      <c r="K294" s="401"/>
      <c r="L294" s="399"/>
      <c r="M294" s="402"/>
      <c r="N294" s="402"/>
    </row>
    <row r="295">
      <c r="A295" s="382"/>
      <c r="B295" s="387"/>
      <c r="C295" s="389"/>
      <c r="D295" s="391"/>
      <c r="E295" s="392"/>
      <c r="F295" s="393"/>
      <c r="G295" s="395"/>
      <c r="H295" s="396"/>
      <c r="I295" s="399"/>
      <c r="J295" s="400"/>
      <c r="K295" s="401"/>
      <c r="L295" s="399"/>
      <c r="M295" s="402"/>
      <c r="N295" s="402"/>
    </row>
    <row r="296">
      <c r="A296" s="382"/>
      <c r="B296" s="387"/>
      <c r="C296" s="389"/>
      <c r="D296" s="391"/>
      <c r="E296" s="392"/>
      <c r="F296" s="393"/>
      <c r="G296" s="395"/>
      <c r="H296" s="396"/>
      <c r="I296" s="399"/>
      <c r="J296" s="400"/>
      <c r="K296" s="401"/>
      <c r="L296" s="399"/>
      <c r="M296" s="402"/>
      <c r="N296" s="402"/>
    </row>
    <row r="297">
      <c r="A297" s="382"/>
      <c r="B297" s="387"/>
      <c r="C297" s="389"/>
      <c r="D297" s="391"/>
      <c r="E297" s="392"/>
      <c r="F297" s="393"/>
      <c r="G297" s="395"/>
      <c r="H297" s="396"/>
      <c r="I297" s="399"/>
      <c r="J297" s="400"/>
      <c r="K297" s="401"/>
      <c r="L297" s="399"/>
      <c r="M297" s="402"/>
      <c r="N297" s="402"/>
    </row>
    <row r="298">
      <c r="A298" s="382"/>
      <c r="B298" s="387"/>
      <c r="C298" s="389"/>
      <c r="D298" s="391"/>
      <c r="E298" s="392"/>
      <c r="F298" s="393"/>
      <c r="G298" s="395"/>
      <c r="H298" s="396"/>
      <c r="I298" s="399"/>
      <c r="J298" s="400"/>
      <c r="K298" s="401"/>
      <c r="L298" s="399"/>
      <c r="M298" s="402"/>
      <c r="N298" s="402"/>
    </row>
    <row r="299">
      <c r="A299" s="382"/>
      <c r="B299" s="387"/>
      <c r="C299" s="389"/>
      <c r="D299" s="391"/>
      <c r="E299" s="392"/>
      <c r="F299" s="393"/>
      <c r="G299" s="395"/>
      <c r="H299" s="396"/>
      <c r="I299" s="399"/>
      <c r="J299" s="400"/>
      <c r="K299" s="401"/>
      <c r="L299" s="399"/>
      <c r="M299" s="402"/>
      <c r="N299" s="402"/>
    </row>
    <row r="300">
      <c r="A300" s="382"/>
      <c r="B300" s="387"/>
      <c r="C300" s="389"/>
      <c r="D300" s="391"/>
      <c r="E300" s="392"/>
      <c r="F300" s="393"/>
      <c r="G300" s="395"/>
      <c r="H300" s="396"/>
      <c r="I300" s="399"/>
      <c r="J300" s="400"/>
      <c r="K300" s="401"/>
      <c r="L300" s="399"/>
      <c r="M300" s="402"/>
      <c r="N300" s="402"/>
    </row>
    <row r="301">
      <c r="A301" s="382"/>
      <c r="B301" s="387"/>
      <c r="C301" s="389"/>
      <c r="D301" s="391"/>
      <c r="E301" s="392"/>
      <c r="F301" s="393"/>
      <c r="G301" s="395"/>
      <c r="H301" s="396"/>
      <c r="I301" s="399"/>
      <c r="J301" s="400"/>
      <c r="K301" s="401"/>
      <c r="L301" s="399"/>
      <c r="M301" s="402"/>
      <c r="N301" s="402"/>
    </row>
    <row r="302">
      <c r="A302" s="382"/>
      <c r="B302" s="387"/>
      <c r="C302" s="389"/>
      <c r="D302" s="391"/>
      <c r="E302" s="392"/>
      <c r="F302" s="393"/>
      <c r="G302" s="395"/>
      <c r="H302" s="396"/>
      <c r="I302" s="399"/>
      <c r="J302" s="400"/>
      <c r="K302" s="401"/>
      <c r="L302" s="399"/>
      <c r="M302" s="402"/>
      <c r="N302" s="402"/>
    </row>
    <row r="303">
      <c r="A303" s="382"/>
      <c r="B303" s="387"/>
      <c r="C303" s="389"/>
      <c r="D303" s="391"/>
      <c r="E303" s="392"/>
      <c r="F303" s="393"/>
      <c r="G303" s="395"/>
      <c r="H303" s="396"/>
      <c r="I303" s="399"/>
      <c r="J303" s="400"/>
      <c r="K303" s="401"/>
      <c r="L303" s="399"/>
      <c r="M303" s="402"/>
      <c r="N303" s="402"/>
    </row>
    <row r="304">
      <c r="A304" s="382"/>
      <c r="B304" s="387"/>
      <c r="C304" s="389"/>
      <c r="D304" s="391"/>
      <c r="E304" s="392"/>
      <c r="F304" s="393"/>
      <c r="G304" s="395"/>
      <c r="H304" s="396"/>
      <c r="I304" s="399"/>
      <c r="J304" s="400"/>
      <c r="K304" s="401"/>
      <c r="L304" s="399"/>
      <c r="M304" s="402"/>
      <c r="N304" s="402"/>
    </row>
    <row r="305">
      <c r="A305" s="382"/>
      <c r="B305" s="387"/>
      <c r="C305" s="389"/>
      <c r="D305" s="391"/>
      <c r="E305" s="392"/>
      <c r="F305" s="393"/>
      <c r="G305" s="395"/>
      <c r="H305" s="396"/>
      <c r="I305" s="399"/>
      <c r="J305" s="400"/>
      <c r="K305" s="401"/>
      <c r="L305" s="399"/>
      <c r="M305" s="402"/>
      <c r="N305" s="402"/>
    </row>
    <row r="306">
      <c r="A306" s="382"/>
      <c r="B306" s="387"/>
      <c r="C306" s="389"/>
      <c r="D306" s="391"/>
      <c r="E306" s="392"/>
      <c r="F306" s="393"/>
      <c r="G306" s="395"/>
      <c r="H306" s="396"/>
      <c r="I306" s="399"/>
      <c r="J306" s="400"/>
      <c r="K306" s="401"/>
      <c r="L306" s="399"/>
      <c r="M306" s="402"/>
      <c r="N306" s="402"/>
    </row>
    <row r="307">
      <c r="A307" s="382"/>
      <c r="B307" s="387"/>
      <c r="C307" s="389"/>
      <c r="D307" s="391"/>
      <c r="E307" s="392"/>
      <c r="F307" s="393"/>
      <c r="G307" s="395"/>
      <c r="H307" s="396"/>
      <c r="I307" s="399"/>
      <c r="J307" s="400"/>
      <c r="K307" s="401"/>
      <c r="L307" s="399"/>
      <c r="M307" s="402"/>
      <c r="N307" s="402"/>
    </row>
    <row r="308">
      <c r="A308" s="382"/>
      <c r="B308" s="387"/>
      <c r="C308" s="389"/>
      <c r="D308" s="391"/>
      <c r="E308" s="392"/>
      <c r="F308" s="393"/>
      <c r="G308" s="395"/>
      <c r="H308" s="396"/>
      <c r="I308" s="399"/>
      <c r="J308" s="400"/>
      <c r="K308" s="401"/>
      <c r="L308" s="399"/>
      <c r="M308" s="402"/>
      <c r="N308" s="402"/>
    </row>
    <row r="309">
      <c r="A309" s="382"/>
      <c r="B309" s="387"/>
      <c r="C309" s="389"/>
      <c r="D309" s="391"/>
      <c r="E309" s="392"/>
      <c r="F309" s="393"/>
      <c r="G309" s="395"/>
      <c r="H309" s="396"/>
      <c r="I309" s="399"/>
      <c r="J309" s="400"/>
      <c r="K309" s="401"/>
      <c r="L309" s="399"/>
      <c r="M309" s="402"/>
      <c r="N309" s="402"/>
    </row>
    <row r="310">
      <c r="A310" s="382"/>
      <c r="B310" s="387"/>
      <c r="C310" s="389"/>
      <c r="D310" s="391"/>
      <c r="E310" s="392"/>
      <c r="F310" s="393"/>
      <c r="G310" s="395"/>
      <c r="H310" s="396"/>
      <c r="I310" s="399"/>
      <c r="J310" s="400"/>
      <c r="K310" s="401"/>
      <c r="L310" s="399"/>
      <c r="M310" s="402"/>
      <c r="N310" s="402"/>
    </row>
    <row r="311">
      <c r="A311" s="382"/>
      <c r="B311" s="387"/>
      <c r="C311" s="389"/>
      <c r="D311" s="391"/>
      <c r="E311" s="392"/>
      <c r="F311" s="393"/>
      <c r="G311" s="395"/>
      <c r="H311" s="396"/>
      <c r="I311" s="399"/>
      <c r="J311" s="400"/>
      <c r="K311" s="401"/>
      <c r="L311" s="399"/>
      <c r="M311" s="402"/>
      <c r="N311" s="402"/>
    </row>
    <row r="312">
      <c r="A312" s="382"/>
      <c r="B312" s="387"/>
      <c r="C312" s="389"/>
      <c r="D312" s="391"/>
      <c r="E312" s="392"/>
      <c r="F312" s="393"/>
      <c r="G312" s="395"/>
      <c r="H312" s="396"/>
      <c r="I312" s="399"/>
      <c r="J312" s="400"/>
      <c r="K312" s="401"/>
      <c r="L312" s="399"/>
      <c r="M312" s="402"/>
      <c r="N312" s="402"/>
    </row>
    <row r="313">
      <c r="A313" s="382"/>
      <c r="B313" s="387"/>
      <c r="C313" s="389"/>
      <c r="D313" s="391"/>
      <c r="E313" s="392"/>
      <c r="F313" s="393"/>
      <c r="G313" s="395"/>
      <c r="H313" s="396"/>
      <c r="I313" s="399"/>
      <c r="J313" s="400"/>
      <c r="K313" s="401"/>
      <c r="L313" s="399"/>
      <c r="M313" s="402"/>
      <c r="N313" s="402"/>
    </row>
    <row r="314">
      <c r="A314" s="382"/>
      <c r="B314" s="387"/>
      <c r="C314" s="389"/>
      <c r="D314" s="391"/>
      <c r="E314" s="392"/>
      <c r="F314" s="393"/>
      <c r="G314" s="395"/>
      <c r="H314" s="396"/>
      <c r="I314" s="399"/>
      <c r="J314" s="400"/>
      <c r="K314" s="401"/>
      <c r="L314" s="399"/>
      <c r="M314" s="402"/>
      <c r="N314" s="402"/>
    </row>
    <row r="315">
      <c r="A315" s="382"/>
      <c r="B315" s="387"/>
      <c r="C315" s="389"/>
      <c r="D315" s="391"/>
      <c r="E315" s="392"/>
      <c r="F315" s="393"/>
      <c r="G315" s="395"/>
      <c r="H315" s="396"/>
      <c r="I315" s="399"/>
      <c r="J315" s="400"/>
      <c r="K315" s="401"/>
      <c r="L315" s="399"/>
      <c r="M315" s="402"/>
      <c r="N315" s="402"/>
    </row>
    <row r="316">
      <c r="A316" s="382"/>
      <c r="B316" s="387"/>
      <c r="C316" s="389"/>
      <c r="D316" s="391"/>
      <c r="E316" s="392"/>
      <c r="F316" s="393"/>
      <c r="G316" s="395"/>
      <c r="H316" s="396"/>
      <c r="I316" s="399"/>
      <c r="J316" s="400"/>
      <c r="K316" s="401"/>
      <c r="L316" s="399"/>
      <c r="M316" s="402"/>
      <c r="N316" s="402"/>
    </row>
    <row r="317">
      <c r="A317" s="382"/>
      <c r="B317" s="387"/>
      <c r="C317" s="389"/>
      <c r="D317" s="391"/>
      <c r="E317" s="392"/>
      <c r="F317" s="393"/>
      <c r="G317" s="395"/>
      <c r="H317" s="396"/>
      <c r="I317" s="399"/>
      <c r="J317" s="400"/>
      <c r="K317" s="401"/>
      <c r="L317" s="399"/>
      <c r="M317" s="402"/>
      <c r="N317" s="402"/>
    </row>
    <row r="318">
      <c r="A318" s="382"/>
      <c r="B318" s="387"/>
      <c r="C318" s="389"/>
      <c r="D318" s="391"/>
      <c r="E318" s="392"/>
      <c r="F318" s="393"/>
      <c r="G318" s="395"/>
      <c r="H318" s="396"/>
      <c r="I318" s="399"/>
      <c r="J318" s="400"/>
      <c r="K318" s="401"/>
      <c r="L318" s="399"/>
      <c r="M318" s="402"/>
      <c r="N318" s="402"/>
    </row>
    <row r="319">
      <c r="A319" s="382"/>
      <c r="B319" s="387"/>
      <c r="C319" s="389"/>
      <c r="D319" s="391"/>
      <c r="E319" s="392"/>
      <c r="F319" s="393"/>
      <c r="G319" s="395"/>
      <c r="H319" s="396"/>
      <c r="I319" s="399"/>
      <c r="J319" s="400"/>
      <c r="K319" s="401"/>
      <c r="L319" s="399"/>
      <c r="M319" s="402"/>
      <c r="N319" s="402"/>
    </row>
    <row r="320">
      <c r="A320" s="382"/>
      <c r="B320" s="387"/>
      <c r="C320" s="389"/>
      <c r="D320" s="391"/>
      <c r="E320" s="392"/>
      <c r="F320" s="393"/>
      <c r="G320" s="395"/>
      <c r="H320" s="396"/>
      <c r="I320" s="399"/>
      <c r="J320" s="400"/>
      <c r="K320" s="401"/>
      <c r="L320" s="399"/>
      <c r="M320" s="402"/>
      <c r="N320" s="402"/>
    </row>
    <row r="321">
      <c r="A321" s="382"/>
      <c r="B321" s="387"/>
      <c r="C321" s="389"/>
      <c r="D321" s="391"/>
      <c r="E321" s="392"/>
      <c r="F321" s="393"/>
      <c r="G321" s="395"/>
      <c r="H321" s="396"/>
      <c r="I321" s="399"/>
      <c r="J321" s="400"/>
      <c r="K321" s="401"/>
      <c r="L321" s="399"/>
      <c r="M321" s="402"/>
      <c r="N321" s="402"/>
    </row>
    <row r="322">
      <c r="A322" s="382"/>
      <c r="B322" s="387"/>
      <c r="C322" s="389"/>
      <c r="D322" s="391"/>
      <c r="E322" s="392"/>
      <c r="F322" s="393"/>
      <c r="G322" s="395"/>
      <c r="H322" s="396"/>
      <c r="I322" s="399"/>
      <c r="J322" s="400"/>
      <c r="K322" s="401"/>
      <c r="L322" s="399"/>
      <c r="M322" s="402"/>
      <c r="N322" s="402"/>
    </row>
    <row r="323">
      <c r="A323" s="382"/>
      <c r="B323" s="387"/>
      <c r="C323" s="389"/>
      <c r="D323" s="391"/>
      <c r="E323" s="392"/>
      <c r="F323" s="393"/>
      <c r="G323" s="395"/>
      <c r="H323" s="396"/>
      <c r="I323" s="399"/>
      <c r="J323" s="400"/>
      <c r="K323" s="401"/>
      <c r="L323" s="399"/>
      <c r="M323" s="402"/>
      <c r="N323" s="402"/>
    </row>
    <row r="324">
      <c r="A324" s="382"/>
      <c r="B324" s="387"/>
      <c r="C324" s="389"/>
      <c r="D324" s="391"/>
      <c r="E324" s="392"/>
      <c r="F324" s="393"/>
      <c r="G324" s="395"/>
      <c r="H324" s="396"/>
      <c r="I324" s="399"/>
      <c r="J324" s="400"/>
      <c r="K324" s="401"/>
      <c r="L324" s="399"/>
      <c r="M324" s="402"/>
      <c r="N324" s="402"/>
    </row>
    <row r="325">
      <c r="A325" s="382"/>
      <c r="B325" s="387"/>
      <c r="C325" s="389"/>
      <c r="D325" s="391"/>
      <c r="E325" s="392"/>
      <c r="F325" s="393"/>
      <c r="G325" s="395"/>
      <c r="H325" s="396"/>
      <c r="I325" s="399"/>
      <c r="J325" s="400"/>
      <c r="K325" s="401"/>
      <c r="L325" s="399"/>
      <c r="M325" s="402"/>
      <c r="N325" s="402"/>
    </row>
    <row r="326">
      <c r="A326" s="382"/>
      <c r="B326" s="387"/>
      <c r="C326" s="389"/>
      <c r="D326" s="391"/>
      <c r="E326" s="392"/>
      <c r="F326" s="393"/>
      <c r="G326" s="395"/>
      <c r="H326" s="396"/>
      <c r="I326" s="399"/>
      <c r="J326" s="400"/>
      <c r="K326" s="401"/>
      <c r="L326" s="399"/>
      <c r="M326" s="402"/>
      <c r="N326" s="402"/>
    </row>
    <row r="327">
      <c r="A327" s="382"/>
      <c r="B327" s="387"/>
      <c r="C327" s="389"/>
      <c r="D327" s="391"/>
      <c r="E327" s="392"/>
      <c r="F327" s="393"/>
      <c r="G327" s="395"/>
      <c r="H327" s="396"/>
      <c r="I327" s="399"/>
      <c r="J327" s="400"/>
      <c r="K327" s="401"/>
      <c r="L327" s="399"/>
      <c r="M327" s="402"/>
      <c r="N327" s="402"/>
    </row>
    <row r="328">
      <c r="A328" s="382"/>
      <c r="B328" s="387"/>
      <c r="C328" s="389"/>
      <c r="D328" s="391"/>
      <c r="E328" s="392"/>
      <c r="F328" s="393"/>
      <c r="G328" s="395"/>
      <c r="H328" s="396"/>
      <c r="I328" s="399"/>
      <c r="J328" s="400"/>
      <c r="K328" s="401"/>
      <c r="L328" s="399"/>
      <c r="M328" s="402"/>
      <c r="N328" s="402"/>
    </row>
    <row r="329">
      <c r="A329" s="382"/>
      <c r="B329" s="387"/>
      <c r="C329" s="389"/>
      <c r="D329" s="391"/>
      <c r="E329" s="392"/>
      <c r="F329" s="393"/>
      <c r="G329" s="395"/>
      <c r="H329" s="396"/>
      <c r="I329" s="399"/>
      <c r="J329" s="400"/>
      <c r="K329" s="401"/>
      <c r="L329" s="399"/>
      <c r="M329" s="402"/>
      <c r="N329" s="402"/>
    </row>
    <row r="330">
      <c r="A330" s="382"/>
      <c r="B330" s="387"/>
      <c r="C330" s="389"/>
      <c r="D330" s="391"/>
      <c r="E330" s="392"/>
      <c r="F330" s="393"/>
      <c r="G330" s="395"/>
      <c r="H330" s="396"/>
      <c r="I330" s="399"/>
      <c r="J330" s="400"/>
      <c r="K330" s="401"/>
      <c r="L330" s="399"/>
      <c r="M330" s="402"/>
      <c r="N330" s="402"/>
    </row>
    <row r="331">
      <c r="A331" s="382"/>
      <c r="B331" s="387"/>
      <c r="C331" s="389"/>
      <c r="D331" s="391"/>
      <c r="E331" s="392"/>
      <c r="F331" s="393"/>
      <c r="G331" s="395"/>
      <c r="H331" s="396"/>
      <c r="I331" s="399"/>
      <c r="J331" s="400"/>
      <c r="K331" s="401"/>
      <c r="L331" s="399"/>
      <c r="M331" s="402"/>
      <c r="N331" s="402"/>
    </row>
    <row r="332">
      <c r="A332" s="382"/>
      <c r="B332" s="387"/>
      <c r="C332" s="389"/>
      <c r="D332" s="391"/>
      <c r="E332" s="392"/>
      <c r="F332" s="393"/>
      <c r="G332" s="395"/>
      <c r="H332" s="396"/>
      <c r="I332" s="399"/>
      <c r="J332" s="400"/>
      <c r="K332" s="401"/>
      <c r="L332" s="399"/>
      <c r="M332" s="402"/>
      <c r="N332" s="402"/>
    </row>
    <row r="333">
      <c r="A333" s="382"/>
      <c r="B333" s="387"/>
      <c r="C333" s="389"/>
      <c r="D333" s="391"/>
      <c r="E333" s="392"/>
      <c r="F333" s="393"/>
      <c r="G333" s="395"/>
      <c r="H333" s="396"/>
      <c r="I333" s="399"/>
      <c r="J333" s="400"/>
      <c r="K333" s="401"/>
      <c r="L333" s="399"/>
      <c r="M333" s="402"/>
      <c r="N333" s="402"/>
    </row>
    <row r="334">
      <c r="A334" s="382"/>
      <c r="B334" s="387"/>
      <c r="C334" s="389"/>
      <c r="D334" s="391"/>
      <c r="E334" s="392"/>
      <c r="F334" s="393"/>
      <c r="G334" s="395"/>
      <c r="H334" s="396"/>
      <c r="I334" s="399"/>
      <c r="J334" s="400"/>
      <c r="K334" s="401"/>
      <c r="L334" s="399"/>
      <c r="M334" s="402"/>
      <c r="N334" s="402"/>
    </row>
    <row r="335">
      <c r="A335" s="382"/>
      <c r="B335" s="387"/>
      <c r="C335" s="389"/>
      <c r="D335" s="391"/>
      <c r="E335" s="392"/>
      <c r="F335" s="393"/>
      <c r="G335" s="395"/>
      <c r="H335" s="396"/>
      <c r="I335" s="399"/>
      <c r="J335" s="400"/>
      <c r="K335" s="401"/>
      <c r="L335" s="399"/>
      <c r="M335" s="402"/>
      <c r="N335" s="402"/>
    </row>
    <row r="336">
      <c r="A336" s="382"/>
      <c r="B336" s="387"/>
      <c r="C336" s="389"/>
      <c r="D336" s="391"/>
      <c r="E336" s="392"/>
      <c r="F336" s="393"/>
      <c r="G336" s="395"/>
      <c r="H336" s="396"/>
      <c r="I336" s="399"/>
      <c r="J336" s="400"/>
      <c r="K336" s="401"/>
      <c r="L336" s="399"/>
      <c r="M336" s="402"/>
      <c r="N336" s="402"/>
    </row>
    <row r="337">
      <c r="A337" s="382"/>
      <c r="B337" s="387"/>
      <c r="C337" s="389"/>
      <c r="D337" s="391"/>
      <c r="E337" s="392"/>
      <c r="F337" s="393"/>
      <c r="G337" s="395"/>
      <c r="H337" s="396"/>
      <c r="I337" s="399"/>
      <c r="J337" s="400"/>
      <c r="K337" s="401"/>
      <c r="L337" s="399"/>
      <c r="M337" s="402"/>
      <c r="N337" s="402"/>
    </row>
    <row r="338">
      <c r="A338" s="382"/>
      <c r="B338" s="387"/>
      <c r="C338" s="389"/>
      <c r="D338" s="391"/>
      <c r="E338" s="392"/>
      <c r="F338" s="393"/>
      <c r="G338" s="395"/>
      <c r="H338" s="396"/>
      <c r="I338" s="399"/>
      <c r="J338" s="400"/>
      <c r="K338" s="401"/>
      <c r="L338" s="399"/>
      <c r="M338" s="402"/>
      <c r="N338" s="402"/>
    </row>
    <row r="339">
      <c r="A339" s="382"/>
      <c r="B339" s="387"/>
      <c r="C339" s="389"/>
      <c r="D339" s="391"/>
      <c r="E339" s="392"/>
      <c r="F339" s="393"/>
      <c r="G339" s="395"/>
      <c r="H339" s="396"/>
      <c r="I339" s="399"/>
      <c r="J339" s="400"/>
      <c r="K339" s="401"/>
      <c r="L339" s="399"/>
      <c r="M339" s="402"/>
      <c r="N339" s="402"/>
    </row>
    <row r="340">
      <c r="A340" s="382"/>
      <c r="B340" s="387"/>
      <c r="C340" s="389"/>
      <c r="D340" s="391"/>
      <c r="E340" s="392"/>
      <c r="F340" s="393"/>
      <c r="G340" s="395"/>
      <c r="H340" s="396"/>
      <c r="I340" s="399"/>
      <c r="J340" s="400"/>
      <c r="K340" s="401"/>
      <c r="L340" s="399"/>
      <c r="M340" s="402"/>
      <c r="N340" s="402"/>
    </row>
    <row r="341">
      <c r="A341" s="382"/>
      <c r="B341" s="387"/>
      <c r="C341" s="389"/>
      <c r="D341" s="391"/>
      <c r="E341" s="392"/>
      <c r="F341" s="393"/>
      <c r="G341" s="395"/>
      <c r="H341" s="396"/>
      <c r="I341" s="399"/>
      <c r="J341" s="400"/>
      <c r="K341" s="401"/>
      <c r="L341" s="399"/>
      <c r="M341" s="402"/>
      <c r="N341" s="402"/>
    </row>
    <row r="342">
      <c r="A342" s="382"/>
      <c r="B342" s="387"/>
      <c r="C342" s="389"/>
      <c r="D342" s="391"/>
      <c r="E342" s="392"/>
      <c r="F342" s="393"/>
      <c r="G342" s="395"/>
      <c r="H342" s="396"/>
      <c r="I342" s="399"/>
      <c r="J342" s="400"/>
      <c r="K342" s="401"/>
      <c r="L342" s="399"/>
      <c r="M342" s="402"/>
      <c r="N342" s="402"/>
    </row>
    <row r="343">
      <c r="A343" s="382"/>
      <c r="B343" s="387"/>
      <c r="C343" s="389"/>
      <c r="D343" s="391"/>
      <c r="E343" s="392"/>
      <c r="F343" s="393"/>
      <c r="G343" s="395"/>
      <c r="H343" s="396"/>
      <c r="I343" s="399"/>
      <c r="J343" s="400"/>
      <c r="K343" s="401"/>
      <c r="L343" s="399"/>
      <c r="M343" s="402"/>
      <c r="N343" s="402"/>
    </row>
    <row r="344">
      <c r="A344" s="382"/>
      <c r="B344" s="387"/>
      <c r="C344" s="389"/>
      <c r="D344" s="391"/>
      <c r="E344" s="392"/>
      <c r="F344" s="393"/>
      <c r="G344" s="395"/>
      <c r="H344" s="396"/>
      <c r="I344" s="399"/>
      <c r="J344" s="400"/>
      <c r="K344" s="401"/>
      <c r="L344" s="399"/>
      <c r="M344" s="402"/>
      <c r="N344" s="402"/>
    </row>
    <row r="345">
      <c r="A345" s="382"/>
      <c r="B345" s="387"/>
      <c r="C345" s="389"/>
      <c r="D345" s="391"/>
      <c r="E345" s="392"/>
      <c r="F345" s="393"/>
      <c r="G345" s="395"/>
      <c r="H345" s="396"/>
      <c r="I345" s="399"/>
      <c r="J345" s="400"/>
      <c r="K345" s="401"/>
      <c r="L345" s="399"/>
      <c r="M345" s="402"/>
      <c r="N345" s="402"/>
    </row>
    <row r="346">
      <c r="A346" s="382"/>
      <c r="B346" s="387"/>
      <c r="C346" s="389"/>
      <c r="D346" s="391"/>
      <c r="E346" s="392"/>
      <c r="F346" s="393"/>
      <c r="G346" s="395"/>
      <c r="H346" s="396"/>
      <c r="I346" s="399"/>
      <c r="J346" s="400"/>
      <c r="K346" s="401"/>
      <c r="L346" s="399"/>
      <c r="M346" s="402"/>
      <c r="N346" s="402"/>
    </row>
    <row r="347">
      <c r="A347" s="382"/>
      <c r="B347" s="387"/>
      <c r="C347" s="389"/>
      <c r="D347" s="391"/>
      <c r="E347" s="392"/>
      <c r="F347" s="393"/>
      <c r="G347" s="395"/>
      <c r="H347" s="396"/>
      <c r="I347" s="399"/>
      <c r="J347" s="400"/>
      <c r="K347" s="401"/>
      <c r="L347" s="399"/>
      <c r="M347" s="402"/>
      <c r="N347" s="402"/>
    </row>
    <row r="348">
      <c r="A348" s="382"/>
      <c r="B348" s="387"/>
      <c r="C348" s="389"/>
      <c r="D348" s="391"/>
      <c r="E348" s="392"/>
      <c r="F348" s="393"/>
      <c r="G348" s="395"/>
      <c r="H348" s="396"/>
      <c r="I348" s="399"/>
      <c r="J348" s="400"/>
      <c r="K348" s="401"/>
      <c r="L348" s="399"/>
      <c r="M348" s="402"/>
      <c r="N348" s="402"/>
    </row>
    <row r="349">
      <c r="A349" s="382"/>
      <c r="B349" s="387"/>
      <c r="C349" s="389"/>
      <c r="D349" s="391"/>
      <c r="E349" s="392"/>
      <c r="F349" s="393"/>
      <c r="G349" s="395"/>
      <c r="H349" s="396"/>
      <c r="I349" s="399"/>
      <c r="J349" s="400"/>
      <c r="K349" s="401"/>
      <c r="L349" s="399"/>
      <c r="M349" s="402"/>
      <c r="N349" s="402"/>
    </row>
    <row r="350">
      <c r="A350" s="382"/>
      <c r="B350" s="387"/>
      <c r="C350" s="389"/>
      <c r="D350" s="391"/>
      <c r="E350" s="392"/>
      <c r="F350" s="393"/>
      <c r="G350" s="395"/>
      <c r="H350" s="396"/>
      <c r="I350" s="399"/>
      <c r="J350" s="400"/>
      <c r="K350" s="401"/>
      <c r="L350" s="399"/>
      <c r="M350" s="402"/>
      <c r="N350" s="402"/>
    </row>
    <row r="351">
      <c r="A351" s="382"/>
      <c r="B351" s="387"/>
      <c r="C351" s="389"/>
      <c r="D351" s="391"/>
      <c r="E351" s="392"/>
      <c r="F351" s="393"/>
      <c r="G351" s="395"/>
      <c r="H351" s="396"/>
      <c r="I351" s="399"/>
      <c r="J351" s="400"/>
      <c r="K351" s="401"/>
      <c r="L351" s="399"/>
      <c r="M351" s="402"/>
      <c r="N351" s="402"/>
    </row>
    <row r="352">
      <c r="A352" s="382"/>
      <c r="B352" s="387"/>
      <c r="C352" s="389"/>
      <c r="D352" s="391"/>
      <c r="E352" s="392"/>
      <c r="F352" s="393"/>
      <c r="G352" s="395"/>
      <c r="H352" s="396"/>
      <c r="I352" s="399"/>
      <c r="J352" s="400"/>
      <c r="K352" s="401"/>
      <c r="L352" s="399"/>
      <c r="M352" s="402"/>
      <c r="N352" s="402"/>
    </row>
    <row r="353">
      <c r="A353" s="382"/>
      <c r="B353" s="387"/>
      <c r="C353" s="389"/>
      <c r="D353" s="391"/>
      <c r="E353" s="392"/>
      <c r="F353" s="393"/>
      <c r="G353" s="395"/>
      <c r="H353" s="396"/>
      <c r="I353" s="399"/>
      <c r="J353" s="400"/>
      <c r="K353" s="401"/>
      <c r="L353" s="399"/>
      <c r="M353" s="402"/>
      <c r="N353" s="402"/>
    </row>
    <row r="354">
      <c r="A354" s="382"/>
      <c r="B354" s="387"/>
      <c r="C354" s="389"/>
      <c r="D354" s="391"/>
      <c r="E354" s="392"/>
      <c r="F354" s="393"/>
      <c r="G354" s="395"/>
      <c r="H354" s="396"/>
      <c r="I354" s="399"/>
      <c r="J354" s="400"/>
      <c r="K354" s="401"/>
      <c r="L354" s="399"/>
      <c r="M354" s="402"/>
      <c r="N354" s="402"/>
    </row>
    <row r="355">
      <c r="A355" s="382"/>
      <c r="B355" s="387"/>
      <c r="C355" s="389"/>
      <c r="D355" s="391"/>
      <c r="E355" s="392"/>
      <c r="F355" s="393"/>
      <c r="G355" s="395"/>
      <c r="H355" s="396"/>
      <c r="I355" s="399"/>
      <c r="J355" s="400"/>
      <c r="K355" s="401"/>
      <c r="L355" s="399"/>
      <c r="M355" s="402"/>
      <c r="N355" s="402"/>
    </row>
    <row r="356">
      <c r="A356" s="382"/>
      <c r="B356" s="387"/>
      <c r="C356" s="389"/>
      <c r="D356" s="391"/>
      <c r="E356" s="392"/>
      <c r="F356" s="393"/>
      <c r="G356" s="395"/>
      <c r="H356" s="396"/>
      <c r="I356" s="399"/>
      <c r="J356" s="400"/>
      <c r="K356" s="401"/>
      <c r="L356" s="399"/>
      <c r="M356" s="402"/>
      <c r="N356" s="402"/>
    </row>
    <row r="357">
      <c r="A357" s="382"/>
      <c r="B357" s="387"/>
      <c r="C357" s="389"/>
      <c r="D357" s="391"/>
      <c r="E357" s="392"/>
      <c r="F357" s="393"/>
      <c r="G357" s="395"/>
      <c r="H357" s="396"/>
      <c r="I357" s="399"/>
      <c r="J357" s="400"/>
      <c r="K357" s="401"/>
      <c r="L357" s="399"/>
      <c r="M357" s="402"/>
      <c r="N357" s="402"/>
    </row>
    <row r="358">
      <c r="A358" s="382"/>
      <c r="B358" s="387"/>
      <c r="C358" s="389"/>
      <c r="D358" s="391"/>
      <c r="E358" s="392"/>
      <c r="F358" s="393"/>
      <c r="G358" s="395"/>
      <c r="H358" s="396"/>
      <c r="I358" s="399"/>
      <c r="J358" s="400"/>
      <c r="K358" s="401"/>
      <c r="L358" s="399"/>
      <c r="M358" s="402"/>
      <c r="N358" s="402"/>
    </row>
    <row r="359">
      <c r="A359" s="382"/>
      <c r="B359" s="387"/>
      <c r="C359" s="389"/>
      <c r="D359" s="391"/>
      <c r="E359" s="392"/>
      <c r="F359" s="393"/>
      <c r="G359" s="395"/>
      <c r="H359" s="396"/>
      <c r="I359" s="399"/>
      <c r="J359" s="400"/>
      <c r="K359" s="401"/>
      <c r="L359" s="399"/>
      <c r="M359" s="402"/>
      <c r="N359" s="402"/>
    </row>
    <row r="360">
      <c r="A360" s="382"/>
      <c r="B360" s="387"/>
      <c r="C360" s="389"/>
      <c r="D360" s="391"/>
      <c r="E360" s="392"/>
      <c r="F360" s="393"/>
      <c r="G360" s="395"/>
      <c r="H360" s="396"/>
      <c r="I360" s="399"/>
      <c r="J360" s="400"/>
      <c r="K360" s="401"/>
      <c r="L360" s="399"/>
      <c r="M360" s="402"/>
      <c r="N360" s="402"/>
    </row>
    <row r="361">
      <c r="A361" s="382"/>
      <c r="B361" s="387"/>
      <c r="C361" s="389"/>
      <c r="D361" s="391"/>
      <c r="E361" s="392"/>
      <c r="F361" s="393"/>
      <c r="G361" s="395"/>
      <c r="H361" s="396"/>
      <c r="I361" s="399"/>
      <c r="J361" s="400"/>
      <c r="K361" s="401"/>
      <c r="L361" s="399"/>
      <c r="M361" s="402"/>
      <c r="N361" s="402"/>
    </row>
    <row r="362">
      <c r="A362" s="382"/>
      <c r="B362" s="387"/>
      <c r="C362" s="389"/>
      <c r="D362" s="391"/>
      <c r="E362" s="392"/>
      <c r="F362" s="393"/>
      <c r="G362" s="395"/>
      <c r="H362" s="396"/>
      <c r="I362" s="399"/>
      <c r="J362" s="400"/>
      <c r="K362" s="401"/>
      <c r="L362" s="399"/>
      <c r="M362" s="402"/>
      <c r="N362" s="402"/>
    </row>
    <row r="363">
      <c r="A363" s="382"/>
      <c r="B363" s="387"/>
      <c r="C363" s="389"/>
      <c r="D363" s="391"/>
      <c r="E363" s="392"/>
      <c r="F363" s="393"/>
      <c r="G363" s="395"/>
      <c r="H363" s="396"/>
      <c r="I363" s="399"/>
      <c r="J363" s="400"/>
      <c r="K363" s="401"/>
      <c r="L363" s="399"/>
      <c r="M363" s="402"/>
      <c r="N363" s="402"/>
    </row>
    <row r="364">
      <c r="A364" s="382"/>
      <c r="B364" s="387"/>
      <c r="C364" s="389"/>
      <c r="D364" s="391"/>
      <c r="E364" s="392"/>
      <c r="F364" s="393"/>
      <c r="G364" s="395"/>
      <c r="H364" s="396"/>
      <c r="I364" s="399"/>
      <c r="J364" s="400"/>
      <c r="K364" s="401"/>
      <c r="L364" s="399"/>
      <c r="M364" s="402"/>
      <c r="N364" s="402"/>
    </row>
    <row r="365">
      <c r="A365" s="382"/>
      <c r="B365" s="387"/>
      <c r="C365" s="389"/>
      <c r="D365" s="391"/>
      <c r="E365" s="392"/>
      <c r="F365" s="393"/>
      <c r="G365" s="395"/>
      <c r="H365" s="396"/>
      <c r="I365" s="399"/>
      <c r="J365" s="400"/>
      <c r="K365" s="401"/>
      <c r="L365" s="399"/>
      <c r="M365" s="402"/>
      <c r="N365" s="402"/>
    </row>
    <row r="366">
      <c r="A366" s="382"/>
      <c r="B366" s="387"/>
      <c r="C366" s="389"/>
      <c r="D366" s="391"/>
      <c r="E366" s="392"/>
      <c r="F366" s="393"/>
      <c r="G366" s="395"/>
      <c r="H366" s="396"/>
      <c r="I366" s="399"/>
      <c r="J366" s="400"/>
      <c r="K366" s="401"/>
      <c r="L366" s="399"/>
      <c r="M366" s="402"/>
      <c r="N366" s="402"/>
    </row>
    <row r="367">
      <c r="A367" s="382"/>
      <c r="B367" s="387"/>
      <c r="C367" s="389"/>
      <c r="D367" s="391"/>
      <c r="E367" s="392"/>
      <c r="F367" s="393"/>
      <c r="G367" s="395"/>
      <c r="H367" s="396"/>
      <c r="I367" s="399"/>
      <c r="J367" s="400"/>
      <c r="K367" s="401"/>
      <c r="L367" s="399"/>
      <c r="M367" s="402"/>
      <c r="N367" s="402"/>
    </row>
    <row r="368">
      <c r="A368" s="382"/>
      <c r="B368" s="387"/>
      <c r="C368" s="389"/>
      <c r="D368" s="391"/>
      <c r="E368" s="392"/>
      <c r="F368" s="393"/>
      <c r="G368" s="395"/>
      <c r="H368" s="396"/>
      <c r="I368" s="399"/>
      <c r="J368" s="400"/>
      <c r="K368" s="401"/>
      <c r="L368" s="399"/>
      <c r="M368" s="402"/>
      <c r="N368" s="402"/>
    </row>
    <row r="369">
      <c r="A369" s="382"/>
      <c r="B369" s="387"/>
      <c r="C369" s="389"/>
      <c r="D369" s="391"/>
      <c r="E369" s="392"/>
      <c r="F369" s="393"/>
      <c r="G369" s="395"/>
      <c r="H369" s="396"/>
      <c r="I369" s="399"/>
      <c r="J369" s="400"/>
      <c r="K369" s="401"/>
      <c r="L369" s="399"/>
      <c r="M369" s="402"/>
      <c r="N369" s="402"/>
    </row>
    <row r="370">
      <c r="A370" s="382"/>
      <c r="B370" s="387"/>
      <c r="C370" s="389"/>
      <c r="D370" s="391"/>
      <c r="E370" s="392"/>
      <c r="F370" s="393"/>
      <c r="G370" s="395"/>
      <c r="H370" s="396"/>
      <c r="I370" s="399"/>
      <c r="J370" s="400"/>
      <c r="K370" s="401"/>
      <c r="L370" s="399"/>
      <c r="M370" s="402"/>
      <c r="N370" s="402"/>
    </row>
    <row r="371">
      <c r="A371" s="382"/>
      <c r="B371" s="387"/>
      <c r="C371" s="389"/>
      <c r="D371" s="391"/>
      <c r="E371" s="392"/>
      <c r="F371" s="393"/>
      <c r="G371" s="395"/>
      <c r="H371" s="396"/>
      <c r="I371" s="399"/>
      <c r="J371" s="400"/>
      <c r="K371" s="401"/>
      <c r="L371" s="399"/>
      <c r="M371" s="402"/>
      <c r="N371" s="402"/>
    </row>
    <row r="372">
      <c r="A372" s="382"/>
      <c r="B372" s="387"/>
      <c r="C372" s="389"/>
      <c r="D372" s="391"/>
      <c r="E372" s="392"/>
      <c r="F372" s="393"/>
      <c r="G372" s="395"/>
      <c r="H372" s="396"/>
      <c r="I372" s="399"/>
      <c r="J372" s="400"/>
      <c r="K372" s="401"/>
      <c r="L372" s="399"/>
      <c r="M372" s="402"/>
      <c r="N372" s="402"/>
    </row>
    <row r="373">
      <c r="A373" s="382"/>
      <c r="B373" s="387"/>
      <c r="C373" s="389"/>
      <c r="D373" s="391"/>
      <c r="E373" s="392"/>
      <c r="F373" s="393"/>
      <c r="G373" s="395"/>
      <c r="H373" s="396"/>
      <c r="I373" s="399"/>
      <c r="J373" s="400"/>
      <c r="K373" s="401"/>
      <c r="L373" s="399"/>
      <c r="M373" s="402"/>
      <c r="N373" s="402"/>
    </row>
    <row r="374">
      <c r="A374" s="382"/>
      <c r="B374" s="387"/>
      <c r="C374" s="389"/>
      <c r="D374" s="391"/>
      <c r="E374" s="392"/>
      <c r="F374" s="393"/>
      <c r="G374" s="395"/>
      <c r="H374" s="396"/>
      <c r="I374" s="399"/>
      <c r="J374" s="400"/>
      <c r="K374" s="401"/>
      <c r="L374" s="399"/>
      <c r="M374" s="402"/>
      <c r="N374" s="402"/>
    </row>
    <row r="375">
      <c r="A375" s="382"/>
      <c r="B375" s="387"/>
      <c r="C375" s="389"/>
      <c r="D375" s="391"/>
      <c r="E375" s="392"/>
      <c r="F375" s="393"/>
      <c r="G375" s="395"/>
      <c r="H375" s="396"/>
      <c r="I375" s="399"/>
      <c r="J375" s="400"/>
      <c r="K375" s="401"/>
      <c r="L375" s="399"/>
      <c r="M375" s="402"/>
      <c r="N375" s="402"/>
    </row>
    <row r="376">
      <c r="A376" s="382"/>
      <c r="B376" s="387"/>
      <c r="C376" s="389"/>
      <c r="D376" s="391"/>
      <c r="E376" s="392"/>
      <c r="F376" s="393"/>
      <c r="G376" s="395"/>
      <c r="H376" s="396"/>
      <c r="I376" s="399"/>
      <c r="J376" s="400"/>
      <c r="K376" s="401"/>
      <c r="L376" s="399"/>
      <c r="M376" s="402"/>
      <c r="N376" s="402"/>
    </row>
    <row r="377">
      <c r="A377" s="382"/>
      <c r="B377" s="387"/>
      <c r="C377" s="389"/>
      <c r="D377" s="391"/>
      <c r="E377" s="392"/>
      <c r="F377" s="393"/>
      <c r="G377" s="395"/>
      <c r="H377" s="396"/>
      <c r="I377" s="399"/>
      <c r="J377" s="400"/>
      <c r="K377" s="401"/>
      <c r="L377" s="399"/>
      <c r="M377" s="402"/>
      <c r="N377" s="402"/>
    </row>
    <row r="378">
      <c r="A378" s="382"/>
      <c r="B378" s="387"/>
      <c r="C378" s="389"/>
      <c r="D378" s="391"/>
      <c r="E378" s="392"/>
      <c r="F378" s="393"/>
      <c r="G378" s="395"/>
      <c r="H378" s="396"/>
      <c r="I378" s="399"/>
      <c r="J378" s="400"/>
      <c r="K378" s="401"/>
      <c r="L378" s="399"/>
      <c r="M378" s="402"/>
      <c r="N378" s="402"/>
    </row>
    <row r="379">
      <c r="A379" s="382"/>
      <c r="B379" s="387"/>
      <c r="C379" s="389"/>
      <c r="D379" s="391"/>
      <c r="E379" s="392"/>
      <c r="F379" s="393"/>
      <c r="G379" s="395"/>
      <c r="H379" s="396"/>
      <c r="I379" s="399"/>
      <c r="J379" s="400"/>
      <c r="K379" s="401"/>
      <c r="L379" s="399"/>
      <c r="M379" s="402"/>
      <c r="N379" s="402"/>
    </row>
    <row r="380">
      <c r="A380" s="382"/>
      <c r="B380" s="387"/>
      <c r="C380" s="389"/>
      <c r="D380" s="391"/>
      <c r="E380" s="392"/>
      <c r="F380" s="393"/>
      <c r="G380" s="395"/>
      <c r="H380" s="396"/>
      <c r="I380" s="399"/>
      <c r="J380" s="400"/>
      <c r="K380" s="401"/>
      <c r="L380" s="399"/>
      <c r="M380" s="402"/>
      <c r="N380" s="402"/>
    </row>
    <row r="381">
      <c r="A381" s="382"/>
      <c r="B381" s="387"/>
      <c r="C381" s="389"/>
      <c r="D381" s="391"/>
      <c r="E381" s="392"/>
      <c r="F381" s="393"/>
      <c r="G381" s="395"/>
      <c r="H381" s="396"/>
      <c r="I381" s="399"/>
      <c r="J381" s="400"/>
      <c r="K381" s="401"/>
      <c r="L381" s="399"/>
      <c r="M381" s="402"/>
      <c r="N381" s="402"/>
    </row>
    <row r="382">
      <c r="A382" s="382"/>
      <c r="B382" s="387"/>
      <c r="C382" s="389"/>
      <c r="D382" s="391"/>
      <c r="E382" s="392"/>
      <c r="F382" s="393"/>
      <c r="G382" s="395"/>
      <c r="H382" s="396"/>
      <c r="I382" s="399"/>
      <c r="J382" s="400"/>
      <c r="K382" s="401"/>
      <c r="L382" s="399"/>
      <c r="M382" s="402"/>
      <c r="N382" s="402"/>
    </row>
    <row r="383">
      <c r="A383" s="382"/>
      <c r="B383" s="387"/>
      <c r="C383" s="389"/>
      <c r="D383" s="391"/>
      <c r="E383" s="392"/>
      <c r="F383" s="393"/>
      <c r="G383" s="395"/>
      <c r="H383" s="396"/>
      <c r="I383" s="399"/>
      <c r="J383" s="400"/>
      <c r="K383" s="401"/>
      <c r="L383" s="399"/>
      <c r="M383" s="402"/>
      <c r="N383" s="402"/>
    </row>
    <row r="384">
      <c r="A384" s="382"/>
      <c r="B384" s="387"/>
      <c r="C384" s="389"/>
      <c r="D384" s="391"/>
      <c r="E384" s="392"/>
      <c r="F384" s="393"/>
      <c r="G384" s="395"/>
      <c r="H384" s="396"/>
      <c r="I384" s="399"/>
      <c r="J384" s="400"/>
      <c r="K384" s="401"/>
      <c r="L384" s="399"/>
      <c r="M384" s="402"/>
      <c r="N384" s="402"/>
    </row>
    <row r="385">
      <c r="A385" s="382"/>
      <c r="B385" s="387"/>
      <c r="C385" s="389"/>
      <c r="D385" s="391"/>
      <c r="E385" s="392"/>
      <c r="F385" s="393"/>
      <c r="G385" s="395"/>
      <c r="H385" s="396"/>
      <c r="I385" s="399"/>
      <c r="J385" s="400"/>
      <c r="K385" s="401"/>
      <c r="L385" s="399"/>
      <c r="M385" s="402"/>
      <c r="N385" s="402"/>
    </row>
    <row r="386">
      <c r="A386" s="382"/>
      <c r="B386" s="387"/>
      <c r="C386" s="389"/>
      <c r="D386" s="391"/>
      <c r="E386" s="392"/>
      <c r="F386" s="393"/>
      <c r="G386" s="395"/>
      <c r="H386" s="396"/>
      <c r="I386" s="399"/>
      <c r="J386" s="400"/>
      <c r="K386" s="401"/>
      <c r="L386" s="399"/>
      <c r="M386" s="402"/>
      <c r="N386" s="402"/>
    </row>
    <row r="387">
      <c r="A387" s="382"/>
      <c r="B387" s="387"/>
      <c r="C387" s="389"/>
      <c r="D387" s="391"/>
      <c r="E387" s="392"/>
      <c r="F387" s="393"/>
      <c r="G387" s="395"/>
      <c r="H387" s="396"/>
      <c r="I387" s="399"/>
      <c r="J387" s="400"/>
      <c r="K387" s="401"/>
      <c r="L387" s="399"/>
      <c r="M387" s="402"/>
      <c r="N387" s="402"/>
    </row>
    <row r="388">
      <c r="A388" s="382"/>
      <c r="B388" s="387"/>
      <c r="C388" s="389"/>
      <c r="D388" s="391"/>
      <c r="E388" s="392"/>
      <c r="F388" s="393"/>
      <c r="G388" s="395"/>
      <c r="H388" s="396"/>
      <c r="I388" s="399"/>
      <c r="J388" s="400"/>
      <c r="K388" s="401"/>
      <c r="L388" s="399"/>
      <c r="M388" s="402"/>
      <c r="N388" s="402"/>
    </row>
    <row r="389">
      <c r="A389" s="382"/>
      <c r="B389" s="387"/>
      <c r="C389" s="389"/>
      <c r="D389" s="391"/>
      <c r="E389" s="392"/>
      <c r="F389" s="393"/>
      <c r="G389" s="395"/>
      <c r="H389" s="396"/>
      <c r="I389" s="399"/>
      <c r="J389" s="400"/>
      <c r="K389" s="401"/>
      <c r="L389" s="399"/>
      <c r="M389" s="402"/>
      <c r="N389" s="402"/>
    </row>
    <row r="390">
      <c r="A390" s="382"/>
      <c r="B390" s="387"/>
      <c r="C390" s="389"/>
      <c r="D390" s="391"/>
      <c r="E390" s="392"/>
      <c r="F390" s="393"/>
      <c r="G390" s="395"/>
      <c r="H390" s="396"/>
      <c r="I390" s="399"/>
      <c r="J390" s="400"/>
      <c r="K390" s="401"/>
      <c r="L390" s="399"/>
      <c r="M390" s="402"/>
      <c r="N390" s="402"/>
    </row>
    <row r="391">
      <c r="A391" s="382"/>
      <c r="B391" s="387"/>
      <c r="C391" s="389"/>
      <c r="D391" s="391"/>
      <c r="E391" s="392"/>
      <c r="F391" s="393"/>
      <c r="G391" s="395"/>
      <c r="H391" s="396"/>
      <c r="I391" s="399"/>
      <c r="J391" s="400"/>
      <c r="K391" s="401"/>
      <c r="L391" s="399"/>
      <c r="M391" s="402"/>
      <c r="N391" s="402"/>
    </row>
    <row r="392">
      <c r="A392" s="382"/>
      <c r="B392" s="387"/>
      <c r="C392" s="389"/>
      <c r="D392" s="391"/>
      <c r="E392" s="392"/>
      <c r="F392" s="393"/>
      <c r="G392" s="395"/>
      <c r="H392" s="396"/>
      <c r="I392" s="399"/>
      <c r="J392" s="400"/>
      <c r="K392" s="401"/>
      <c r="L392" s="399"/>
      <c r="M392" s="402"/>
      <c r="N392" s="402"/>
    </row>
    <row r="393">
      <c r="A393" s="382"/>
      <c r="B393" s="387"/>
      <c r="C393" s="389"/>
      <c r="D393" s="391"/>
      <c r="E393" s="392"/>
      <c r="F393" s="393"/>
      <c r="G393" s="395"/>
      <c r="H393" s="396"/>
      <c r="I393" s="399"/>
      <c r="J393" s="400"/>
      <c r="K393" s="401"/>
      <c r="L393" s="399"/>
      <c r="M393" s="402"/>
      <c r="N393" s="402"/>
    </row>
    <row r="394">
      <c r="A394" s="382"/>
      <c r="B394" s="387"/>
      <c r="C394" s="389"/>
      <c r="D394" s="391"/>
      <c r="E394" s="392"/>
      <c r="F394" s="393"/>
      <c r="G394" s="395"/>
      <c r="H394" s="396"/>
      <c r="I394" s="399"/>
      <c r="J394" s="400"/>
      <c r="K394" s="401"/>
      <c r="L394" s="399"/>
      <c r="M394" s="402"/>
      <c r="N394" s="402"/>
    </row>
    <row r="395">
      <c r="A395" s="382"/>
      <c r="B395" s="387"/>
      <c r="C395" s="389"/>
      <c r="D395" s="391"/>
      <c r="E395" s="392"/>
      <c r="F395" s="393"/>
      <c r="G395" s="395"/>
      <c r="H395" s="396"/>
      <c r="I395" s="399"/>
      <c r="J395" s="400"/>
      <c r="K395" s="401"/>
      <c r="L395" s="399"/>
      <c r="M395" s="402"/>
      <c r="N395" s="402"/>
    </row>
    <row r="396">
      <c r="A396" s="382"/>
      <c r="B396" s="387"/>
      <c r="C396" s="389"/>
      <c r="D396" s="391"/>
      <c r="E396" s="392"/>
      <c r="F396" s="393"/>
      <c r="G396" s="395"/>
      <c r="H396" s="396"/>
      <c r="I396" s="399"/>
      <c r="J396" s="400"/>
      <c r="K396" s="401"/>
      <c r="L396" s="399"/>
      <c r="M396" s="402"/>
      <c r="N396" s="402"/>
    </row>
    <row r="397">
      <c r="A397" s="382"/>
      <c r="B397" s="387"/>
      <c r="C397" s="389"/>
      <c r="D397" s="391"/>
      <c r="E397" s="392"/>
      <c r="F397" s="393"/>
      <c r="G397" s="395"/>
      <c r="H397" s="396"/>
      <c r="I397" s="399"/>
      <c r="J397" s="400"/>
      <c r="K397" s="401"/>
      <c r="L397" s="399"/>
      <c r="M397" s="402"/>
      <c r="N397" s="402"/>
    </row>
    <row r="398">
      <c r="A398" s="382"/>
      <c r="B398" s="387"/>
      <c r="C398" s="389"/>
      <c r="D398" s="391"/>
      <c r="E398" s="392"/>
      <c r="F398" s="393"/>
      <c r="G398" s="395"/>
      <c r="H398" s="396"/>
      <c r="I398" s="399"/>
      <c r="J398" s="400"/>
      <c r="K398" s="401"/>
      <c r="L398" s="399"/>
      <c r="M398" s="402"/>
      <c r="N398" s="402"/>
    </row>
    <row r="399">
      <c r="A399" s="382"/>
      <c r="B399" s="387"/>
      <c r="C399" s="389"/>
      <c r="D399" s="391"/>
      <c r="E399" s="392"/>
      <c r="F399" s="393"/>
      <c r="G399" s="395"/>
      <c r="H399" s="396"/>
      <c r="I399" s="399"/>
      <c r="J399" s="400"/>
      <c r="K399" s="401"/>
      <c r="L399" s="399"/>
      <c r="M399" s="402"/>
      <c r="N399" s="402"/>
    </row>
    <row r="400">
      <c r="A400" s="382"/>
      <c r="B400" s="387"/>
      <c r="C400" s="389"/>
      <c r="D400" s="391"/>
      <c r="E400" s="392"/>
      <c r="F400" s="393"/>
      <c r="G400" s="395"/>
      <c r="H400" s="396"/>
      <c r="I400" s="399"/>
      <c r="J400" s="400"/>
      <c r="K400" s="401"/>
      <c r="L400" s="399"/>
      <c r="M400" s="402"/>
      <c r="N400" s="402"/>
    </row>
    <row r="401">
      <c r="A401" s="382"/>
      <c r="B401" s="387"/>
      <c r="C401" s="389"/>
      <c r="D401" s="391"/>
      <c r="E401" s="392"/>
      <c r="F401" s="393"/>
      <c r="G401" s="395"/>
      <c r="H401" s="396"/>
      <c r="I401" s="399"/>
      <c r="J401" s="400"/>
      <c r="K401" s="401"/>
      <c r="L401" s="399"/>
      <c r="M401" s="402"/>
      <c r="N401" s="402"/>
    </row>
    <row r="402">
      <c r="A402" s="382"/>
      <c r="B402" s="387"/>
      <c r="C402" s="389"/>
      <c r="D402" s="391"/>
      <c r="E402" s="392"/>
      <c r="F402" s="393"/>
      <c r="G402" s="395"/>
      <c r="H402" s="396"/>
      <c r="I402" s="399"/>
      <c r="J402" s="400"/>
      <c r="K402" s="401"/>
      <c r="L402" s="399"/>
      <c r="M402" s="402"/>
      <c r="N402" s="402"/>
    </row>
    <row r="403">
      <c r="A403" s="382"/>
      <c r="B403" s="387"/>
      <c r="C403" s="389"/>
      <c r="D403" s="391"/>
      <c r="E403" s="392"/>
      <c r="F403" s="393"/>
      <c r="G403" s="395"/>
      <c r="H403" s="396"/>
      <c r="I403" s="399"/>
      <c r="J403" s="400"/>
      <c r="K403" s="401"/>
      <c r="L403" s="399"/>
      <c r="M403" s="402"/>
      <c r="N403" s="402"/>
    </row>
    <row r="404">
      <c r="A404" s="382"/>
      <c r="B404" s="387"/>
      <c r="C404" s="389"/>
      <c r="D404" s="391"/>
      <c r="E404" s="392"/>
      <c r="F404" s="393"/>
      <c r="G404" s="395"/>
      <c r="H404" s="396"/>
      <c r="I404" s="399"/>
      <c r="J404" s="400"/>
      <c r="K404" s="401"/>
      <c r="L404" s="399"/>
      <c r="M404" s="402"/>
      <c r="N404" s="402"/>
    </row>
    <row r="405">
      <c r="A405" s="382"/>
      <c r="B405" s="387"/>
      <c r="C405" s="389"/>
      <c r="D405" s="391"/>
      <c r="E405" s="392"/>
      <c r="F405" s="393"/>
      <c r="G405" s="395"/>
      <c r="H405" s="396"/>
      <c r="I405" s="399"/>
      <c r="J405" s="400"/>
      <c r="K405" s="401"/>
      <c r="L405" s="399"/>
      <c r="M405" s="402"/>
      <c r="N405" s="402"/>
    </row>
    <row r="406">
      <c r="A406" s="382"/>
      <c r="B406" s="387"/>
      <c r="C406" s="389"/>
      <c r="D406" s="391"/>
      <c r="E406" s="392"/>
      <c r="F406" s="393"/>
      <c r="G406" s="395"/>
      <c r="H406" s="396"/>
      <c r="I406" s="399"/>
      <c r="J406" s="400"/>
      <c r="K406" s="401"/>
      <c r="L406" s="399"/>
      <c r="M406" s="402"/>
      <c r="N406" s="402"/>
    </row>
    <row r="407">
      <c r="A407" s="382"/>
      <c r="B407" s="387"/>
      <c r="C407" s="389"/>
      <c r="D407" s="391"/>
      <c r="E407" s="392"/>
      <c r="F407" s="393"/>
      <c r="G407" s="395"/>
      <c r="H407" s="396"/>
      <c r="I407" s="399"/>
      <c r="J407" s="400"/>
      <c r="K407" s="401"/>
      <c r="L407" s="399"/>
      <c r="M407" s="402"/>
      <c r="N407" s="402"/>
    </row>
    <row r="408">
      <c r="A408" s="382"/>
      <c r="B408" s="387"/>
      <c r="C408" s="389"/>
      <c r="D408" s="391"/>
      <c r="E408" s="392"/>
      <c r="F408" s="393"/>
      <c r="G408" s="395"/>
      <c r="H408" s="396"/>
      <c r="I408" s="399"/>
      <c r="J408" s="400"/>
      <c r="K408" s="401"/>
      <c r="L408" s="399"/>
      <c r="M408" s="402"/>
      <c r="N408" s="402"/>
    </row>
    <row r="409">
      <c r="A409" s="382"/>
      <c r="B409" s="387"/>
      <c r="C409" s="389"/>
      <c r="D409" s="391"/>
      <c r="E409" s="392"/>
      <c r="F409" s="393"/>
      <c r="G409" s="395"/>
      <c r="H409" s="396"/>
      <c r="I409" s="399"/>
      <c r="J409" s="400"/>
      <c r="K409" s="401"/>
      <c r="L409" s="399"/>
      <c r="M409" s="402"/>
      <c r="N409" s="402"/>
    </row>
    <row r="410">
      <c r="A410" s="382"/>
      <c r="B410" s="387"/>
      <c r="C410" s="389"/>
      <c r="D410" s="391"/>
      <c r="E410" s="392"/>
      <c r="F410" s="393"/>
      <c r="G410" s="395"/>
      <c r="H410" s="396"/>
      <c r="I410" s="399"/>
      <c r="J410" s="400"/>
      <c r="K410" s="401"/>
      <c r="L410" s="399"/>
      <c r="M410" s="402"/>
      <c r="N410" s="402"/>
    </row>
    <row r="411">
      <c r="A411" s="382"/>
      <c r="B411" s="387"/>
      <c r="C411" s="389"/>
      <c r="D411" s="391"/>
      <c r="E411" s="392"/>
      <c r="F411" s="393"/>
      <c r="G411" s="395"/>
      <c r="H411" s="396"/>
      <c r="I411" s="399"/>
      <c r="J411" s="400"/>
      <c r="K411" s="401"/>
      <c r="L411" s="399"/>
      <c r="M411" s="402"/>
      <c r="N411" s="402"/>
    </row>
    <row r="412">
      <c r="A412" s="382"/>
      <c r="B412" s="387"/>
      <c r="C412" s="389"/>
      <c r="D412" s="391"/>
      <c r="E412" s="392"/>
      <c r="F412" s="393"/>
      <c r="G412" s="395"/>
      <c r="H412" s="396"/>
      <c r="I412" s="399"/>
      <c r="J412" s="400"/>
      <c r="K412" s="401"/>
      <c r="L412" s="399"/>
      <c r="M412" s="402"/>
      <c r="N412" s="402"/>
    </row>
    <row r="413">
      <c r="A413" s="382"/>
      <c r="B413" s="387"/>
      <c r="C413" s="389"/>
      <c r="D413" s="391"/>
      <c r="E413" s="392"/>
      <c r="F413" s="393"/>
      <c r="G413" s="395"/>
      <c r="H413" s="396"/>
      <c r="I413" s="399"/>
      <c r="J413" s="400"/>
      <c r="K413" s="401"/>
      <c r="L413" s="399"/>
      <c r="M413" s="402"/>
      <c r="N413" s="402"/>
    </row>
    <row r="414">
      <c r="A414" s="382"/>
      <c r="B414" s="387"/>
      <c r="C414" s="389"/>
      <c r="D414" s="391"/>
      <c r="E414" s="392"/>
      <c r="F414" s="393"/>
      <c r="G414" s="395"/>
      <c r="H414" s="396"/>
      <c r="I414" s="399"/>
      <c r="J414" s="400"/>
      <c r="K414" s="401"/>
      <c r="L414" s="399"/>
      <c r="M414" s="402"/>
      <c r="N414" s="402"/>
    </row>
    <row r="415">
      <c r="A415" s="382"/>
      <c r="B415" s="387"/>
      <c r="C415" s="389"/>
      <c r="D415" s="391"/>
      <c r="E415" s="392"/>
      <c r="F415" s="393"/>
      <c r="G415" s="395"/>
      <c r="H415" s="396"/>
      <c r="I415" s="399"/>
      <c r="J415" s="400"/>
      <c r="K415" s="401"/>
      <c r="L415" s="399"/>
      <c r="M415" s="402"/>
      <c r="N415" s="402"/>
    </row>
    <row r="416">
      <c r="A416" s="382"/>
      <c r="B416" s="387"/>
      <c r="C416" s="389"/>
      <c r="D416" s="391"/>
      <c r="E416" s="392"/>
      <c r="F416" s="393"/>
      <c r="G416" s="395"/>
      <c r="H416" s="396"/>
      <c r="I416" s="399"/>
      <c r="J416" s="400"/>
      <c r="K416" s="401"/>
      <c r="L416" s="399"/>
      <c r="M416" s="402"/>
      <c r="N416" s="402"/>
    </row>
    <row r="417">
      <c r="A417" s="382"/>
      <c r="B417" s="387"/>
      <c r="C417" s="389"/>
      <c r="D417" s="391"/>
      <c r="E417" s="392"/>
      <c r="F417" s="393"/>
      <c r="G417" s="395"/>
      <c r="H417" s="396"/>
      <c r="I417" s="399"/>
      <c r="J417" s="400"/>
      <c r="K417" s="401"/>
      <c r="L417" s="399"/>
      <c r="M417" s="402"/>
      <c r="N417" s="402"/>
    </row>
    <row r="418">
      <c r="A418" s="382"/>
      <c r="B418" s="387"/>
      <c r="C418" s="389"/>
      <c r="D418" s="391"/>
      <c r="E418" s="392"/>
      <c r="F418" s="393"/>
      <c r="G418" s="395"/>
      <c r="H418" s="396"/>
      <c r="I418" s="399"/>
      <c r="J418" s="400"/>
      <c r="K418" s="401"/>
      <c r="L418" s="399"/>
      <c r="M418" s="402"/>
      <c r="N418" s="402"/>
    </row>
    <row r="419">
      <c r="A419" s="382"/>
      <c r="B419" s="387"/>
      <c r="C419" s="389"/>
      <c r="D419" s="391"/>
      <c r="E419" s="392"/>
      <c r="F419" s="393"/>
      <c r="G419" s="395"/>
      <c r="H419" s="396"/>
      <c r="I419" s="399"/>
      <c r="J419" s="400"/>
      <c r="K419" s="401"/>
      <c r="L419" s="399"/>
      <c r="M419" s="402"/>
      <c r="N419" s="402"/>
    </row>
    <row r="420">
      <c r="A420" s="382"/>
      <c r="B420" s="387"/>
      <c r="C420" s="389"/>
      <c r="D420" s="391"/>
      <c r="E420" s="392"/>
      <c r="F420" s="393"/>
      <c r="G420" s="395"/>
      <c r="H420" s="396"/>
      <c r="I420" s="399"/>
      <c r="J420" s="400"/>
      <c r="K420" s="401"/>
      <c r="L420" s="399"/>
      <c r="M420" s="402"/>
      <c r="N420" s="402"/>
    </row>
    <row r="421">
      <c r="A421" s="382"/>
      <c r="B421" s="387"/>
      <c r="C421" s="389"/>
      <c r="D421" s="391"/>
      <c r="E421" s="392"/>
      <c r="F421" s="393"/>
      <c r="G421" s="395"/>
      <c r="H421" s="396"/>
      <c r="I421" s="399"/>
      <c r="J421" s="400"/>
      <c r="K421" s="401"/>
      <c r="L421" s="399"/>
      <c r="M421" s="402"/>
      <c r="N421" s="402"/>
    </row>
    <row r="422">
      <c r="A422" s="382"/>
      <c r="B422" s="387"/>
      <c r="C422" s="389"/>
      <c r="D422" s="391"/>
      <c r="E422" s="392"/>
      <c r="F422" s="393"/>
      <c r="G422" s="395"/>
      <c r="H422" s="396"/>
      <c r="I422" s="399"/>
      <c r="J422" s="400"/>
      <c r="K422" s="401"/>
      <c r="L422" s="399"/>
      <c r="M422" s="402"/>
      <c r="N422" s="402"/>
    </row>
    <row r="423">
      <c r="A423" s="382"/>
      <c r="B423" s="387"/>
      <c r="C423" s="389"/>
      <c r="D423" s="391"/>
      <c r="E423" s="392"/>
      <c r="F423" s="393"/>
      <c r="G423" s="395"/>
      <c r="H423" s="396"/>
      <c r="I423" s="399"/>
      <c r="J423" s="400"/>
      <c r="K423" s="401"/>
      <c r="L423" s="399"/>
      <c r="M423" s="402"/>
      <c r="N423" s="402"/>
    </row>
    <row r="424">
      <c r="A424" s="382"/>
      <c r="B424" s="387"/>
      <c r="C424" s="389"/>
      <c r="D424" s="391"/>
      <c r="E424" s="392"/>
      <c r="F424" s="393"/>
      <c r="G424" s="395"/>
      <c r="H424" s="396"/>
      <c r="I424" s="399"/>
      <c r="J424" s="400"/>
      <c r="K424" s="401"/>
      <c r="L424" s="399"/>
      <c r="M424" s="402"/>
      <c r="N424" s="402"/>
    </row>
    <row r="425">
      <c r="A425" s="382"/>
      <c r="B425" s="387"/>
      <c r="C425" s="389"/>
      <c r="D425" s="391"/>
      <c r="E425" s="392"/>
      <c r="F425" s="393"/>
      <c r="G425" s="395"/>
      <c r="H425" s="396"/>
      <c r="I425" s="399"/>
      <c r="J425" s="400"/>
      <c r="K425" s="401"/>
      <c r="L425" s="399"/>
      <c r="M425" s="402"/>
      <c r="N425" s="402"/>
    </row>
    <row r="426">
      <c r="A426" s="382"/>
      <c r="B426" s="387"/>
      <c r="C426" s="389"/>
      <c r="D426" s="391"/>
      <c r="E426" s="392"/>
      <c r="F426" s="393"/>
      <c r="G426" s="395"/>
      <c r="H426" s="396"/>
      <c r="I426" s="399"/>
      <c r="J426" s="400"/>
      <c r="K426" s="401"/>
      <c r="L426" s="399"/>
      <c r="M426" s="402"/>
      <c r="N426" s="402"/>
    </row>
    <row r="427">
      <c r="A427" s="382"/>
      <c r="B427" s="387"/>
      <c r="C427" s="389"/>
      <c r="D427" s="391"/>
      <c r="E427" s="392"/>
      <c r="F427" s="393"/>
      <c r="G427" s="395"/>
      <c r="H427" s="396"/>
      <c r="I427" s="399"/>
      <c r="J427" s="400"/>
      <c r="K427" s="401"/>
      <c r="L427" s="399"/>
      <c r="M427" s="402"/>
      <c r="N427" s="402"/>
    </row>
    <row r="428">
      <c r="A428" s="382"/>
      <c r="B428" s="387"/>
      <c r="C428" s="389"/>
      <c r="D428" s="391"/>
      <c r="E428" s="392"/>
      <c r="F428" s="393"/>
      <c r="G428" s="395"/>
      <c r="H428" s="396"/>
      <c r="I428" s="399"/>
      <c r="J428" s="400"/>
      <c r="K428" s="401"/>
      <c r="L428" s="399"/>
      <c r="M428" s="402"/>
      <c r="N428" s="402"/>
    </row>
    <row r="429">
      <c r="A429" s="382"/>
      <c r="B429" s="387"/>
      <c r="C429" s="389"/>
      <c r="D429" s="391"/>
      <c r="E429" s="392"/>
      <c r="F429" s="393"/>
      <c r="G429" s="395"/>
      <c r="H429" s="396"/>
      <c r="I429" s="399"/>
      <c r="J429" s="400"/>
      <c r="K429" s="401"/>
      <c r="L429" s="399"/>
      <c r="M429" s="402"/>
      <c r="N429" s="402"/>
    </row>
    <row r="430">
      <c r="A430" s="382"/>
      <c r="B430" s="387"/>
      <c r="C430" s="389"/>
      <c r="D430" s="391"/>
      <c r="E430" s="392"/>
      <c r="F430" s="393"/>
      <c r="G430" s="395"/>
      <c r="H430" s="396"/>
      <c r="I430" s="399"/>
      <c r="J430" s="400"/>
      <c r="K430" s="401"/>
      <c r="L430" s="399"/>
      <c r="M430" s="402"/>
      <c r="N430" s="402"/>
    </row>
    <row r="431">
      <c r="A431" s="382"/>
      <c r="B431" s="387"/>
      <c r="C431" s="389"/>
      <c r="D431" s="391"/>
      <c r="E431" s="392"/>
      <c r="F431" s="393"/>
      <c r="G431" s="395"/>
      <c r="H431" s="396"/>
      <c r="I431" s="399"/>
      <c r="J431" s="400"/>
      <c r="K431" s="401"/>
      <c r="L431" s="399"/>
      <c r="M431" s="402"/>
      <c r="N431" s="402"/>
    </row>
    <row r="432">
      <c r="A432" s="382"/>
      <c r="B432" s="387"/>
      <c r="C432" s="389"/>
      <c r="D432" s="391"/>
      <c r="E432" s="392"/>
      <c r="F432" s="393"/>
      <c r="G432" s="395"/>
      <c r="H432" s="396"/>
      <c r="I432" s="399"/>
      <c r="J432" s="400"/>
      <c r="K432" s="401"/>
      <c r="L432" s="399"/>
      <c r="M432" s="402"/>
      <c r="N432" s="402"/>
    </row>
    <row r="433">
      <c r="A433" s="382"/>
      <c r="B433" s="387"/>
      <c r="C433" s="389"/>
      <c r="D433" s="391"/>
      <c r="E433" s="392"/>
      <c r="F433" s="393"/>
      <c r="G433" s="395"/>
      <c r="H433" s="396"/>
      <c r="I433" s="399"/>
      <c r="J433" s="400"/>
      <c r="K433" s="401"/>
      <c r="L433" s="399"/>
      <c r="M433" s="402"/>
      <c r="N433" s="402"/>
    </row>
    <row r="434">
      <c r="A434" s="382"/>
      <c r="B434" s="387"/>
      <c r="C434" s="389"/>
      <c r="D434" s="391"/>
      <c r="E434" s="392"/>
      <c r="F434" s="393"/>
      <c r="G434" s="395"/>
      <c r="H434" s="396"/>
      <c r="I434" s="399"/>
      <c r="J434" s="400"/>
      <c r="K434" s="401"/>
      <c r="L434" s="399"/>
      <c r="M434" s="402"/>
      <c r="N434" s="402"/>
    </row>
    <row r="435">
      <c r="A435" s="382"/>
      <c r="B435" s="387"/>
      <c r="C435" s="389"/>
      <c r="D435" s="391"/>
      <c r="E435" s="392"/>
      <c r="F435" s="393"/>
      <c r="G435" s="395"/>
      <c r="H435" s="396"/>
      <c r="I435" s="399"/>
      <c r="J435" s="400"/>
      <c r="K435" s="401"/>
      <c r="L435" s="399"/>
      <c r="M435" s="402"/>
      <c r="N435" s="402"/>
    </row>
    <row r="436">
      <c r="A436" s="382"/>
      <c r="B436" s="387"/>
      <c r="C436" s="389"/>
      <c r="D436" s="391"/>
      <c r="E436" s="392"/>
      <c r="F436" s="393"/>
      <c r="G436" s="395"/>
      <c r="H436" s="396"/>
      <c r="I436" s="399"/>
      <c r="J436" s="400"/>
      <c r="K436" s="401"/>
      <c r="L436" s="399"/>
      <c r="M436" s="402"/>
      <c r="N436" s="402"/>
    </row>
    <row r="437">
      <c r="A437" s="382"/>
      <c r="B437" s="387"/>
      <c r="C437" s="389"/>
      <c r="D437" s="391"/>
      <c r="E437" s="392"/>
      <c r="F437" s="393"/>
      <c r="G437" s="395"/>
      <c r="H437" s="396"/>
      <c r="I437" s="399"/>
      <c r="J437" s="400"/>
      <c r="K437" s="401"/>
      <c r="L437" s="399"/>
      <c r="M437" s="402"/>
      <c r="N437" s="402"/>
    </row>
    <row r="438">
      <c r="A438" s="382"/>
      <c r="B438" s="387"/>
      <c r="C438" s="389"/>
      <c r="D438" s="391"/>
      <c r="E438" s="392"/>
      <c r="F438" s="393"/>
      <c r="G438" s="395"/>
      <c r="H438" s="396"/>
      <c r="I438" s="399"/>
      <c r="J438" s="400"/>
      <c r="K438" s="401"/>
      <c r="L438" s="399"/>
      <c r="M438" s="402"/>
      <c r="N438" s="402"/>
    </row>
    <row r="439">
      <c r="A439" s="382"/>
      <c r="B439" s="387"/>
      <c r="C439" s="389"/>
      <c r="D439" s="391"/>
      <c r="E439" s="392"/>
      <c r="F439" s="393"/>
      <c r="G439" s="395"/>
      <c r="H439" s="396"/>
      <c r="I439" s="399"/>
      <c r="J439" s="400"/>
      <c r="K439" s="401"/>
      <c r="L439" s="399"/>
      <c r="M439" s="402"/>
      <c r="N439" s="402"/>
    </row>
    <row r="440">
      <c r="A440" s="382"/>
      <c r="B440" s="387"/>
      <c r="C440" s="389"/>
      <c r="D440" s="391"/>
      <c r="E440" s="392"/>
      <c r="F440" s="393"/>
      <c r="G440" s="395"/>
      <c r="H440" s="396"/>
      <c r="I440" s="399"/>
      <c r="J440" s="400"/>
      <c r="K440" s="401"/>
      <c r="L440" s="399"/>
      <c r="M440" s="402"/>
      <c r="N440" s="402"/>
    </row>
    <row r="441">
      <c r="A441" s="382"/>
      <c r="B441" s="387"/>
      <c r="C441" s="389"/>
      <c r="D441" s="391"/>
      <c r="E441" s="392"/>
      <c r="F441" s="393"/>
      <c r="G441" s="395"/>
      <c r="H441" s="396"/>
      <c r="I441" s="399"/>
      <c r="J441" s="400"/>
      <c r="K441" s="401"/>
      <c r="L441" s="399"/>
      <c r="M441" s="402"/>
      <c r="N441" s="402"/>
    </row>
    <row r="442">
      <c r="A442" s="382"/>
      <c r="B442" s="387"/>
      <c r="C442" s="389"/>
      <c r="D442" s="391"/>
      <c r="E442" s="392"/>
      <c r="F442" s="393"/>
      <c r="G442" s="395"/>
      <c r="H442" s="396"/>
      <c r="I442" s="399"/>
      <c r="J442" s="400"/>
      <c r="K442" s="401"/>
      <c r="L442" s="399"/>
      <c r="M442" s="402"/>
      <c r="N442" s="402"/>
    </row>
    <row r="443">
      <c r="A443" s="382"/>
      <c r="B443" s="387"/>
      <c r="C443" s="389"/>
      <c r="D443" s="391"/>
      <c r="E443" s="392"/>
      <c r="F443" s="393"/>
      <c r="G443" s="395"/>
      <c r="H443" s="396"/>
      <c r="I443" s="399"/>
      <c r="J443" s="400"/>
      <c r="K443" s="401"/>
      <c r="L443" s="399"/>
      <c r="M443" s="402"/>
      <c r="N443" s="402"/>
    </row>
    <row r="444">
      <c r="A444" s="382"/>
      <c r="B444" s="387"/>
      <c r="C444" s="389"/>
      <c r="D444" s="391"/>
      <c r="E444" s="392"/>
      <c r="F444" s="393"/>
      <c r="G444" s="395"/>
      <c r="H444" s="396"/>
      <c r="I444" s="399"/>
      <c r="J444" s="400"/>
      <c r="K444" s="401"/>
      <c r="L444" s="399"/>
      <c r="M444" s="402"/>
      <c r="N444" s="402"/>
    </row>
    <row r="445">
      <c r="A445" s="382"/>
      <c r="B445" s="387"/>
      <c r="C445" s="389"/>
      <c r="D445" s="391"/>
      <c r="E445" s="392"/>
      <c r="F445" s="393"/>
      <c r="G445" s="395"/>
      <c r="H445" s="396"/>
      <c r="I445" s="399"/>
      <c r="J445" s="400"/>
      <c r="K445" s="401"/>
      <c r="L445" s="399"/>
      <c r="M445" s="402"/>
      <c r="N445" s="402"/>
    </row>
    <row r="446">
      <c r="A446" s="382"/>
      <c r="B446" s="387"/>
      <c r="C446" s="389"/>
      <c r="D446" s="391"/>
      <c r="E446" s="392"/>
      <c r="F446" s="393"/>
      <c r="G446" s="395"/>
      <c r="H446" s="396"/>
      <c r="I446" s="399"/>
      <c r="J446" s="400"/>
      <c r="K446" s="401"/>
      <c r="L446" s="399"/>
      <c r="M446" s="402"/>
      <c r="N446" s="402"/>
    </row>
    <row r="447">
      <c r="A447" s="382"/>
      <c r="B447" s="387"/>
      <c r="C447" s="389"/>
      <c r="D447" s="391"/>
      <c r="E447" s="392"/>
      <c r="F447" s="393"/>
      <c r="G447" s="395"/>
      <c r="H447" s="396"/>
      <c r="I447" s="399"/>
      <c r="J447" s="400"/>
      <c r="K447" s="401"/>
      <c r="L447" s="399"/>
      <c r="M447" s="402"/>
      <c r="N447" s="402"/>
    </row>
    <row r="448">
      <c r="A448" s="382"/>
      <c r="B448" s="387"/>
      <c r="C448" s="389"/>
      <c r="D448" s="391"/>
      <c r="E448" s="392"/>
      <c r="F448" s="393"/>
      <c r="G448" s="395"/>
      <c r="H448" s="396"/>
      <c r="I448" s="399"/>
      <c r="J448" s="400"/>
      <c r="K448" s="401"/>
      <c r="L448" s="399"/>
      <c r="M448" s="402"/>
      <c r="N448" s="402"/>
    </row>
    <row r="449">
      <c r="A449" s="382"/>
      <c r="B449" s="387"/>
      <c r="C449" s="389"/>
      <c r="D449" s="391"/>
      <c r="E449" s="392"/>
      <c r="F449" s="393"/>
      <c r="G449" s="395"/>
      <c r="H449" s="396"/>
      <c r="I449" s="399"/>
      <c r="J449" s="400"/>
      <c r="K449" s="401"/>
      <c r="L449" s="399"/>
      <c r="M449" s="402"/>
      <c r="N449" s="402"/>
    </row>
    <row r="450">
      <c r="A450" s="382"/>
      <c r="B450" s="387"/>
      <c r="C450" s="389"/>
      <c r="D450" s="391"/>
      <c r="E450" s="392"/>
      <c r="F450" s="393"/>
      <c r="G450" s="395"/>
      <c r="H450" s="396"/>
      <c r="I450" s="399"/>
      <c r="J450" s="400"/>
      <c r="K450" s="401"/>
      <c r="L450" s="399"/>
      <c r="M450" s="402"/>
      <c r="N450" s="402"/>
    </row>
    <row r="451">
      <c r="A451" s="382"/>
      <c r="B451" s="387"/>
      <c r="C451" s="389"/>
      <c r="D451" s="391"/>
      <c r="E451" s="392"/>
      <c r="F451" s="393"/>
      <c r="G451" s="395"/>
      <c r="H451" s="396"/>
      <c r="I451" s="399"/>
      <c r="J451" s="400"/>
      <c r="K451" s="401"/>
      <c r="L451" s="399"/>
      <c r="M451" s="402"/>
      <c r="N451" s="402"/>
    </row>
    <row r="452">
      <c r="A452" s="382"/>
      <c r="B452" s="387"/>
      <c r="C452" s="389"/>
      <c r="D452" s="391"/>
      <c r="E452" s="392"/>
      <c r="F452" s="393"/>
      <c r="G452" s="395"/>
      <c r="H452" s="396"/>
      <c r="I452" s="399"/>
      <c r="J452" s="400"/>
      <c r="K452" s="401"/>
      <c r="L452" s="399"/>
      <c r="M452" s="402"/>
      <c r="N452" s="402"/>
    </row>
    <row r="453">
      <c r="A453" s="382"/>
      <c r="B453" s="387"/>
      <c r="C453" s="389"/>
      <c r="D453" s="391"/>
      <c r="E453" s="392"/>
      <c r="F453" s="393"/>
      <c r="G453" s="395"/>
      <c r="H453" s="396"/>
      <c r="I453" s="399"/>
      <c r="J453" s="400"/>
      <c r="K453" s="401"/>
      <c r="L453" s="399"/>
      <c r="M453" s="402"/>
      <c r="N453" s="402"/>
    </row>
    <row r="454">
      <c r="A454" s="382"/>
      <c r="B454" s="387"/>
      <c r="C454" s="389"/>
      <c r="D454" s="391"/>
      <c r="E454" s="392"/>
      <c r="F454" s="393"/>
      <c r="G454" s="395"/>
      <c r="H454" s="396"/>
      <c r="I454" s="399"/>
      <c r="J454" s="400"/>
      <c r="K454" s="401"/>
      <c r="L454" s="399"/>
      <c r="M454" s="402"/>
      <c r="N454" s="402"/>
    </row>
    <row r="455">
      <c r="A455" s="382"/>
      <c r="B455" s="387"/>
      <c r="C455" s="389"/>
      <c r="D455" s="391"/>
      <c r="E455" s="392"/>
      <c r="F455" s="393"/>
      <c r="G455" s="395"/>
      <c r="H455" s="396"/>
      <c r="I455" s="399"/>
      <c r="J455" s="400"/>
      <c r="K455" s="401"/>
      <c r="L455" s="399"/>
      <c r="M455" s="402"/>
      <c r="N455" s="402"/>
    </row>
    <row r="456">
      <c r="A456" s="382"/>
      <c r="B456" s="387"/>
      <c r="C456" s="389"/>
      <c r="D456" s="391"/>
      <c r="E456" s="392"/>
      <c r="F456" s="393"/>
      <c r="G456" s="395"/>
      <c r="H456" s="396"/>
      <c r="I456" s="399"/>
      <c r="J456" s="400"/>
      <c r="K456" s="401"/>
      <c r="L456" s="399"/>
      <c r="M456" s="402"/>
      <c r="N456" s="402"/>
    </row>
    <row r="457">
      <c r="A457" s="382"/>
      <c r="B457" s="387"/>
      <c r="C457" s="389"/>
      <c r="D457" s="391"/>
      <c r="E457" s="392"/>
      <c r="F457" s="393"/>
      <c r="G457" s="395"/>
      <c r="H457" s="396"/>
      <c r="I457" s="399"/>
      <c r="J457" s="400"/>
      <c r="K457" s="401"/>
      <c r="L457" s="399"/>
      <c r="M457" s="402"/>
      <c r="N457" s="402"/>
    </row>
    <row r="458">
      <c r="A458" s="382"/>
      <c r="B458" s="387"/>
      <c r="C458" s="389"/>
      <c r="D458" s="391"/>
      <c r="E458" s="392"/>
      <c r="F458" s="393"/>
      <c r="G458" s="395"/>
      <c r="H458" s="396"/>
      <c r="I458" s="399"/>
      <c r="J458" s="400"/>
      <c r="K458" s="401"/>
      <c r="L458" s="399"/>
      <c r="M458" s="402"/>
      <c r="N458" s="402"/>
    </row>
    <row r="459">
      <c r="A459" s="382"/>
      <c r="B459" s="387"/>
      <c r="C459" s="389"/>
      <c r="D459" s="391"/>
      <c r="E459" s="392"/>
      <c r="F459" s="393"/>
      <c r="G459" s="395"/>
      <c r="H459" s="396"/>
      <c r="I459" s="399"/>
      <c r="J459" s="400"/>
      <c r="K459" s="401"/>
      <c r="L459" s="399"/>
      <c r="M459" s="402"/>
      <c r="N459" s="402"/>
    </row>
    <row r="460">
      <c r="A460" s="382"/>
      <c r="B460" s="387"/>
      <c r="C460" s="389"/>
      <c r="D460" s="391"/>
      <c r="E460" s="392"/>
      <c r="F460" s="393"/>
      <c r="G460" s="395"/>
      <c r="H460" s="396"/>
      <c r="I460" s="399"/>
      <c r="J460" s="400"/>
      <c r="K460" s="401"/>
      <c r="L460" s="399"/>
      <c r="M460" s="402"/>
      <c r="N460" s="402"/>
    </row>
    <row r="461">
      <c r="A461" s="382"/>
      <c r="B461" s="387"/>
      <c r="C461" s="389"/>
      <c r="D461" s="391"/>
      <c r="E461" s="392"/>
      <c r="F461" s="393"/>
      <c r="G461" s="395"/>
      <c r="H461" s="396"/>
      <c r="I461" s="399"/>
      <c r="J461" s="400"/>
      <c r="K461" s="401"/>
      <c r="L461" s="399"/>
      <c r="M461" s="402"/>
      <c r="N461" s="402"/>
    </row>
    <row r="462">
      <c r="A462" s="382"/>
      <c r="B462" s="387"/>
      <c r="C462" s="389"/>
      <c r="D462" s="391"/>
      <c r="E462" s="392"/>
      <c r="F462" s="393"/>
      <c r="G462" s="395"/>
      <c r="H462" s="396"/>
      <c r="I462" s="399"/>
      <c r="J462" s="400"/>
      <c r="K462" s="401"/>
      <c r="L462" s="399"/>
      <c r="M462" s="402"/>
      <c r="N462" s="402"/>
    </row>
    <row r="463">
      <c r="A463" s="382"/>
      <c r="B463" s="387"/>
      <c r="C463" s="389"/>
      <c r="D463" s="391"/>
      <c r="E463" s="392"/>
      <c r="F463" s="393"/>
      <c r="G463" s="395"/>
      <c r="H463" s="396"/>
      <c r="I463" s="399"/>
      <c r="J463" s="400"/>
      <c r="K463" s="401"/>
      <c r="L463" s="399"/>
      <c r="M463" s="402"/>
      <c r="N463" s="402"/>
    </row>
    <row r="464">
      <c r="A464" s="382"/>
      <c r="B464" s="387"/>
      <c r="C464" s="389"/>
      <c r="D464" s="391"/>
      <c r="E464" s="392"/>
      <c r="F464" s="393"/>
      <c r="G464" s="395"/>
      <c r="H464" s="396"/>
      <c r="I464" s="399"/>
      <c r="J464" s="400"/>
      <c r="K464" s="401"/>
      <c r="L464" s="399"/>
      <c r="M464" s="402"/>
      <c r="N464" s="402"/>
    </row>
    <row r="465">
      <c r="A465" s="382"/>
      <c r="B465" s="387"/>
      <c r="C465" s="389"/>
      <c r="D465" s="391"/>
      <c r="E465" s="392"/>
      <c r="F465" s="393"/>
      <c r="G465" s="395"/>
      <c r="H465" s="396"/>
      <c r="I465" s="399"/>
      <c r="J465" s="400"/>
      <c r="K465" s="401"/>
      <c r="L465" s="399"/>
      <c r="M465" s="402"/>
      <c r="N465" s="402"/>
    </row>
    <row r="466">
      <c r="A466" s="382"/>
      <c r="B466" s="387"/>
      <c r="C466" s="389"/>
      <c r="D466" s="391"/>
      <c r="E466" s="392"/>
      <c r="F466" s="393"/>
      <c r="G466" s="395"/>
      <c r="H466" s="396"/>
      <c r="I466" s="399"/>
      <c r="J466" s="400"/>
      <c r="K466" s="401"/>
      <c r="L466" s="399"/>
      <c r="M466" s="402"/>
      <c r="N466" s="402"/>
    </row>
    <row r="467">
      <c r="A467" s="382"/>
      <c r="B467" s="387"/>
      <c r="C467" s="389"/>
      <c r="D467" s="391"/>
      <c r="E467" s="392"/>
      <c r="F467" s="393"/>
      <c r="G467" s="395"/>
      <c r="H467" s="396"/>
      <c r="I467" s="399"/>
      <c r="J467" s="400"/>
      <c r="K467" s="401"/>
      <c r="L467" s="399"/>
      <c r="M467" s="402"/>
      <c r="N467" s="402"/>
    </row>
    <row r="468">
      <c r="A468" s="382"/>
      <c r="B468" s="387"/>
      <c r="C468" s="389"/>
      <c r="D468" s="391"/>
      <c r="E468" s="392"/>
      <c r="F468" s="393"/>
      <c r="G468" s="395"/>
      <c r="H468" s="396"/>
      <c r="I468" s="399"/>
      <c r="J468" s="400"/>
      <c r="K468" s="401"/>
      <c r="L468" s="399"/>
      <c r="M468" s="402"/>
      <c r="N468" s="402"/>
    </row>
    <row r="469">
      <c r="A469" s="382"/>
      <c r="B469" s="387"/>
      <c r="C469" s="389"/>
      <c r="D469" s="391"/>
      <c r="E469" s="392"/>
      <c r="F469" s="393"/>
      <c r="G469" s="395"/>
      <c r="H469" s="396"/>
      <c r="I469" s="399"/>
      <c r="J469" s="400"/>
      <c r="K469" s="401"/>
      <c r="L469" s="399"/>
      <c r="M469" s="402"/>
      <c r="N469" s="402"/>
    </row>
    <row r="470">
      <c r="A470" s="382"/>
      <c r="B470" s="387"/>
      <c r="C470" s="389"/>
      <c r="D470" s="391"/>
      <c r="E470" s="392"/>
      <c r="F470" s="393"/>
      <c r="G470" s="395"/>
      <c r="H470" s="396"/>
      <c r="I470" s="399"/>
      <c r="J470" s="400"/>
      <c r="K470" s="401"/>
      <c r="L470" s="399"/>
      <c r="M470" s="402"/>
      <c r="N470" s="402"/>
    </row>
    <row r="471">
      <c r="A471" s="382"/>
      <c r="B471" s="387"/>
      <c r="C471" s="389"/>
      <c r="D471" s="391"/>
      <c r="E471" s="392"/>
      <c r="F471" s="393"/>
      <c r="G471" s="395"/>
      <c r="H471" s="396"/>
      <c r="I471" s="399"/>
      <c r="J471" s="400"/>
      <c r="K471" s="401"/>
      <c r="L471" s="399"/>
      <c r="M471" s="402"/>
      <c r="N471" s="402"/>
    </row>
    <row r="472">
      <c r="A472" s="382"/>
      <c r="B472" s="387"/>
      <c r="C472" s="389"/>
      <c r="D472" s="391"/>
      <c r="E472" s="392"/>
      <c r="F472" s="393"/>
      <c r="G472" s="395"/>
      <c r="H472" s="396"/>
      <c r="I472" s="399"/>
      <c r="J472" s="400"/>
      <c r="K472" s="401"/>
      <c r="L472" s="399"/>
      <c r="M472" s="402"/>
      <c r="N472" s="402"/>
    </row>
    <row r="473">
      <c r="A473" s="382"/>
      <c r="B473" s="387"/>
      <c r="C473" s="389"/>
      <c r="D473" s="391"/>
      <c r="E473" s="392"/>
      <c r="F473" s="393"/>
      <c r="G473" s="395"/>
      <c r="H473" s="396"/>
      <c r="I473" s="399"/>
      <c r="J473" s="400"/>
      <c r="K473" s="401"/>
      <c r="L473" s="399"/>
      <c r="M473" s="402"/>
      <c r="N473" s="402"/>
    </row>
    <row r="474">
      <c r="A474" s="382"/>
      <c r="B474" s="387"/>
      <c r="C474" s="389"/>
      <c r="D474" s="391"/>
      <c r="E474" s="392"/>
      <c r="F474" s="393"/>
      <c r="G474" s="395"/>
      <c r="H474" s="396"/>
      <c r="I474" s="399"/>
      <c r="J474" s="400"/>
      <c r="K474" s="401"/>
      <c r="L474" s="399"/>
      <c r="M474" s="402"/>
      <c r="N474" s="402"/>
    </row>
    <row r="475">
      <c r="A475" s="382"/>
      <c r="B475" s="387"/>
      <c r="C475" s="389"/>
      <c r="D475" s="391"/>
      <c r="E475" s="392"/>
      <c r="F475" s="393"/>
      <c r="G475" s="395"/>
      <c r="H475" s="396"/>
      <c r="I475" s="399"/>
      <c r="J475" s="400"/>
      <c r="K475" s="401"/>
      <c r="L475" s="399"/>
      <c r="M475" s="402"/>
      <c r="N475" s="402"/>
    </row>
    <row r="476">
      <c r="A476" s="382"/>
      <c r="B476" s="387"/>
      <c r="C476" s="389"/>
      <c r="D476" s="391"/>
      <c r="E476" s="392"/>
      <c r="F476" s="393"/>
      <c r="G476" s="395"/>
      <c r="H476" s="396"/>
      <c r="I476" s="399"/>
      <c r="J476" s="400"/>
      <c r="K476" s="401"/>
      <c r="L476" s="399"/>
      <c r="M476" s="402"/>
      <c r="N476" s="402"/>
    </row>
    <row r="477">
      <c r="A477" s="382"/>
      <c r="B477" s="387"/>
      <c r="C477" s="389"/>
      <c r="D477" s="391"/>
      <c r="E477" s="392"/>
      <c r="F477" s="393"/>
      <c r="G477" s="395"/>
      <c r="H477" s="396"/>
      <c r="I477" s="399"/>
      <c r="J477" s="400"/>
      <c r="K477" s="401"/>
      <c r="L477" s="399"/>
      <c r="M477" s="402"/>
      <c r="N477" s="402"/>
    </row>
    <row r="478">
      <c r="A478" s="382"/>
      <c r="B478" s="387"/>
      <c r="C478" s="389"/>
      <c r="D478" s="391"/>
      <c r="E478" s="392"/>
      <c r="F478" s="393"/>
      <c r="G478" s="395"/>
      <c r="H478" s="396"/>
      <c r="I478" s="399"/>
      <c r="J478" s="400"/>
      <c r="K478" s="401"/>
      <c r="L478" s="399"/>
      <c r="M478" s="402"/>
      <c r="N478" s="402"/>
    </row>
    <row r="479">
      <c r="A479" s="382"/>
      <c r="B479" s="387"/>
      <c r="C479" s="389"/>
      <c r="D479" s="391"/>
      <c r="E479" s="392"/>
      <c r="F479" s="393"/>
      <c r="G479" s="395"/>
      <c r="H479" s="396"/>
      <c r="I479" s="399"/>
      <c r="J479" s="400"/>
      <c r="K479" s="401"/>
      <c r="L479" s="399"/>
      <c r="M479" s="402"/>
      <c r="N479" s="402"/>
    </row>
    <row r="480">
      <c r="A480" s="382"/>
      <c r="B480" s="387"/>
      <c r="C480" s="389"/>
      <c r="D480" s="391"/>
      <c r="E480" s="392"/>
      <c r="F480" s="393"/>
      <c r="G480" s="395"/>
      <c r="H480" s="396"/>
      <c r="I480" s="399"/>
      <c r="J480" s="400"/>
      <c r="K480" s="401"/>
      <c r="L480" s="399"/>
      <c r="M480" s="402"/>
      <c r="N480" s="402"/>
    </row>
    <row r="481">
      <c r="A481" s="382"/>
      <c r="B481" s="387"/>
      <c r="C481" s="389"/>
      <c r="D481" s="391"/>
      <c r="E481" s="392"/>
      <c r="F481" s="393"/>
      <c r="G481" s="395"/>
      <c r="H481" s="396"/>
      <c r="I481" s="399"/>
      <c r="J481" s="400"/>
      <c r="K481" s="401"/>
      <c r="L481" s="399"/>
      <c r="M481" s="402"/>
      <c r="N481" s="402"/>
    </row>
    <row r="482">
      <c r="A482" s="382"/>
      <c r="B482" s="387"/>
      <c r="C482" s="389"/>
      <c r="D482" s="391"/>
      <c r="E482" s="392"/>
      <c r="F482" s="393"/>
      <c r="G482" s="395"/>
      <c r="H482" s="396"/>
      <c r="I482" s="399"/>
      <c r="J482" s="400"/>
      <c r="K482" s="401"/>
      <c r="L482" s="399"/>
      <c r="M482" s="402"/>
      <c r="N482" s="402"/>
    </row>
    <row r="483">
      <c r="A483" s="382"/>
      <c r="B483" s="387"/>
      <c r="C483" s="389"/>
      <c r="D483" s="391"/>
      <c r="E483" s="392"/>
      <c r="F483" s="393"/>
      <c r="G483" s="395"/>
      <c r="H483" s="396"/>
      <c r="I483" s="399"/>
      <c r="J483" s="400"/>
      <c r="K483" s="401"/>
      <c r="L483" s="399"/>
      <c r="M483" s="402"/>
      <c r="N483" s="402"/>
    </row>
    <row r="484">
      <c r="A484" s="382"/>
      <c r="B484" s="387"/>
      <c r="C484" s="389"/>
      <c r="D484" s="391"/>
      <c r="E484" s="392"/>
      <c r="F484" s="393"/>
      <c r="G484" s="395"/>
      <c r="H484" s="396"/>
      <c r="I484" s="399"/>
      <c r="J484" s="400"/>
      <c r="K484" s="401"/>
      <c r="L484" s="399"/>
      <c r="M484" s="402"/>
      <c r="N484" s="402"/>
    </row>
    <row r="485">
      <c r="A485" s="382"/>
      <c r="B485" s="387"/>
      <c r="C485" s="389"/>
      <c r="D485" s="391"/>
      <c r="E485" s="392"/>
      <c r="F485" s="393"/>
      <c r="G485" s="395"/>
      <c r="H485" s="396"/>
      <c r="I485" s="399"/>
      <c r="J485" s="400"/>
      <c r="K485" s="401"/>
      <c r="L485" s="399"/>
      <c r="M485" s="402"/>
      <c r="N485" s="402"/>
    </row>
    <row r="486">
      <c r="A486" s="382"/>
      <c r="B486" s="387"/>
      <c r="C486" s="389"/>
      <c r="D486" s="391"/>
      <c r="E486" s="392"/>
      <c r="F486" s="393"/>
      <c r="G486" s="395"/>
      <c r="H486" s="396"/>
      <c r="I486" s="399"/>
      <c r="J486" s="400"/>
      <c r="K486" s="401"/>
      <c r="L486" s="399"/>
      <c r="M486" s="402"/>
      <c r="N486" s="402"/>
    </row>
    <row r="487">
      <c r="A487" s="382"/>
      <c r="B487" s="387"/>
      <c r="C487" s="389"/>
      <c r="D487" s="391"/>
      <c r="E487" s="392"/>
      <c r="F487" s="393"/>
      <c r="G487" s="395"/>
      <c r="H487" s="396"/>
      <c r="I487" s="399"/>
      <c r="J487" s="400"/>
      <c r="K487" s="401"/>
      <c r="L487" s="399"/>
      <c r="M487" s="402"/>
      <c r="N487" s="402"/>
    </row>
    <row r="488">
      <c r="A488" s="382"/>
      <c r="B488" s="387"/>
      <c r="C488" s="389"/>
      <c r="D488" s="391"/>
      <c r="E488" s="392"/>
      <c r="F488" s="393"/>
      <c r="G488" s="395"/>
      <c r="H488" s="396"/>
      <c r="I488" s="399"/>
      <c r="J488" s="400"/>
      <c r="K488" s="401"/>
      <c r="L488" s="399"/>
      <c r="M488" s="402"/>
      <c r="N488" s="402"/>
    </row>
    <row r="489">
      <c r="A489" s="382"/>
      <c r="B489" s="387"/>
      <c r="C489" s="389"/>
      <c r="D489" s="391"/>
      <c r="E489" s="392"/>
      <c r="F489" s="393"/>
      <c r="G489" s="395"/>
      <c r="H489" s="396"/>
      <c r="I489" s="399"/>
      <c r="J489" s="400"/>
      <c r="K489" s="401"/>
      <c r="L489" s="399"/>
      <c r="M489" s="402"/>
      <c r="N489" s="402"/>
    </row>
    <row r="490">
      <c r="A490" s="382"/>
      <c r="B490" s="387"/>
      <c r="C490" s="389"/>
      <c r="D490" s="391"/>
      <c r="E490" s="392"/>
      <c r="F490" s="393"/>
      <c r="G490" s="395"/>
      <c r="H490" s="396"/>
      <c r="I490" s="399"/>
      <c r="J490" s="400"/>
      <c r="K490" s="401"/>
      <c r="L490" s="399"/>
      <c r="M490" s="402"/>
      <c r="N490" s="402"/>
    </row>
    <row r="491">
      <c r="A491" s="382"/>
      <c r="B491" s="387"/>
      <c r="C491" s="389"/>
      <c r="D491" s="391"/>
      <c r="E491" s="392"/>
      <c r="F491" s="393"/>
      <c r="G491" s="395"/>
      <c r="H491" s="396"/>
      <c r="I491" s="399"/>
      <c r="J491" s="400"/>
      <c r="K491" s="401"/>
      <c r="L491" s="399"/>
      <c r="M491" s="402"/>
      <c r="N491" s="402"/>
    </row>
    <row r="492">
      <c r="A492" s="382"/>
      <c r="B492" s="387"/>
      <c r="C492" s="389"/>
      <c r="D492" s="391"/>
      <c r="E492" s="392"/>
      <c r="F492" s="393"/>
      <c r="G492" s="395"/>
      <c r="H492" s="396"/>
      <c r="I492" s="399"/>
      <c r="J492" s="400"/>
      <c r="K492" s="401"/>
      <c r="L492" s="399"/>
      <c r="M492" s="402"/>
      <c r="N492" s="402"/>
    </row>
    <row r="493">
      <c r="A493" s="382"/>
      <c r="B493" s="387"/>
      <c r="C493" s="389"/>
      <c r="D493" s="391"/>
      <c r="E493" s="392"/>
      <c r="F493" s="393"/>
      <c r="G493" s="395"/>
      <c r="H493" s="396"/>
      <c r="I493" s="399"/>
      <c r="J493" s="400"/>
      <c r="K493" s="401"/>
      <c r="L493" s="399"/>
      <c r="M493" s="402"/>
      <c r="N493" s="402"/>
    </row>
    <row r="494">
      <c r="A494" s="382"/>
      <c r="B494" s="387"/>
      <c r="C494" s="389"/>
      <c r="D494" s="391"/>
      <c r="E494" s="392"/>
      <c r="F494" s="393"/>
      <c r="G494" s="395"/>
      <c r="H494" s="396"/>
      <c r="I494" s="399"/>
      <c r="J494" s="400"/>
      <c r="K494" s="401"/>
      <c r="L494" s="399"/>
      <c r="M494" s="402"/>
      <c r="N494" s="402"/>
    </row>
    <row r="495">
      <c r="A495" s="382"/>
      <c r="B495" s="387"/>
      <c r="C495" s="389"/>
      <c r="D495" s="391"/>
      <c r="E495" s="392"/>
      <c r="F495" s="393"/>
      <c r="G495" s="395"/>
      <c r="H495" s="396"/>
      <c r="I495" s="399"/>
      <c r="J495" s="400"/>
      <c r="K495" s="401"/>
      <c r="L495" s="399"/>
      <c r="M495" s="402"/>
      <c r="N495" s="402"/>
    </row>
    <row r="496">
      <c r="A496" s="382"/>
      <c r="B496" s="387"/>
      <c r="C496" s="389"/>
      <c r="D496" s="391"/>
      <c r="E496" s="392"/>
      <c r="F496" s="393"/>
      <c r="G496" s="395"/>
      <c r="H496" s="396"/>
      <c r="I496" s="399"/>
      <c r="J496" s="400"/>
      <c r="K496" s="401"/>
      <c r="L496" s="399"/>
      <c r="M496" s="402"/>
      <c r="N496" s="402"/>
    </row>
    <row r="497">
      <c r="A497" s="382"/>
      <c r="B497" s="387"/>
      <c r="C497" s="389"/>
      <c r="D497" s="391"/>
      <c r="E497" s="392"/>
      <c r="F497" s="393"/>
      <c r="G497" s="395"/>
      <c r="H497" s="396"/>
      <c r="I497" s="399"/>
      <c r="J497" s="400"/>
      <c r="K497" s="401"/>
      <c r="L497" s="399"/>
      <c r="M497" s="402"/>
      <c r="N497" s="402"/>
    </row>
    <row r="498">
      <c r="A498" s="382"/>
      <c r="B498" s="387"/>
      <c r="C498" s="389"/>
      <c r="D498" s="391"/>
      <c r="E498" s="392"/>
      <c r="F498" s="393"/>
      <c r="G498" s="395"/>
      <c r="H498" s="396"/>
      <c r="I498" s="399"/>
      <c r="J498" s="400"/>
      <c r="K498" s="401"/>
      <c r="L498" s="399"/>
      <c r="M498" s="402"/>
      <c r="N498" s="402"/>
    </row>
    <row r="499">
      <c r="A499" s="382"/>
      <c r="B499" s="387"/>
      <c r="C499" s="389"/>
      <c r="D499" s="391"/>
      <c r="E499" s="392"/>
      <c r="F499" s="393"/>
      <c r="G499" s="395"/>
      <c r="H499" s="396"/>
      <c r="I499" s="399"/>
      <c r="J499" s="400"/>
      <c r="K499" s="401"/>
      <c r="L499" s="399"/>
      <c r="M499" s="402"/>
      <c r="N499" s="402"/>
    </row>
    <row r="500">
      <c r="A500" s="382"/>
      <c r="B500" s="387"/>
      <c r="C500" s="389"/>
      <c r="D500" s="391"/>
      <c r="E500" s="392"/>
      <c r="F500" s="393"/>
      <c r="G500" s="395"/>
      <c r="H500" s="396"/>
      <c r="I500" s="399"/>
      <c r="J500" s="400"/>
      <c r="K500" s="401"/>
      <c r="L500" s="399"/>
      <c r="M500" s="402"/>
      <c r="N500" s="402"/>
    </row>
    <row r="501">
      <c r="A501" s="382"/>
      <c r="B501" s="387"/>
      <c r="C501" s="389"/>
      <c r="D501" s="391"/>
      <c r="E501" s="392"/>
      <c r="F501" s="393"/>
      <c r="G501" s="395"/>
      <c r="H501" s="396"/>
      <c r="I501" s="399"/>
      <c r="J501" s="400"/>
      <c r="K501" s="401"/>
      <c r="L501" s="399"/>
      <c r="M501" s="402"/>
      <c r="N501" s="402"/>
    </row>
    <row r="502">
      <c r="A502" s="382"/>
      <c r="B502" s="387"/>
      <c r="C502" s="389"/>
      <c r="D502" s="391"/>
      <c r="E502" s="392"/>
      <c r="F502" s="393"/>
      <c r="G502" s="395"/>
      <c r="H502" s="396"/>
      <c r="I502" s="399"/>
      <c r="J502" s="400"/>
      <c r="K502" s="401"/>
      <c r="L502" s="399"/>
      <c r="M502" s="402"/>
      <c r="N502" s="402"/>
    </row>
    <row r="503">
      <c r="A503" s="382"/>
      <c r="B503" s="387"/>
      <c r="C503" s="389"/>
      <c r="D503" s="391"/>
      <c r="E503" s="392"/>
      <c r="F503" s="393"/>
      <c r="G503" s="395"/>
      <c r="H503" s="396"/>
      <c r="I503" s="399"/>
      <c r="J503" s="400"/>
      <c r="K503" s="401"/>
      <c r="L503" s="399"/>
      <c r="M503" s="402"/>
      <c r="N503" s="402"/>
    </row>
    <row r="504">
      <c r="A504" s="382"/>
      <c r="B504" s="387"/>
      <c r="C504" s="389"/>
      <c r="D504" s="391"/>
      <c r="E504" s="392"/>
      <c r="F504" s="393"/>
      <c r="G504" s="395"/>
      <c r="H504" s="396"/>
      <c r="I504" s="399"/>
      <c r="J504" s="400"/>
      <c r="K504" s="401"/>
      <c r="L504" s="399"/>
      <c r="M504" s="402"/>
      <c r="N504" s="402"/>
    </row>
    <row r="505">
      <c r="A505" s="382"/>
      <c r="B505" s="387"/>
      <c r="C505" s="389"/>
      <c r="D505" s="391"/>
      <c r="E505" s="392"/>
      <c r="F505" s="393"/>
      <c r="G505" s="395"/>
      <c r="H505" s="396"/>
      <c r="I505" s="399"/>
      <c r="J505" s="400"/>
      <c r="K505" s="401"/>
      <c r="L505" s="399"/>
      <c r="M505" s="402"/>
      <c r="N505" s="402"/>
    </row>
    <row r="506">
      <c r="A506" s="382"/>
      <c r="B506" s="387"/>
      <c r="C506" s="389"/>
      <c r="D506" s="391"/>
      <c r="E506" s="392"/>
      <c r="F506" s="393"/>
      <c r="G506" s="395"/>
      <c r="H506" s="396"/>
      <c r="I506" s="399"/>
      <c r="J506" s="400"/>
      <c r="K506" s="401"/>
      <c r="L506" s="399"/>
      <c r="M506" s="402"/>
      <c r="N506" s="402"/>
    </row>
    <row r="507">
      <c r="A507" s="382"/>
      <c r="B507" s="387"/>
      <c r="C507" s="389"/>
      <c r="D507" s="391"/>
      <c r="E507" s="392"/>
      <c r="F507" s="393"/>
      <c r="G507" s="395"/>
      <c r="H507" s="396"/>
      <c r="I507" s="399"/>
      <c r="J507" s="400"/>
      <c r="K507" s="401"/>
      <c r="L507" s="399"/>
      <c r="M507" s="402"/>
      <c r="N507" s="402"/>
    </row>
    <row r="508">
      <c r="A508" s="382"/>
      <c r="B508" s="387"/>
      <c r="C508" s="389"/>
      <c r="D508" s="391"/>
      <c r="E508" s="392"/>
      <c r="F508" s="393"/>
      <c r="G508" s="395"/>
      <c r="H508" s="396"/>
      <c r="I508" s="399"/>
      <c r="J508" s="400"/>
      <c r="K508" s="401"/>
      <c r="L508" s="399"/>
      <c r="M508" s="402"/>
      <c r="N508" s="402"/>
    </row>
    <row r="509">
      <c r="A509" s="382"/>
      <c r="B509" s="387"/>
      <c r="C509" s="389"/>
      <c r="D509" s="391"/>
      <c r="E509" s="392"/>
      <c r="F509" s="393"/>
      <c r="G509" s="395"/>
      <c r="H509" s="396"/>
      <c r="I509" s="399"/>
      <c r="J509" s="400"/>
      <c r="K509" s="401"/>
      <c r="L509" s="399"/>
      <c r="M509" s="402"/>
      <c r="N509" s="402"/>
    </row>
    <row r="510">
      <c r="A510" s="382"/>
      <c r="B510" s="387"/>
      <c r="C510" s="389"/>
      <c r="D510" s="391"/>
      <c r="E510" s="392"/>
      <c r="F510" s="393"/>
      <c r="G510" s="395"/>
      <c r="H510" s="396"/>
      <c r="I510" s="399"/>
      <c r="J510" s="400"/>
      <c r="K510" s="401"/>
      <c r="L510" s="399"/>
      <c r="M510" s="402"/>
      <c r="N510" s="402"/>
    </row>
    <row r="511">
      <c r="A511" s="382"/>
      <c r="B511" s="387"/>
      <c r="C511" s="389"/>
      <c r="D511" s="391"/>
      <c r="E511" s="392"/>
      <c r="F511" s="393"/>
      <c r="G511" s="395"/>
      <c r="H511" s="396"/>
      <c r="I511" s="399"/>
      <c r="J511" s="400"/>
      <c r="K511" s="401"/>
      <c r="L511" s="399"/>
      <c r="M511" s="402"/>
      <c r="N511" s="402"/>
    </row>
    <row r="512">
      <c r="A512" s="382"/>
      <c r="B512" s="387"/>
      <c r="C512" s="389"/>
      <c r="D512" s="391"/>
      <c r="E512" s="392"/>
      <c r="F512" s="393"/>
      <c r="G512" s="395"/>
      <c r="H512" s="396"/>
      <c r="I512" s="399"/>
      <c r="J512" s="400"/>
      <c r="K512" s="401"/>
      <c r="L512" s="399"/>
      <c r="M512" s="402"/>
      <c r="N512" s="402"/>
    </row>
    <row r="513">
      <c r="A513" s="382"/>
      <c r="B513" s="387"/>
      <c r="C513" s="389"/>
      <c r="D513" s="391"/>
      <c r="E513" s="392"/>
      <c r="F513" s="393"/>
      <c r="G513" s="395"/>
      <c r="H513" s="396"/>
      <c r="I513" s="399"/>
      <c r="J513" s="400"/>
      <c r="K513" s="401"/>
      <c r="L513" s="399"/>
      <c r="M513" s="402"/>
      <c r="N513" s="402"/>
    </row>
    <row r="514">
      <c r="A514" s="382"/>
      <c r="B514" s="387"/>
      <c r="C514" s="389"/>
      <c r="D514" s="391"/>
      <c r="E514" s="392"/>
      <c r="F514" s="393"/>
      <c r="G514" s="395"/>
      <c r="H514" s="396"/>
      <c r="I514" s="399"/>
      <c r="J514" s="400"/>
      <c r="K514" s="401"/>
      <c r="L514" s="399"/>
      <c r="M514" s="402"/>
      <c r="N514" s="402"/>
    </row>
    <row r="515">
      <c r="A515" s="382"/>
      <c r="B515" s="387"/>
      <c r="C515" s="389"/>
      <c r="D515" s="391"/>
      <c r="E515" s="392"/>
      <c r="F515" s="393"/>
      <c r="G515" s="395"/>
      <c r="H515" s="396"/>
      <c r="I515" s="399"/>
      <c r="J515" s="400"/>
      <c r="K515" s="401"/>
      <c r="L515" s="399"/>
      <c r="M515" s="402"/>
      <c r="N515" s="402"/>
    </row>
    <row r="516">
      <c r="A516" s="382"/>
      <c r="B516" s="387"/>
      <c r="C516" s="389"/>
      <c r="D516" s="391"/>
      <c r="E516" s="392"/>
      <c r="F516" s="393"/>
      <c r="G516" s="395"/>
      <c r="H516" s="396"/>
      <c r="I516" s="399"/>
      <c r="J516" s="400"/>
      <c r="K516" s="401"/>
      <c r="L516" s="399"/>
      <c r="M516" s="402"/>
      <c r="N516" s="402"/>
    </row>
    <row r="517">
      <c r="A517" s="382"/>
      <c r="B517" s="387"/>
      <c r="C517" s="389"/>
      <c r="D517" s="391"/>
      <c r="E517" s="392"/>
      <c r="F517" s="393"/>
      <c r="G517" s="395"/>
      <c r="H517" s="396"/>
      <c r="I517" s="399"/>
      <c r="J517" s="400"/>
      <c r="K517" s="401"/>
      <c r="L517" s="399"/>
      <c r="M517" s="402"/>
      <c r="N517" s="402"/>
    </row>
    <row r="518">
      <c r="A518" s="382"/>
      <c r="B518" s="387"/>
      <c r="C518" s="389"/>
      <c r="D518" s="391"/>
      <c r="E518" s="392"/>
      <c r="F518" s="393"/>
      <c r="G518" s="395"/>
      <c r="H518" s="396"/>
      <c r="I518" s="399"/>
      <c r="J518" s="400"/>
      <c r="K518" s="401"/>
      <c r="L518" s="399"/>
      <c r="M518" s="402"/>
      <c r="N518" s="402"/>
    </row>
    <row r="519">
      <c r="A519" s="382"/>
      <c r="B519" s="387"/>
      <c r="C519" s="389"/>
      <c r="D519" s="391"/>
      <c r="E519" s="392"/>
      <c r="F519" s="393"/>
      <c r="G519" s="395"/>
      <c r="H519" s="396"/>
      <c r="I519" s="399"/>
      <c r="J519" s="400"/>
      <c r="K519" s="401"/>
      <c r="L519" s="399"/>
      <c r="M519" s="402"/>
      <c r="N519" s="402"/>
    </row>
    <row r="520">
      <c r="A520" s="382"/>
      <c r="B520" s="387"/>
      <c r="C520" s="389"/>
      <c r="D520" s="391"/>
      <c r="E520" s="392"/>
      <c r="F520" s="393"/>
      <c r="G520" s="395"/>
      <c r="H520" s="396"/>
      <c r="I520" s="399"/>
      <c r="J520" s="400"/>
      <c r="K520" s="401"/>
      <c r="L520" s="399"/>
      <c r="M520" s="402"/>
      <c r="N520" s="402"/>
    </row>
    <row r="521">
      <c r="A521" s="382"/>
      <c r="B521" s="387"/>
      <c r="C521" s="389"/>
      <c r="D521" s="391"/>
      <c r="E521" s="392"/>
      <c r="F521" s="393"/>
      <c r="G521" s="395"/>
      <c r="H521" s="396"/>
      <c r="I521" s="399"/>
      <c r="J521" s="400"/>
      <c r="K521" s="401"/>
      <c r="L521" s="399"/>
      <c r="M521" s="402"/>
      <c r="N521" s="402"/>
    </row>
    <row r="522">
      <c r="A522" s="382"/>
      <c r="B522" s="387"/>
      <c r="C522" s="389"/>
      <c r="D522" s="391"/>
      <c r="E522" s="392"/>
      <c r="F522" s="393"/>
      <c r="G522" s="395"/>
      <c r="H522" s="396"/>
      <c r="I522" s="399"/>
      <c r="J522" s="400"/>
      <c r="K522" s="401"/>
      <c r="L522" s="399"/>
      <c r="M522" s="402"/>
      <c r="N522" s="402"/>
    </row>
    <row r="523">
      <c r="A523" s="382"/>
      <c r="B523" s="387"/>
      <c r="C523" s="389"/>
      <c r="D523" s="391"/>
      <c r="E523" s="392"/>
      <c r="F523" s="393"/>
      <c r="G523" s="395"/>
      <c r="H523" s="396"/>
      <c r="I523" s="399"/>
      <c r="J523" s="400"/>
      <c r="K523" s="401"/>
      <c r="L523" s="399"/>
      <c r="M523" s="402"/>
      <c r="N523" s="402"/>
    </row>
    <row r="524">
      <c r="A524" s="382"/>
      <c r="B524" s="387"/>
      <c r="C524" s="389"/>
      <c r="D524" s="391"/>
      <c r="E524" s="392"/>
      <c r="F524" s="393"/>
      <c r="G524" s="395"/>
      <c r="H524" s="396"/>
      <c r="I524" s="399"/>
      <c r="J524" s="400"/>
      <c r="K524" s="401"/>
      <c r="L524" s="399"/>
      <c r="M524" s="402"/>
      <c r="N524" s="402"/>
    </row>
    <row r="525">
      <c r="A525" s="382"/>
      <c r="B525" s="387"/>
      <c r="C525" s="389"/>
      <c r="D525" s="391"/>
      <c r="E525" s="392"/>
      <c r="F525" s="393"/>
      <c r="G525" s="395"/>
      <c r="H525" s="396"/>
      <c r="I525" s="399"/>
      <c r="J525" s="400"/>
      <c r="K525" s="401"/>
      <c r="L525" s="399"/>
      <c r="M525" s="402"/>
      <c r="N525" s="402"/>
    </row>
    <row r="526">
      <c r="A526" s="382"/>
      <c r="B526" s="387"/>
      <c r="C526" s="389"/>
      <c r="D526" s="391"/>
      <c r="E526" s="392"/>
      <c r="F526" s="393"/>
      <c r="G526" s="395"/>
      <c r="H526" s="396"/>
      <c r="I526" s="399"/>
      <c r="J526" s="400"/>
      <c r="K526" s="401"/>
      <c r="L526" s="399"/>
      <c r="M526" s="402"/>
      <c r="N526" s="402"/>
    </row>
    <row r="527">
      <c r="A527" s="382"/>
      <c r="B527" s="387"/>
      <c r="C527" s="389"/>
      <c r="D527" s="391"/>
      <c r="E527" s="392"/>
      <c r="F527" s="393"/>
      <c r="G527" s="395"/>
      <c r="H527" s="396"/>
      <c r="I527" s="399"/>
      <c r="J527" s="400"/>
      <c r="K527" s="401"/>
      <c r="L527" s="399"/>
      <c r="M527" s="402"/>
      <c r="N527" s="402"/>
    </row>
    <row r="528">
      <c r="A528" s="382"/>
      <c r="B528" s="387"/>
      <c r="C528" s="389"/>
      <c r="D528" s="391"/>
      <c r="E528" s="392"/>
      <c r="F528" s="393"/>
      <c r="G528" s="395"/>
      <c r="H528" s="396"/>
      <c r="I528" s="399"/>
      <c r="J528" s="400"/>
      <c r="K528" s="401"/>
      <c r="L528" s="399"/>
      <c r="M528" s="402"/>
      <c r="N528" s="402"/>
    </row>
    <row r="529">
      <c r="A529" s="382"/>
      <c r="B529" s="387"/>
      <c r="C529" s="389"/>
      <c r="D529" s="391"/>
      <c r="E529" s="392"/>
      <c r="F529" s="393"/>
      <c r="G529" s="395"/>
      <c r="H529" s="396"/>
      <c r="I529" s="399"/>
      <c r="J529" s="400"/>
      <c r="K529" s="401"/>
      <c r="L529" s="399"/>
      <c r="M529" s="402"/>
      <c r="N529" s="402"/>
    </row>
    <row r="530">
      <c r="A530" s="382"/>
      <c r="B530" s="387"/>
      <c r="C530" s="389"/>
      <c r="D530" s="391"/>
      <c r="E530" s="392"/>
      <c r="F530" s="393"/>
      <c r="G530" s="395"/>
      <c r="H530" s="396"/>
      <c r="I530" s="399"/>
      <c r="J530" s="400"/>
      <c r="K530" s="401"/>
      <c r="L530" s="399"/>
      <c r="M530" s="402"/>
      <c r="N530" s="402"/>
    </row>
    <row r="531">
      <c r="A531" s="382"/>
      <c r="B531" s="387"/>
      <c r="C531" s="389"/>
      <c r="D531" s="391"/>
      <c r="E531" s="392"/>
      <c r="F531" s="393"/>
      <c r="G531" s="395"/>
      <c r="H531" s="396"/>
      <c r="I531" s="399"/>
      <c r="J531" s="400"/>
      <c r="K531" s="401"/>
      <c r="L531" s="399"/>
      <c r="M531" s="402"/>
      <c r="N531" s="402"/>
    </row>
    <row r="532">
      <c r="A532" s="382"/>
      <c r="B532" s="387"/>
      <c r="C532" s="389"/>
      <c r="D532" s="391"/>
      <c r="E532" s="392"/>
      <c r="F532" s="393"/>
      <c r="G532" s="395"/>
      <c r="H532" s="396"/>
      <c r="I532" s="399"/>
      <c r="J532" s="400"/>
      <c r="K532" s="401"/>
      <c r="L532" s="399"/>
      <c r="M532" s="402"/>
      <c r="N532" s="402"/>
    </row>
    <row r="533">
      <c r="A533" s="382"/>
      <c r="B533" s="387"/>
      <c r="C533" s="389"/>
      <c r="D533" s="391"/>
      <c r="E533" s="392"/>
      <c r="F533" s="393"/>
      <c r="G533" s="395"/>
      <c r="H533" s="396"/>
      <c r="I533" s="399"/>
      <c r="J533" s="400"/>
      <c r="K533" s="401"/>
      <c r="L533" s="399"/>
      <c r="M533" s="402"/>
      <c r="N533" s="402"/>
    </row>
    <row r="534">
      <c r="A534" s="382"/>
      <c r="B534" s="387"/>
      <c r="C534" s="389"/>
      <c r="D534" s="391"/>
      <c r="E534" s="392"/>
      <c r="F534" s="393"/>
      <c r="G534" s="395"/>
      <c r="H534" s="396"/>
      <c r="I534" s="399"/>
      <c r="J534" s="400"/>
      <c r="K534" s="401"/>
      <c r="L534" s="399"/>
      <c r="M534" s="402"/>
      <c r="N534" s="402"/>
    </row>
    <row r="535">
      <c r="A535" s="382"/>
      <c r="B535" s="387"/>
      <c r="C535" s="389"/>
      <c r="D535" s="391"/>
      <c r="E535" s="392"/>
      <c r="F535" s="393"/>
      <c r="G535" s="395"/>
      <c r="H535" s="396"/>
      <c r="I535" s="399"/>
      <c r="J535" s="400"/>
      <c r="K535" s="401"/>
      <c r="L535" s="399"/>
      <c r="M535" s="402"/>
      <c r="N535" s="402"/>
    </row>
    <row r="536">
      <c r="A536" s="382"/>
      <c r="B536" s="387"/>
      <c r="C536" s="389"/>
      <c r="D536" s="391"/>
      <c r="E536" s="392"/>
      <c r="F536" s="393"/>
      <c r="G536" s="395"/>
      <c r="H536" s="396"/>
      <c r="I536" s="399"/>
      <c r="J536" s="400"/>
      <c r="K536" s="401"/>
      <c r="L536" s="399"/>
      <c r="M536" s="402"/>
      <c r="N536" s="402"/>
    </row>
    <row r="537">
      <c r="A537" s="382"/>
      <c r="B537" s="387"/>
      <c r="C537" s="389"/>
      <c r="D537" s="391"/>
      <c r="E537" s="392"/>
      <c r="F537" s="393"/>
      <c r="G537" s="395"/>
      <c r="H537" s="396"/>
      <c r="I537" s="399"/>
      <c r="J537" s="400"/>
      <c r="K537" s="401"/>
      <c r="L537" s="399"/>
      <c r="M537" s="402"/>
      <c r="N537" s="402"/>
    </row>
    <row r="538">
      <c r="A538" s="382"/>
      <c r="B538" s="387"/>
      <c r="C538" s="389"/>
      <c r="D538" s="391"/>
      <c r="E538" s="392"/>
      <c r="F538" s="393"/>
      <c r="G538" s="395"/>
      <c r="H538" s="396"/>
      <c r="I538" s="399"/>
      <c r="J538" s="400"/>
      <c r="K538" s="401"/>
      <c r="L538" s="399"/>
      <c r="M538" s="402"/>
      <c r="N538" s="402"/>
    </row>
    <row r="539">
      <c r="A539" s="382"/>
      <c r="B539" s="387"/>
      <c r="C539" s="389"/>
      <c r="D539" s="391"/>
      <c r="E539" s="392"/>
      <c r="F539" s="393"/>
      <c r="G539" s="395"/>
      <c r="H539" s="396"/>
      <c r="I539" s="399"/>
      <c r="J539" s="400"/>
      <c r="K539" s="401"/>
      <c r="L539" s="399"/>
      <c r="M539" s="402"/>
      <c r="N539" s="402"/>
    </row>
    <row r="540">
      <c r="A540" s="382"/>
      <c r="B540" s="387"/>
      <c r="C540" s="389"/>
      <c r="D540" s="391"/>
      <c r="E540" s="392"/>
      <c r="F540" s="393"/>
      <c r="G540" s="395"/>
      <c r="H540" s="396"/>
      <c r="I540" s="399"/>
      <c r="J540" s="400"/>
      <c r="K540" s="401"/>
      <c r="L540" s="399"/>
      <c r="M540" s="402"/>
      <c r="N540" s="402"/>
    </row>
    <row r="541">
      <c r="A541" s="382"/>
      <c r="B541" s="387"/>
      <c r="C541" s="389"/>
      <c r="D541" s="391"/>
      <c r="E541" s="392"/>
      <c r="F541" s="393"/>
      <c r="G541" s="395"/>
      <c r="H541" s="396"/>
      <c r="I541" s="399"/>
      <c r="J541" s="400"/>
      <c r="K541" s="401"/>
      <c r="L541" s="399"/>
      <c r="M541" s="402"/>
      <c r="N541" s="402"/>
    </row>
    <row r="542">
      <c r="A542" s="382"/>
      <c r="B542" s="387"/>
      <c r="C542" s="389"/>
      <c r="D542" s="391"/>
      <c r="E542" s="392"/>
      <c r="F542" s="393"/>
      <c r="G542" s="395"/>
      <c r="H542" s="396"/>
      <c r="I542" s="399"/>
      <c r="J542" s="400"/>
      <c r="K542" s="401"/>
      <c r="L542" s="399"/>
      <c r="M542" s="402"/>
      <c r="N542" s="402"/>
    </row>
    <row r="543">
      <c r="A543" s="382"/>
      <c r="B543" s="387"/>
      <c r="C543" s="389"/>
      <c r="D543" s="391"/>
      <c r="E543" s="392"/>
      <c r="F543" s="393"/>
      <c r="G543" s="395"/>
      <c r="H543" s="396"/>
      <c r="I543" s="399"/>
      <c r="J543" s="400"/>
      <c r="K543" s="401"/>
      <c r="L543" s="399"/>
      <c r="M543" s="402"/>
      <c r="N543" s="402"/>
    </row>
    <row r="544">
      <c r="A544" s="382"/>
      <c r="B544" s="387"/>
      <c r="C544" s="389"/>
      <c r="D544" s="391"/>
      <c r="E544" s="392"/>
      <c r="F544" s="393"/>
      <c r="G544" s="395"/>
      <c r="H544" s="396"/>
      <c r="I544" s="399"/>
      <c r="J544" s="400"/>
      <c r="K544" s="401"/>
      <c r="L544" s="399"/>
      <c r="M544" s="402"/>
      <c r="N544" s="402"/>
    </row>
    <row r="545">
      <c r="A545" s="382"/>
      <c r="B545" s="387"/>
      <c r="C545" s="389"/>
      <c r="D545" s="391"/>
      <c r="E545" s="392"/>
      <c r="F545" s="393"/>
      <c r="G545" s="395"/>
      <c r="H545" s="396"/>
      <c r="I545" s="399"/>
      <c r="J545" s="400"/>
      <c r="K545" s="401"/>
      <c r="L545" s="399"/>
      <c r="M545" s="402"/>
      <c r="N545" s="402"/>
    </row>
    <row r="546">
      <c r="A546" s="382"/>
      <c r="B546" s="387"/>
      <c r="C546" s="389"/>
      <c r="D546" s="391"/>
      <c r="E546" s="392"/>
      <c r="F546" s="393"/>
      <c r="G546" s="395"/>
      <c r="H546" s="396"/>
      <c r="I546" s="399"/>
      <c r="J546" s="400"/>
      <c r="K546" s="401"/>
      <c r="L546" s="399"/>
      <c r="M546" s="402"/>
      <c r="N546" s="402"/>
    </row>
    <row r="547">
      <c r="A547" s="382"/>
      <c r="B547" s="387"/>
      <c r="C547" s="389"/>
      <c r="D547" s="391"/>
      <c r="E547" s="392"/>
      <c r="F547" s="393"/>
      <c r="G547" s="395"/>
      <c r="H547" s="396"/>
      <c r="I547" s="399"/>
      <c r="J547" s="400"/>
      <c r="K547" s="401"/>
      <c r="L547" s="399"/>
      <c r="M547" s="402"/>
      <c r="N547" s="402"/>
    </row>
    <row r="548">
      <c r="A548" s="382"/>
      <c r="B548" s="387"/>
      <c r="C548" s="389"/>
      <c r="D548" s="391"/>
      <c r="E548" s="392"/>
      <c r="F548" s="393"/>
      <c r="G548" s="395"/>
      <c r="H548" s="396"/>
      <c r="I548" s="399"/>
      <c r="J548" s="400"/>
      <c r="K548" s="401"/>
      <c r="L548" s="399"/>
      <c r="M548" s="402"/>
      <c r="N548" s="402"/>
    </row>
    <row r="549">
      <c r="A549" s="382"/>
      <c r="B549" s="387"/>
      <c r="C549" s="389"/>
      <c r="D549" s="391"/>
      <c r="E549" s="392"/>
      <c r="F549" s="393"/>
      <c r="G549" s="395"/>
      <c r="H549" s="396"/>
      <c r="I549" s="399"/>
      <c r="J549" s="400"/>
      <c r="K549" s="401"/>
      <c r="L549" s="399"/>
      <c r="M549" s="402"/>
      <c r="N549" s="402"/>
    </row>
    <row r="550">
      <c r="A550" s="382"/>
      <c r="B550" s="387"/>
      <c r="C550" s="389"/>
      <c r="D550" s="391"/>
      <c r="E550" s="392"/>
      <c r="F550" s="393"/>
      <c r="G550" s="395"/>
      <c r="H550" s="396"/>
      <c r="I550" s="399"/>
      <c r="J550" s="400"/>
      <c r="K550" s="401"/>
      <c r="L550" s="399"/>
      <c r="M550" s="402"/>
      <c r="N550" s="402"/>
    </row>
    <row r="551">
      <c r="A551" s="382"/>
      <c r="B551" s="387"/>
      <c r="C551" s="389"/>
      <c r="D551" s="391"/>
      <c r="E551" s="392"/>
      <c r="F551" s="393"/>
      <c r="G551" s="395"/>
      <c r="H551" s="396"/>
      <c r="I551" s="399"/>
      <c r="J551" s="400"/>
      <c r="K551" s="401"/>
      <c r="L551" s="399"/>
      <c r="M551" s="402"/>
      <c r="N551" s="402"/>
    </row>
    <row r="552">
      <c r="A552" s="382"/>
      <c r="B552" s="387"/>
      <c r="C552" s="389"/>
      <c r="D552" s="391"/>
      <c r="E552" s="392"/>
      <c r="F552" s="393"/>
      <c r="G552" s="395"/>
      <c r="H552" s="396"/>
      <c r="I552" s="399"/>
      <c r="J552" s="400"/>
      <c r="K552" s="401"/>
      <c r="L552" s="399"/>
      <c r="M552" s="402"/>
      <c r="N552" s="402"/>
    </row>
    <row r="553">
      <c r="A553" s="382"/>
      <c r="B553" s="387"/>
      <c r="C553" s="389"/>
      <c r="D553" s="391"/>
      <c r="E553" s="392"/>
      <c r="F553" s="393"/>
      <c r="G553" s="395"/>
      <c r="H553" s="396"/>
      <c r="I553" s="399"/>
      <c r="J553" s="400"/>
      <c r="K553" s="401"/>
      <c r="L553" s="399"/>
      <c r="M553" s="402"/>
      <c r="N553" s="402"/>
    </row>
    <row r="554">
      <c r="A554" s="382"/>
      <c r="B554" s="387"/>
      <c r="C554" s="389"/>
      <c r="D554" s="391"/>
      <c r="E554" s="392"/>
      <c r="F554" s="393"/>
      <c r="G554" s="395"/>
      <c r="H554" s="396"/>
      <c r="I554" s="399"/>
      <c r="J554" s="400"/>
      <c r="K554" s="401"/>
      <c r="L554" s="399"/>
      <c r="M554" s="402"/>
      <c r="N554" s="402"/>
    </row>
    <row r="555">
      <c r="A555" s="382"/>
      <c r="B555" s="387"/>
      <c r="C555" s="389"/>
      <c r="D555" s="391"/>
      <c r="E555" s="392"/>
      <c r="F555" s="393"/>
      <c r="G555" s="395"/>
      <c r="H555" s="396"/>
      <c r="I555" s="399"/>
      <c r="J555" s="400"/>
      <c r="K555" s="401"/>
      <c r="L555" s="399"/>
      <c r="M555" s="402"/>
      <c r="N555" s="402"/>
    </row>
    <row r="556">
      <c r="A556" s="382"/>
      <c r="B556" s="387"/>
      <c r="C556" s="389"/>
      <c r="D556" s="391"/>
      <c r="E556" s="392"/>
      <c r="F556" s="393"/>
      <c r="G556" s="395"/>
      <c r="H556" s="396"/>
      <c r="I556" s="399"/>
      <c r="J556" s="400"/>
      <c r="K556" s="401"/>
      <c r="L556" s="399"/>
      <c r="M556" s="402"/>
      <c r="N556" s="402"/>
    </row>
    <row r="557">
      <c r="A557" s="382"/>
      <c r="B557" s="387"/>
      <c r="C557" s="389"/>
      <c r="D557" s="391"/>
      <c r="E557" s="392"/>
      <c r="F557" s="393"/>
      <c r="G557" s="395"/>
      <c r="H557" s="396"/>
      <c r="I557" s="399"/>
      <c r="J557" s="400"/>
      <c r="K557" s="401"/>
      <c r="L557" s="399"/>
      <c r="M557" s="402"/>
      <c r="N557" s="402"/>
    </row>
    <row r="558">
      <c r="A558" s="382"/>
      <c r="B558" s="387"/>
      <c r="C558" s="389"/>
      <c r="D558" s="391"/>
      <c r="E558" s="392"/>
      <c r="F558" s="393"/>
      <c r="G558" s="395"/>
      <c r="H558" s="396"/>
      <c r="I558" s="399"/>
      <c r="J558" s="400"/>
      <c r="K558" s="401"/>
      <c r="L558" s="399"/>
      <c r="M558" s="402"/>
      <c r="N558" s="402"/>
    </row>
    <row r="559">
      <c r="A559" s="382"/>
      <c r="B559" s="387"/>
      <c r="C559" s="389"/>
      <c r="D559" s="391"/>
      <c r="E559" s="392"/>
      <c r="F559" s="393"/>
      <c r="G559" s="395"/>
      <c r="H559" s="396"/>
      <c r="I559" s="399"/>
      <c r="J559" s="400"/>
      <c r="K559" s="401"/>
      <c r="L559" s="399"/>
      <c r="M559" s="402"/>
      <c r="N559" s="402"/>
    </row>
    <row r="560">
      <c r="A560" s="382"/>
      <c r="B560" s="387"/>
      <c r="C560" s="389"/>
      <c r="D560" s="391"/>
      <c r="E560" s="392"/>
      <c r="F560" s="393"/>
      <c r="G560" s="395"/>
      <c r="H560" s="396"/>
      <c r="I560" s="399"/>
      <c r="J560" s="400"/>
      <c r="K560" s="401"/>
      <c r="L560" s="399"/>
      <c r="M560" s="402"/>
      <c r="N560" s="402"/>
    </row>
    <row r="561">
      <c r="A561" s="382"/>
      <c r="B561" s="387"/>
      <c r="C561" s="389"/>
      <c r="D561" s="391"/>
      <c r="E561" s="392"/>
      <c r="F561" s="393"/>
      <c r="G561" s="395"/>
      <c r="H561" s="396"/>
      <c r="I561" s="399"/>
      <c r="J561" s="400"/>
      <c r="K561" s="401"/>
      <c r="L561" s="399"/>
      <c r="M561" s="402"/>
      <c r="N561" s="402"/>
    </row>
    <row r="562">
      <c r="A562" s="382"/>
      <c r="B562" s="387"/>
      <c r="C562" s="389"/>
      <c r="D562" s="391"/>
      <c r="E562" s="392"/>
      <c r="F562" s="393"/>
      <c r="G562" s="395"/>
      <c r="H562" s="396"/>
      <c r="I562" s="399"/>
      <c r="J562" s="400"/>
      <c r="K562" s="401"/>
      <c r="L562" s="399"/>
      <c r="M562" s="402"/>
      <c r="N562" s="402"/>
    </row>
    <row r="563">
      <c r="A563" s="382"/>
      <c r="B563" s="387"/>
      <c r="C563" s="389"/>
      <c r="D563" s="391"/>
      <c r="E563" s="392"/>
      <c r="F563" s="393"/>
      <c r="G563" s="395"/>
      <c r="H563" s="396"/>
      <c r="I563" s="399"/>
      <c r="J563" s="400"/>
      <c r="K563" s="401"/>
      <c r="L563" s="399"/>
      <c r="M563" s="402"/>
      <c r="N563" s="402"/>
    </row>
    <row r="564">
      <c r="A564" s="382"/>
      <c r="B564" s="387"/>
      <c r="C564" s="389"/>
      <c r="D564" s="391"/>
      <c r="E564" s="392"/>
      <c r="F564" s="393"/>
      <c r="G564" s="395"/>
      <c r="H564" s="396"/>
      <c r="I564" s="399"/>
      <c r="J564" s="400"/>
      <c r="K564" s="401"/>
      <c r="L564" s="399"/>
      <c r="M564" s="402"/>
      <c r="N564" s="402"/>
    </row>
    <row r="565">
      <c r="A565" s="382"/>
      <c r="B565" s="387"/>
      <c r="C565" s="389"/>
      <c r="D565" s="391"/>
      <c r="E565" s="392"/>
      <c r="F565" s="393"/>
      <c r="G565" s="395"/>
      <c r="H565" s="396"/>
      <c r="I565" s="399"/>
      <c r="J565" s="400"/>
      <c r="K565" s="401"/>
      <c r="L565" s="399"/>
      <c r="M565" s="402"/>
      <c r="N565" s="402"/>
    </row>
    <row r="566">
      <c r="A566" s="382"/>
      <c r="B566" s="387"/>
      <c r="C566" s="389"/>
      <c r="D566" s="391"/>
      <c r="E566" s="392"/>
      <c r="F566" s="393"/>
      <c r="G566" s="395"/>
      <c r="H566" s="396"/>
      <c r="I566" s="399"/>
      <c r="J566" s="400"/>
      <c r="K566" s="401"/>
      <c r="L566" s="399"/>
      <c r="M566" s="402"/>
      <c r="N566" s="402"/>
    </row>
    <row r="567">
      <c r="A567" s="382"/>
      <c r="B567" s="387"/>
      <c r="C567" s="389"/>
      <c r="D567" s="391"/>
      <c r="E567" s="392"/>
      <c r="F567" s="393"/>
      <c r="G567" s="395"/>
      <c r="H567" s="396"/>
      <c r="I567" s="399"/>
      <c r="J567" s="400"/>
      <c r="K567" s="401"/>
      <c r="L567" s="399"/>
      <c r="M567" s="402"/>
      <c r="N567" s="402"/>
    </row>
    <row r="568">
      <c r="A568" s="382"/>
      <c r="B568" s="387"/>
      <c r="C568" s="389"/>
      <c r="D568" s="391"/>
      <c r="E568" s="392"/>
      <c r="F568" s="393"/>
      <c r="G568" s="395"/>
      <c r="H568" s="396"/>
      <c r="I568" s="399"/>
      <c r="J568" s="400"/>
      <c r="K568" s="401"/>
      <c r="L568" s="399"/>
      <c r="M568" s="402"/>
      <c r="N568" s="402"/>
    </row>
    <row r="569">
      <c r="A569" s="382"/>
      <c r="B569" s="387"/>
      <c r="C569" s="389"/>
      <c r="D569" s="391"/>
      <c r="E569" s="392"/>
      <c r="F569" s="393"/>
      <c r="G569" s="395"/>
      <c r="H569" s="396"/>
      <c r="I569" s="399"/>
      <c r="J569" s="400"/>
      <c r="K569" s="401"/>
      <c r="L569" s="399"/>
      <c r="M569" s="402"/>
      <c r="N569" s="402"/>
    </row>
    <row r="570">
      <c r="A570" s="382"/>
      <c r="B570" s="387"/>
      <c r="C570" s="389"/>
      <c r="D570" s="391"/>
      <c r="E570" s="392"/>
      <c r="F570" s="393"/>
      <c r="G570" s="395"/>
      <c r="H570" s="396"/>
      <c r="I570" s="399"/>
      <c r="J570" s="400"/>
      <c r="K570" s="401"/>
      <c r="L570" s="399"/>
      <c r="M570" s="402"/>
      <c r="N570" s="402"/>
    </row>
    <row r="571">
      <c r="A571" s="382"/>
      <c r="B571" s="387"/>
      <c r="C571" s="389"/>
      <c r="D571" s="391"/>
      <c r="E571" s="392"/>
      <c r="F571" s="393"/>
      <c r="G571" s="395"/>
      <c r="H571" s="396"/>
      <c r="I571" s="399"/>
      <c r="J571" s="400"/>
      <c r="K571" s="401"/>
      <c r="L571" s="399"/>
      <c r="M571" s="402"/>
      <c r="N571" s="402"/>
    </row>
    <row r="572">
      <c r="A572" s="382"/>
      <c r="B572" s="387"/>
      <c r="C572" s="389"/>
      <c r="D572" s="391"/>
      <c r="E572" s="392"/>
      <c r="F572" s="393"/>
      <c r="G572" s="395"/>
      <c r="H572" s="396"/>
      <c r="I572" s="399"/>
      <c r="J572" s="400"/>
      <c r="K572" s="401"/>
      <c r="L572" s="399"/>
      <c r="M572" s="402"/>
      <c r="N572" s="402"/>
    </row>
    <row r="573">
      <c r="A573" s="382"/>
      <c r="B573" s="387"/>
      <c r="C573" s="389"/>
      <c r="D573" s="391"/>
      <c r="E573" s="392"/>
      <c r="F573" s="393"/>
      <c r="G573" s="395"/>
      <c r="H573" s="396"/>
      <c r="I573" s="399"/>
      <c r="J573" s="400"/>
      <c r="K573" s="401"/>
      <c r="L573" s="399"/>
      <c r="M573" s="402"/>
      <c r="N573" s="402"/>
    </row>
    <row r="574">
      <c r="A574" s="382"/>
      <c r="B574" s="387"/>
      <c r="C574" s="389"/>
      <c r="D574" s="391"/>
      <c r="E574" s="392"/>
      <c r="F574" s="393"/>
      <c r="G574" s="395"/>
      <c r="H574" s="396"/>
      <c r="I574" s="399"/>
      <c r="J574" s="400"/>
      <c r="K574" s="401"/>
      <c r="L574" s="399"/>
      <c r="M574" s="402"/>
      <c r="N574" s="402"/>
    </row>
    <row r="575">
      <c r="A575" s="382"/>
      <c r="B575" s="387"/>
      <c r="C575" s="389"/>
      <c r="D575" s="391"/>
      <c r="E575" s="392"/>
      <c r="F575" s="393"/>
      <c r="G575" s="395"/>
      <c r="H575" s="396"/>
      <c r="I575" s="399"/>
      <c r="J575" s="400"/>
      <c r="K575" s="401"/>
      <c r="L575" s="399"/>
      <c r="M575" s="402"/>
      <c r="N575" s="402"/>
    </row>
    <row r="576">
      <c r="A576" s="382"/>
      <c r="B576" s="387"/>
      <c r="C576" s="389"/>
      <c r="D576" s="391"/>
      <c r="E576" s="392"/>
      <c r="F576" s="393"/>
      <c r="G576" s="395"/>
      <c r="H576" s="396"/>
      <c r="I576" s="399"/>
      <c r="J576" s="400"/>
      <c r="K576" s="401"/>
      <c r="L576" s="399"/>
      <c r="M576" s="402"/>
      <c r="N576" s="402"/>
    </row>
    <row r="577">
      <c r="A577" s="382"/>
      <c r="B577" s="387"/>
      <c r="C577" s="389"/>
      <c r="D577" s="391"/>
      <c r="E577" s="392"/>
      <c r="F577" s="393"/>
      <c r="G577" s="395"/>
      <c r="H577" s="396"/>
      <c r="I577" s="399"/>
      <c r="J577" s="400"/>
      <c r="K577" s="401"/>
      <c r="L577" s="399"/>
      <c r="M577" s="402"/>
      <c r="N577" s="402"/>
    </row>
    <row r="578">
      <c r="A578" s="382"/>
      <c r="B578" s="387"/>
      <c r="C578" s="389"/>
      <c r="D578" s="391"/>
      <c r="E578" s="392"/>
      <c r="F578" s="393"/>
      <c r="G578" s="395"/>
      <c r="H578" s="396"/>
      <c r="I578" s="399"/>
      <c r="J578" s="400"/>
      <c r="K578" s="401"/>
      <c r="L578" s="399"/>
      <c r="M578" s="402"/>
      <c r="N578" s="402"/>
    </row>
    <row r="579">
      <c r="A579" s="382"/>
      <c r="B579" s="387"/>
      <c r="C579" s="389"/>
      <c r="D579" s="391"/>
      <c r="E579" s="392"/>
      <c r="F579" s="393"/>
      <c r="G579" s="395"/>
      <c r="H579" s="396"/>
      <c r="I579" s="399"/>
      <c r="J579" s="400"/>
      <c r="K579" s="401"/>
      <c r="L579" s="399"/>
      <c r="M579" s="402"/>
      <c r="N579" s="402"/>
    </row>
    <row r="580">
      <c r="A580" s="382"/>
      <c r="B580" s="387"/>
      <c r="C580" s="389"/>
      <c r="D580" s="391"/>
      <c r="E580" s="392"/>
      <c r="F580" s="393"/>
      <c r="G580" s="395"/>
      <c r="H580" s="396"/>
      <c r="I580" s="399"/>
      <c r="J580" s="400"/>
      <c r="K580" s="401"/>
      <c r="L580" s="399"/>
      <c r="M580" s="402"/>
      <c r="N580" s="402"/>
    </row>
    <row r="581">
      <c r="A581" s="382"/>
      <c r="B581" s="387"/>
      <c r="C581" s="389"/>
      <c r="D581" s="391"/>
      <c r="E581" s="392"/>
      <c r="F581" s="393"/>
      <c r="G581" s="395"/>
      <c r="H581" s="396"/>
      <c r="I581" s="399"/>
      <c r="J581" s="400"/>
      <c r="K581" s="401"/>
      <c r="L581" s="399"/>
      <c r="M581" s="402"/>
      <c r="N581" s="402"/>
    </row>
    <row r="582">
      <c r="A582" s="382"/>
      <c r="B582" s="387"/>
      <c r="C582" s="389"/>
      <c r="D582" s="391"/>
      <c r="E582" s="392"/>
      <c r="F582" s="393"/>
      <c r="G582" s="395"/>
      <c r="H582" s="396"/>
      <c r="I582" s="399"/>
      <c r="J582" s="400"/>
      <c r="K582" s="401"/>
      <c r="L582" s="399"/>
      <c r="M582" s="402"/>
      <c r="N582" s="402"/>
    </row>
    <row r="583">
      <c r="A583" s="382"/>
      <c r="B583" s="387"/>
      <c r="C583" s="389"/>
      <c r="D583" s="391"/>
      <c r="E583" s="392"/>
      <c r="F583" s="393"/>
      <c r="G583" s="395"/>
      <c r="H583" s="396"/>
      <c r="I583" s="399"/>
      <c r="J583" s="400"/>
      <c r="K583" s="401"/>
      <c r="L583" s="399"/>
      <c r="M583" s="402"/>
      <c r="N583" s="402"/>
    </row>
    <row r="584">
      <c r="A584" s="382"/>
      <c r="B584" s="387"/>
      <c r="C584" s="389"/>
      <c r="D584" s="391"/>
      <c r="E584" s="392"/>
      <c r="F584" s="393"/>
      <c r="G584" s="395"/>
      <c r="H584" s="396"/>
      <c r="I584" s="399"/>
      <c r="J584" s="400"/>
      <c r="K584" s="401"/>
      <c r="L584" s="399"/>
      <c r="M584" s="402"/>
      <c r="N584" s="402"/>
    </row>
    <row r="585">
      <c r="A585" s="382"/>
      <c r="B585" s="387"/>
      <c r="C585" s="389"/>
      <c r="D585" s="391"/>
      <c r="E585" s="392"/>
      <c r="F585" s="393"/>
      <c r="G585" s="395"/>
      <c r="H585" s="396"/>
      <c r="I585" s="399"/>
      <c r="J585" s="400"/>
      <c r="K585" s="401"/>
      <c r="L585" s="399"/>
      <c r="M585" s="402"/>
      <c r="N585" s="402"/>
    </row>
  </sheetData>
  <conditionalFormatting sqref="F1:F585">
    <cfRule type="cellIs" dxfId="3" priority="1" operator="lessThanOrEqual">
      <formula>0</formula>
    </cfRule>
  </conditionalFormatting>
  <conditionalFormatting sqref="F1:F585">
    <cfRule type="notContainsText" dxfId="3" priority="2" operator="notContains" text=",">
      <formula>ISERROR(SEARCH((","),(F1)))</formula>
    </cfRule>
  </conditionalFormatting>
  <conditionalFormatting sqref="G1:G585">
    <cfRule type="cellIs" dxfId="1" priority="3" operator="equal">
      <formula>"в наличии"</formula>
    </cfRule>
  </conditionalFormatting>
  <conditionalFormatting sqref="G1:G585">
    <cfRule type="cellIs" dxfId="4" priority="4" operator="equal">
      <formula>"под заказ"</formula>
    </cfRule>
  </conditionalFormatting>
  <conditionalFormatting sqref="D2:E585">
    <cfRule type="notContainsText" dxfId="3" priority="5" operator="notContains" text=",">
      <formula>ISERROR(SEARCH((","),(D2)))</formula>
    </cfRule>
  </conditionalFormatting>
  <hyperlinks>
    <hyperlink r:id="rId1" ref="C1"/>
    <hyperlink r:id="rId2" ref="H4"/>
    <hyperlink r:id="rId3" ref="H5"/>
    <hyperlink r:id="rId4" ref="H7"/>
    <hyperlink r:id="rId5" ref="H8"/>
    <hyperlink r:id="rId6" ref="H9"/>
    <hyperlink r:id="rId7" ref="H10"/>
    <hyperlink r:id="rId8" ref="H12"/>
    <hyperlink r:id="rId9" ref="H13"/>
    <hyperlink r:id="rId10" ref="H19"/>
    <hyperlink r:id="rId11" ref="H21"/>
    <hyperlink r:id="rId12" ref="H22"/>
    <hyperlink r:id="rId13" ref="H23"/>
    <hyperlink r:id="rId14" ref="H24"/>
    <hyperlink r:id="rId15" ref="H26"/>
    <hyperlink r:id="rId16" ref="H31"/>
    <hyperlink r:id="rId17" ref="H36"/>
    <hyperlink r:id="rId18" ref="H37"/>
    <hyperlink r:id="rId19" ref="H39"/>
    <hyperlink r:id="rId20" ref="H42"/>
    <hyperlink r:id="rId21" ref="H43"/>
    <hyperlink r:id="rId22" ref="H46"/>
    <hyperlink r:id="rId23" ref="H50"/>
    <hyperlink r:id="rId24" ref="H51"/>
    <hyperlink r:id="rId25" ref="H52"/>
    <hyperlink r:id="rId26" ref="H53"/>
    <hyperlink r:id="rId27" ref="H55"/>
    <hyperlink r:id="rId28" ref="H57"/>
    <hyperlink r:id="rId29" ref="H59"/>
    <hyperlink r:id="rId30" ref="H60"/>
    <hyperlink r:id="rId31" ref="H61"/>
    <hyperlink r:id="rId32" ref="H62"/>
    <hyperlink r:id="rId33" ref="H64"/>
    <hyperlink r:id="rId34" ref="H65"/>
    <hyperlink r:id="rId35" ref="H66"/>
    <hyperlink r:id="rId36" ref="H67"/>
    <hyperlink r:id="rId37" ref="H69"/>
    <hyperlink r:id="rId38" ref="H70"/>
    <hyperlink r:id="rId39" ref="H71"/>
    <hyperlink r:id="rId40" ref="H72"/>
    <hyperlink r:id="rId41" ref="H73"/>
    <hyperlink r:id="rId42" ref="H74"/>
  </hyperlinks>
  <drawing r:id="rId4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.14"/>
    <col customWidth="1" min="2" max="2" width="46.86"/>
    <col customWidth="1" min="3" max="3" width="40.71"/>
    <col customWidth="1" min="4" max="5" width="12.86"/>
    <col customWidth="1" min="6" max="7" width="13.14"/>
    <col customWidth="1" min="8" max="8" width="6.43"/>
  </cols>
  <sheetData>
    <row r="1" ht="21.75" customHeight="1">
      <c r="A1" s="206" t="str">
        <f>IFERROR(__xludf.DUMMYFUNCTION("ImportRange(""https://docs.google.com/spreadsheets/d/1r0lhijDIYDre7zcEkHlxmuKQpLLpFtwEumVe6Xh0n3Q/edit#gid=14204598"", ""АВР!a1:d20"")"),"")</f>
        <v/>
      </c>
      <c r="B1" s="206" t="str">
        <f>IFERROR(__xludf.DUMMYFUNCTION("""COMPUTED_VALUE"""),"8 029 666-55-93;           8 033 333-55-96")</f>
        <v>8 029 666-55-93;           8 033 333-55-96</v>
      </c>
      <c r="C1" s="208" t="str">
        <f>IFERROR(__xludf.DUMMYFUNCTION("""COMPUTED_VALUE"""),"www.fogo.by")</f>
        <v>www.fogo.by</v>
      </c>
      <c r="D1" s="213" t="str">
        <f>IFERROR(__xludf.DUMMYFUNCTION("""COMPUTED_VALUE"""),"Производитель (изготовитель): ")</f>
        <v>Производитель (изготовитель): </v>
      </c>
      <c r="E1" s="213" t="str">
        <f>IFERROR(__xludf.DUMMYFUNCTION("ImportRange(""https://docs.google.com/spreadsheets/d/1r0lhijDIYDre7zcEkHlxmuKQpLLpFtwEumVe6Xh0n3Q/edit#gid=14204598"", ""АВР!f1:f20"")"),"Импортер (Сервис):")</f>
        <v>Импортер (Сервис):</v>
      </c>
      <c r="F1" s="206"/>
      <c r="G1" s="206" t="str">
        <f>IFERROR(__xludf.DUMMYFUNCTION("ImportRange(""https://docs.google.com/spreadsheets/d/1r0lhijDIYDre7zcEkHlxmuKQpLLpFtwEumVe6Xh0n3Q/edit#gid=14204598"", ""АВР!h1:h20"")"),"")</f>
        <v/>
      </c>
      <c r="H1" s="216" t="str">
        <f>IFERROR(__xludf.DUMMYFUNCTION("ImportRange(""https://docs.google.com/spreadsheets/d/1r0lhijDIYDre7zcEkHlxmuKQpLLpFtwEumVe6Xh0n3Q/edit#gid=14204598"", ""АВР!i1:i20"")"),"")</f>
        <v/>
      </c>
    </row>
    <row r="2">
      <c r="A2" s="218" t="str">
        <f>IFERROR(__xludf.DUMMYFUNCTION("""COMPUTED_VALUE"""),"Арт.")</f>
        <v>Арт.</v>
      </c>
      <c r="B2" s="220" t="str">
        <f>IFERROR(__xludf.DUMMYFUNCTION("""COMPUTED_VALUE"""),"Наименование ")</f>
        <v>Наименование </v>
      </c>
      <c r="C2" s="220" t="str">
        <f>IFERROR(__xludf.DUMMYFUNCTION("""COMPUTED_VALUE"""),"Назначение")</f>
        <v>Назначение</v>
      </c>
      <c r="D2" s="222" t="str">
        <f>IFERROR(__xludf.DUMMYFUNCTION("""COMPUTED_VALUE"""),"Розничная цена с НДС, BYN")</f>
        <v>Розничная цена с НДС, BYN</v>
      </c>
      <c r="E2" s="222" t="str">
        <f>IFERROR(__xludf.DUMMYFUNCTION("""COMPUTED_VALUE"""),"Дилерская цена с НДС, BYN")</f>
        <v>Дилерская цена с НДС, BYN</v>
      </c>
      <c r="F2" s="224" t="s">
        <v>40</v>
      </c>
      <c r="G2" s="222" t="str">
        <f>IFERROR(__xludf.DUMMYFUNCTION("""COMPUTED_VALUE"""),"Срок поставки")</f>
        <v>Срок поставки</v>
      </c>
      <c r="H2" s="226" t="str">
        <f>IFERROR(__xludf.DUMMYFUNCTION("""COMPUTED_VALUE"""),"ссылка на сайт")</f>
        <v>ссылка на сайт</v>
      </c>
    </row>
    <row r="3" ht="11.25" customHeight="1">
      <c r="A3" s="228" t="str">
        <f>IFERROR(__xludf.DUMMYFUNCTION("""COMPUTED_VALUE"""),"")</f>
        <v/>
      </c>
      <c r="B3" s="228" t="str">
        <f>IFERROR(__xludf.DUMMYFUNCTION("""COMPUTED_VALUE"""),"Для однофазной сети 220 В")</f>
        <v>Для однофазной сети 220 В</v>
      </c>
      <c r="C3" s="230" t="str">
        <f>IFERROR(__xludf.DUMMYFUNCTION("""COMPUTED_VALUE"""),"")</f>
        <v/>
      </c>
      <c r="D3" s="232" t="str">
        <f>IFERROR(__xludf.DUMMYFUNCTION("""COMPUTED_VALUE"""),"")</f>
        <v/>
      </c>
      <c r="E3" s="232" t="str">
        <f>IFERROR(__xludf.DUMMYFUNCTION("""COMPUTED_VALUE"""),"")</f>
        <v/>
      </c>
      <c r="F3" s="234"/>
      <c r="G3" s="234" t="str">
        <f>IFERROR(__xludf.DUMMYFUNCTION("""COMPUTED_VALUE"""),"")</f>
        <v/>
      </c>
      <c r="H3" s="236" t="str">
        <f>IFERROR(__xludf.DUMMYFUNCTION("""COMPUTED_VALUE"""),"")</f>
        <v/>
      </c>
    </row>
    <row r="4">
      <c r="A4" t="str">
        <f>IFERROR(__xludf.DUMMYFUNCTION("""COMPUTED_VALUE"""),"")</f>
        <v/>
      </c>
      <c r="B4" s="238" t="str">
        <f>IFERROR(__xludf.DUMMYFUNCTION("""COMPUTED_VALUE"""),"Устройство AF 1.25")</f>
        <v>Устройство AF 1.25</v>
      </c>
      <c r="C4" s="239" t="str">
        <f>IFERROR(__xludf.DUMMYFUNCTION("""COMPUTED_VALUE"""),"для работы в связке с вводными автоматами на 25 А и генераторами до 6 кВт")</f>
        <v>для работы в связке с вводными автоматами на 25 А и генераторами до 6 кВт</v>
      </c>
      <c r="D4" s="241">
        <f>IFERROR(__xludf.DUMMYFUNCTION("""COMPUTED_VALUE"""),1190.0)</f>
        <v>1190</v>
      </c>
      <c r="E4" s="241">
        <f>IFERROR(__xludf.DUMMYFUNCTION("""COMPUTED_VALUE"""),1011.5)</f>
        <v>1011.5</v>
      </c>
      <c r="F4" s="243">
        <f t="shared" ref="F4:F5" si="1">D4-E4</f>
        <v>178.5</v>
      </c>
      <c r="G4" s="243" t="str">
        <f>IFERROR(__xludf.DUMMYFUNCTION("""COMPUTED_VALUE"""),"3 дня")</f>
        <v>3 дня</v>
      </c>
      <c r="H4" s="245" t="str">
        <f>IFERROR(__xludf.DUMMYFUNCTION("""COMPUTED_VALUE"""),"http://fogo.by/index.pl?act=PRODUCT&amp;id=231")</f>
        <v>http://fogo.by/index.pl?act=PRODUCT&amp;id=231</v>
      </c>
    </row>
    <row r="5">
      <c r="A5" s="247" t="str">
        <f>IFERROR(__xludf.DUMMYFUNCTION("""COMPUTED_VALUE"""),"")</f>
        <v/>
      </c>
      <c r="B5" s="249" t="str">
        <f>IFERROR(__xludf.DUMMYFUNCTION("""COMPUTED_VALUE"""),"Устройство AF 1.63")</f>
        <v>Устройство AF 1.63</v>
      </c>
      <c r="C5" s="239" t="str">
        <f>IFERROR(__xludf.DUMMYFUNCTION("""COMPUTED_VALUE"""),"для работы в связке с вводными автоматами на 63 А и генераторами до 14,5 кВт")</f>
        <v>для работы в связке с вводными автоматами на 63 А и генераторами до 14,5 кВт</v>
      </c>
      <c r="D5" s="241">
        <f>IFERROR(__xludf.DUMMYFUNCTION("""COMPUTED_VALUE"""),1386.0)</f>
        <v>1386</v>
      </c>
      <c r="E5" s="241">
        <f>IFERROR(__xludf.DUMMYFUNCTION("""COMPUTED_VALUE"""),1178.1)</f>
        <v>1178.1</v>
      </c>
      <c r="F5" s="243">
        <f t="shared" si="1"/>
        <v>207.9</v>
      </c>
      <c r="G5" s="243" t="str">
        <f>IFERROR(__xludf.DUMMYFUNCTION("""COMPUTED_VALUE"""),"3 дня")</f>
        <v>3 дня</v>
      </c>
      <c r="H5" s="245" t="str">
        <f>IFERROR(__xludf.DUMMYFUNCTION("""COMPUTED_VALUE"""),"http://fogo.by/index.pl?act=PRODUCT&amp;id=231")</f>
        <v>http://fogo.by/index.pl?act=PRODUCT&amp;id=231</v>
      </c>
    </row>
    <row r="6" ht="11.25" customHeight="1">
      <c r="A6" s="228" t="str">
        <f>IFERROR(__xludf.DUMMYFUNCTION("""COMPUTED_VALUE"""),"")</f>
        <v/>
      </c>
      <c r="B6" s="228" t="str">
        <f>IFERROR(__xludf.DUMMYFUNCTION("""COMPUTED_VALUE"""),"Для трехфазной сети 380 В")</f>
        <v>Для трехфазной сети 380 В</v>
      </c>
      <c r="C6" s="230" t="str">
        <f>IFERROR(__xludf.DUMMYFUNCTION("""COMPUTED_VALUE"""),"")</f>
        <v/>
      </c>
      <c r="D6" s="232" t="str">
        <f>IFERROR(__xludf.DUMMYFUNCTION("""COMPUTED_VALUE"""),"")</f>
        <v/>
      </c>
      <c r="E6" s="232" t="str">
        <f>IFERROR(__xludf.DUMMYFUNCTION("""COMPUTED_VALUE"""),"")</f>
        <v/>
      </c>
      <c r="F6" s="252"/>
      <c r="G6" s="252" t="str">
        <f>IFERROR(__xludf.DUMMYFUNCTION("""COMPUTED_VALUE"""),"")</f>
        <v/>
      </c>
      <c r="H6" s="236" t="str">
        <f>IFERROR(__xludf.DUMMYFUNCTION("""COMPUTED_VALUE"""),"")</f>
        <v/>
      </c>
    </row>
    <row r="7">
      <c r="A7" s="247" t="str">
        <f>IFERROR(__xludf.DUMMYFUNCTION("""COMPUTED_VALUE"""),"")</f>
        <v/>
      </c>
      <c r="B7" s="249" t="str">
        <f>IFERROR(__xludf.DUMMYFUNCTION("""COMPUTED_VALUE"""),"Устройство AF 3.25")</f>
        <v>Устройство AF 3.25</v>
      </c>
      <c r="C7" s="239" t="str">
        <f>IFERROR(__xludf.DUMMYFUNCTION("""COMPUTED_VALUE"""),"для работы в связке с вводными автоматами на 25 А и генераторами до 6 кВт")</f>
        <v>для работы в связке с вводными автоматами на 25 А и генераторами до 6 кВт</v>
      </c>
      <c r="D7" s="241">
        <f>IFERROR(__xludf.DUMMYFUNCTION("""COMPUTED_VALUE"""),1260.0)</f>
        <v>1260</v>
      </c>
      <c r="E7" s="241">
        <f>IFERROR(__xludf.DUMMYFUNCTION("""COMPUTED_VALUE"""),1071.0)</f>
        <v>1071</v>
      </c>
      <c r="F7" s="243">
        <f t="shared" ref="F7:F8" si="2">D7-E7</f>
        <v>189</v>
      </c>
      <c r="G7" s="243" t="str">
        <f>IFERROR(__xludf.DUMMYFUNCTION("""COMPUTED_VALUE"""),"3 дня")</f>
        <v>3 дня</v>
      </c>
      <c r="H7" s="245" t="str">
        <f>IFERROR(__xludf.DUMMYFUNCTION("""COMPUTED_VALUE"""),"http://fogo.by/index.pl?act=PRODUCT&amp;id=232")</f>
        <v>http://fogo.by/index.pl?act=PRODUCT&amp;id=232</v>
      </c>
    </row>
    <row r="8">
      <c r="A8" s="247" t="str">
        <f>IFERROR(__xludf.DUMMYFUNCTION("""COMPUTED_VALUE"""),"")</f>
        <v/>
      </c>
      <c r="B8" s="249" t="str">
        <f>IFERROR(__xludf.DUMMYFUNCTION("""COMPUTED_VALUE"""),"Устройство AF 3.63")</f>
        <v>Устройство AF 3.63</v>
      </c>
      <c r="C8" s="239" t="str">
        <f>IFERROR(__xludf.DUMMYFUNCTION("""COMPUTED_VALUE"""),"для работы в связке с вводными автоматами на 63 А и генераторами до 14,5 кВт")</f>
        <v>для работы в связке с вводными автоматами на 63 А и генераторами до 14,5 кВт</v>
      </c>
      <c r="D8" s="241">
        <f>IFERROR(__xludf.DUMMYFUNCTION("""COMPUTED_VALUE"""),1470.0)</f>
        <v>1470</v>
      </c>
      <c r="E8" s="241">
        <f>IFERROR(__xludf.DUMMYFUNCTION("""COMPUTED_VALUE"""),1249.5)</f>
        <v>1249.5</v>
      </c>
      <c r="F8" s="243">
        <f t="shared" si="2"/>
        <v>220.5</v>
      </c>
      <c r="G8" s="243" t="str">
        <f>IFERROR(__xludf.DUMMYFUNCTION("""COMPUTED_VALUE"""),"3 дня")</f>
        <v>3 дня</v>
      </c>
      <c r="H8" s="245" t="str">
        <f>IFERROR(__xludf.DUMMYFUNCTION("""COMPUTED_VALUE"""),"http://fogo.by/index.pl?act=PRODUCT&amp;id=232")</f>
        <v>http://fogo.by/index.pl?act=PRODUCT&amp;id=232</v>
      </c>
    </row>
    <row r="9">
      <c r="A9" s="228" t="str">
        <f>IFERROR(__xludf.DUMMYFUNCTION("""COMPUTED_VALUE"""),"")</f>
        <v/>
      </c>
      <c r="B9" s="228" t="str">
        <f>IFERROR(__xludf.DUMMYFUNCTION("""COMPUTED_VALUE"""),"Опции")</f>
        <v>Опции</v>
      </c>
      <c r="C9" s="230" t="str">
        <f>IFERROR(__xludf.DUMMYFUNCTION("""COMPUTED_VALUE"""),"")</f>
        <v/>
      </c>
      <c r="D9" s="232" t="str">
        <f>IFERROR(__xludf.DUMMYFUNCTION("""COMPUTED_VALUE"""),"")</f>
        <v/>
      </c>
      <c r="E9" s="232" t="str">
        <f>IFERROR(__xludf.DUMMYFUNCTION("""COMPUTED_VALUE"""),"")</f>
        <v/>
      </c>
      <c r="F9" s="252"/>
      <c r="G9" s="252" t="str">
        <f>IFERROR(__xludf.DUMMYFUNCTION("""COMPUTED_VALUE"""),"")</f>
        <v/>
      </c>
      <c r="H9" s="236" t="str">
        <f>IFERROR(__xludf.DUMMYFUNCTION("""COMPUTED_VALUE"""),"")</f>
        <v/>
      </c>
    </row>
    <row r="10">
      <c r="A10" s="247" t="str">
        <f>IFERROR(__xludf.DUMMYFUNCTION("""COMPUTED_VALUE"""),"")</f>
        <v/>
      </c>
      <c r="B10" s="249" t="str">
        <f>IFERROR(__xludf.DUMMYFUNCTION("""COMPUTED_VALUE"""),"Доработка генератор модулем управления заслонкой")</f>
        <v>Доработка генератор модулем управления заслонкой</v>
      </c>
      <c r="D10" s="241">
        <f>IFERROR(__xludf.DUMMYFUNCTION("""COMPUTED_VALUE"""),350.0)</f>
        <v>350</v>
      </c>
      <c r="E10" s="241">
        <f>IFERROR(__xludf.DUMMYFUNCTION("""COMPUTED_VALUE"""),297.5)</f>
        <v>297.5</v>
      </c>
      <c r="F10" s="243">
        <f t="shared" ref="F10:F12" si="3">D10-E10</f>
        <v>52.5</v>
      </c>
      <c r="G10" s="243" t="str">
        <f>IFERROR(__xludf.DUMMYFUNCTION("""COMPUTED_VALUE"""),"3 дня")</f>
        <v>3 дня</v>
      </c>
      <c r="H10" s="260" t="str">
        <f>IFERROR(__xludf.DUMMYFUNCTION("""COMPUTED_VALUE"""),"")</f>
        <v/>
      </c>
    </row>
    <row r="11">
      <c r="A11" s="247" t="str">
        <f>IFERROR(__xludf.DUMMYFUNCTION("""COMPUTED_VALUE"""),"")</f>
        <v/>
      </c>
      <c r="B11" s="249" t="str">
        <f>IFERROR(__xludf.DUMMYFUNCTION("""COMPUTED_VALUE"""),"Степень защиты IP 54")</f>
        <v>Степень защиты IP 54</v>
      </c>
      <c r="D11" s="241">
        <f>IFERROR(__xludf.DUMMYFUNCTION("""COMPUTED_VALUE"""),84.0)</f>
        <v>84</v>
      </c>
      <c r="E11" s="241">
        <f>IFERROR(__xludf.DUMMYFUNCTION("""COMPUTED_VALUE"""),71.39999999999999)</f>
        <v>71.4</v>
      </c>
      <c r="F11" s="243">
        <f t="shared" si="3"/>
        <v>12.6</v>
      </c>
      <c r="G11" s="243" t="str">
        <f>IFERROR(__xludf.DUMMYFUNCTION("""COMPUTED_VALUE"""),"3 дня")</f>
        <v>3 дня</v>
      </c>
      <c r="H11" s="260" t="str">
        <f>IFERROR(__xludf.DUMMYFUNCTION("""COMPUTED_VALUE"""),"")</f>
        <v/>
      </c>
    </row>
    <row r="12">
      <c r="A12" s="247" t="str">
        <f>IFERROR(__xludf.DUMMYFUNCTION("""COMPUTED_VALUE"""),"")</f>
        <v/>
      </c>
      <c r="B12" s="262" t="str">
        <f>IFERROR(__xludf.DUMMYFUNCTION("""COMPUTED_VALUE"""),"Модуль GSM дистанционного оповещения")</f>
        <v>Модуль GSM дистанционного оповещения</v>
      </c>
      <c r="D12" s="241">
        <f>IFERROR(__xludf.DUMMYFUNCTION("""COMPUTED_VALUE"""),420.0)</f>
        <v>420</v>
      </c>
      <c r="E12" s="241">
        <f>IFERROR(__xludf.DUMMYFUNCTION("""COMPUTED_VALUE"""),357.0)</f>
        <v>357</v>
      </c>
      <c r="F12" s="243">
        <f t="shared" si="3"/>
        <v>63</v>
      </c>
      <c r="G12" s="243" t="str">
        <f>IFERROR(__xludf.DUMMYFUNCTION("""COMPUTED_VALUE"""),"3 дня")</f>
        <v>3 дня</v>
      </c>
      <c r="H12" s="260" t="str">
        <f>IFERROR(__xludf.DUMMYFUNCTION("""COMPUTED_VALUE"""),"")</f>
        <v/>
      </c>
    </row>
    <row r="13">
      <c r="A13" s="247" t="str">
        <f>IFERROR(__xludf.DUMMYFUNCTION("""COMPUTED_VALUE"""),"")</f>
        <v/>
      </c>
      <c r="B13" s="247" t="str">
        <f>IFERROR(__xludf.DUMMYFUNCTION("""COMPUTED_VALUE"""),"")</f>
        <v/>
      </c>
      <c r="C13" s="264" t="str">
        <f>IFERROR(__xludf.DUMMYFUNCTION("""COMPUTED_VALUE"""),"")</f>
        <v/>
      </c>
      <c r="D13" s="266" t="str">
        <f>IFERROR(__xludf.DUMMYFUNCTION("""COMPUTED_VALUE"""),"")</f>
        <v/>
      </c>
      <c r="E13" s="266" t="str">
        <f>IFERROR(__xludf.DUMMYFUNCTION("""COMPUTED_VALUE"""),"")</f>
        <v/>
      </c>
      <c r="F13" s="266"/>
      <c r="G13" s="266" t="str">
        <f>IFERROR(__xludf.DUMMYFUNCTION("""COMPUTED_VALUE"""),"")</f>
        <v/>
      </c>
      <c r="H13" s="260" t="str">
        <f>IFERROR(__xludf.DUMMYFUNCTION("""COMPUTED_VALUE"""),"")</f>
        <v/>
      </c>
    </row>
    <row r="14">
      <c r="A14" s="247" t="str">
        <f>IFERROR(__xludf.DUMMYFUNCTION("""COMPUTED_VALUE"""),"")</f>
        <v/>
      </c>
      <c r="B14" s="247" t="str">
        <f>IFERROR(__xludf.DUMMYFUNCTION("""COMPUTED_VALUE"""),"")</f>
        <v/>
      </c>
      <c r="C14" s="264" t="str">
        <f>IFERROR(__xludf.DUMMYFUNCTION("""COMPUTED_VALUE"""),"")</f>
        <v/>
      </c>
      <c r="D14" s="266" t="str">
        <f>IFERROR(__xludf.DUMMYFUNCTION("""COMPUTED_VALUE"""),"")</f>
        <v/>
      </c>
      <c r="E14" s="266" t="str">
        <f>IFERROR(__xludf.DUMMYFUNCTION("""COMPUTED_VALUE"""),"")</f>
        <v/>
      </c>
      <c r="F14" s="266"/>
      <c r="G14" s="266" t="str">
        <f>IFERROR(__xludf.DUMMYFUNCTION("""COMPUTED_VALUE"""),"")</f>
        <v/>
      </c>
      <c r="H14" s="260" t="str">
        <f>IFERROR(__xludf.DUMMYFUNCTION("""COMPUTED_VALUE"""),"")</f>
        <v/>
      </c>
    </row>
    <row r="15">
      <c r="A15" s="247" t="str">
        <f>IFERROR(__xludf.DUMMYFUNCTION("""COMPUTED_VALUE"""),"")</f>
        <v/>
      </c>
      <c r="B15" s="247" t="str">
        <f>IFERROR(__xludf.DUMMYFUNCTION("""COMPUTED_VALUE"""),"")</f>
        <v/>
      </c>
      <c r="C15" s="264" t="str">
        <f>IFERROR(__xludf.DUMMYFUNCTION("""COMPUTED_VALUE"""),"")</f>
        <v/>
      </c>
      <c r="D15" s="266" t="str">
        <f>IFERROR(__xludf.DUMMYFUNCTION("""COMPUTED_VALUE"""),"")</f>
        <v/>
      </c>
      <c r="E15" s="266" t="str">
        <f>IFERROR(__xludf.DUMMYFUNCTION("""COMPUTED_VALUE"""),"")</f>
        <v/>
      </c>
      <c r="F15" s="266"/>
      <c r="G15" s="266" t="str">
        <f>IFERROR(__xludf.DUMMYFUNCTION("""COMPUTED_VALUE"""),"")</f>
        <v/>
      </c>
      <c r="H15" s="260" t="str">
        <f>IFERROR(__xludf.DUMMYFUNCTION("""COMPUTED_VALUE"""),"")</f>
        <v/>
      </c>
    </row>
    <row r="16">
      <c r="A16" s="247" t="str">
        <f>IFERROR(__xludf.DUMMYFUNCTION("""COMPUTED_VALUE"""),"")</f>
        <v/>
      </c>
      <c r="B16" s="247" t="str">
        <f>IFERROR(__xludf.DUMMYFUNCTION("""COMPUTED_VALUE"""),"")</f>
        <v/>
      </c>
      <c r="C16" s="264" t="str">
        <f>IFERROR(__xludf.DUMMYFUNCTION("""COMPUTED_VALUE"""),"")</f>
        <v/>
      </c>
      <c r="D16" s="266" t="str">
        <f>IFERROR(__xludf.DUMMYFUNCTION("""COMPUTED_VALUE"""),"")</f>
        <v/>
      </c>
      <c r="E16" s="266" t="str">
        <f>IFERROR(__xludf.DUMMYFUNCTION("""COMPUTED_VALUE"""),"")</f>
        <v/>
      </c>
      <c r="F16" s="266"/>
      <c r="G16" s="266" t="str">
        <f>IFERROR(__xludf.DUMMYFUNCTION("""COMPUTED_VALUE"""),"")</f>
        <v/>
      </c>
      <c r="H16" s="260" t="str">
        <f>IFERROR(__xludf.DUMMYFUNCTION("""COMPUTED_VALUE"""),"")</f>
        <v/>
      </c>
    </row>
    <row r="17">
      <c r="A17" s="247"/>
      <c r="B17" s="247"/>
      <c r="C17" s="264"/>
      <c r="D17" s="266"/>
      <c r="E17" s="266"/>
      <c r="F17" s="266"/>
      <c r="G17" s="266"/>
      <c r="H17" s="260"/>
    </row>
    <row r="18" ht="6.75" customHeight="1">
      <c r="A18" s="268"/>
      <c r="B18" s="268"/>
      <c r="C18" s="264"/>
      <c r="D18" s="266"/>
      <c r="E18" s="266"/>
      <c r="F18" s="266"/>
      <c r="G18" s="266"/>
      <c r="H18" s="260"/>
    </row>
    <row r="19">
      <c r="A19" s="270"/>
      <c r="B19" s="272"/>
      <c r="C19" s="274"/>
      <c r="D19" s="276"/>
      <c r="E19" s="276"/>
      <c r="F19" s="278"/>
      <c r="G19" s="278"/>
      <c r="H19" s="236"/>
    </row>
    <row r="20">
      <c r="A20" s="270"/>
      <c r="B20" s="280"/>
      <c r="C20" s="282"/>
      <c r="D20" s="284"/>
      <c r="E20" s="284"/>
      <c r="F20" s="286"/>
      <c r="G20" s="286"/>
      <c r="H20" s="236"/>
    </row>
    <row r="21">
      <c r="A21" s="288"/>
      <c r="B21" s="290"/>
      <c r="C21" s="264"/>
      <c r="D21" s="266"/>
      <c r="E21" s="266"/>
      <c r="F21" s="266"/>
      <c r="G21" s="266"/>
      <c r="H21" s="260"/>
    </row>
    <row r="22">
      <c r="A22" s="288"/>
      <c r="B22" s="247"/>
      <c r="C22" s="264"/>
      <c r="D22" s="266"/>
      <c r="E22" s="266"/>
      <c r="F22" s="266"/>
      <c r="G22" s="266"/>
      <c r="H22" s="260"/>
    </row>
    <row r="23">
      <c r="A23" s="288"/>
      <c r="B23" s="247"/>
      <c r="C23" s="264"/>
      <c r="D23" s="266"/>
      <c r="E23" s="266"/>
      <c r="F23" s="266"/>
      <c r="G23" s="266"/>
      <c r="H23" s="260"/>
    </row>
    <row r="24">
      <c r="A24" s="247"/>
      <c r="B24" s="247"/>
      <c r="C24" s="264"/>
      <c r="D24" s="266"/>
      <c r="E24" s="266"/>
      <c r="F24" s="266"/>
      <c r="G24" s="266"/>
      <c r="H24" s="260"/>
    </row>
    <row r="25">
      <c r="A25" s="247"/>
      <c r="B25" s="247"/>
      <c r="C25" s="264"/>
      <c r="D25" s="266"/>
      <c r="E25" s="266"/>
      <c r="F25" s="266"/>
      <c r="G25" s="266"/>
      <c r="H25" s="260"/>
    </row>
    <row r="26">
      <c r="A26" s="247"/>
      <c r="B26" s="247"/>
      <c r="C26" s="264"/>
      <c r="D26" s="266"/>
      <c r="E26" s="266"/>
      <c r="F26" s="266"/>
      <c r="G26" s="266"/>
      <c r="H26" s="260"/>
    </row>
    <row r="27">
      <c r="A27" s="247"/>
      <c r="B27" s="247"/>
      <c r="C27" s="264"/>
      <c r="D27" s="266"/>
      <c r="E27" s="266"/>
      <c r="F27" s="266"/>
      <c r="G27" s="266"/>
      <c r="H27" s="260"/>
    </row>
    <row r="28">
      <c r="A28" s="247"/>
      <c r="B28" s="247"/>
      <c r="C28" s="264"/>
      <c r="D28" s="266"/>
      <c r="E28" s="266"/>
      <c r="F28" s="266"/>
      <c r="G28" s="266"/>
      <c r="H28" s="260"/>
    </row>
    <row r="29">
      <c r="A29" s="247"/>
      <c r="B29" s="247"/>
      <c r="C29" s="292"/>
      <c r="D29" s="293"/>
      <c r="E29" s="293"/>
      <c r="F29" s="293"/>
      <c r="G29" s="293"/>
      <c r="H29" s="260"/>
    </row>
    <row r="30">
      <c r="A30" s="247"/>
      <c r="B30" s="247"/>
      <c r="C30" s="292"/>
      <c r="D30" s="293"/>
      <c r="E30" s="293"/>
      <c r="F30" s="293"/>
      <c r="G30" s="293"/>
      <c r="H30" s="260"/>
    </row>
    <row r="31">
      <c r="A31" s="247"/>
      <c r="B31" s="247"/>
      <c r="C31" s="292"/>
      <c r="D31" s="293"/>
      <c r="E31" s="293"/>
      <c r="F31" s="293"/>
      <c r="G31" s="293"/>
      <c r="H31" s="260"/>
    </row>
    <row r="32">
      <c r="A32" s="247"/>
      <c r="B32" s="247"/>
      <c r="C32" s="292"/>
      <c r="D32" s="293"/>
      <c r="E32" s="293"/>
      <c r="F32" s="293"/>
      <c r="G32" s="293"/>
      <c r="H32" s="260"/>
    </row>
    <row r="33">
      <c r="A33" s="247"/>
      <c r="B33" s="247"/>
      <c r="C33" s="292"/>
      <c r="D33" s="293"/>
      <c r="E33" s="293"/>
      <c r="F33" s="293"/>
      <c r="G33" s="293"/>
      <c r="H33" s="260"/>
    </row>
    <row r="34">
      <c r="A34" s="247"/>
      <c r="B34" s="247"/>
      <c r="C34" s="264"/>
      <c r="D34" s="266"/>
      <c r="E34" s="266"/>
      <c r="F34" s="266"/>
      <c r="G34" s="266"/>
      <c r="H34" s="260"/>
    </row>
    <row r="35">
      <c r="A35" s="247"/>
      <c r="B35" s="247"/>
      <c r="C35" s="264"/>
      <c r="D35" s="266"/>
      <c r="E35" s="266"/>
      <c r="F35" s="266"/>
      <c r="G35" s="266"/>
      <c r="H35" s="260"/>
    </row>
    <row r="36">
      <c r="A36" s="247"/>
      <c r="B36" s="247"/>
      <c r="C36" s="264"/>
      <c r="D36" s="266"/>
      <c r="E36" s="266"/>
      <c r="F36" s="266"/>
      <c r="G36" s="266"/>
      <c r="H36" s="260"/>
    </row>
    <row r="37">
      <c r="A37" s="247"/>
      <c r="B37" s="247"/>
      <c r="C37" s="264"/>
      <c r="D37" s="266"/>
      <c r="E37" s="266"/>
      <c r="F37" s="266"/>
      <c r="G37" s="266"/>
      <c r="H37" s="260"/>
    </row>
    <row r="38">
      <c r="A38" s="247"/>
      <c r="B38" s="247"/>
      <c r="C38" s="264"/>
      <c r="D38" s="266"/>
      <c r="E38" s="266"/>
      <c r="F38" s="266"/>
      <c r="G38" s="266"/>
      <c r="H38" s="260"/>
    </row>
    <row r="39" ht="6.0" customHeight="1">
      <c r="A39" s="288"/>
      <c r="B39" s="288"/>
      <c r="C39" s="264"/>
      <c r="D39" s="266"/>
      <c r="E39" s="266"/>
      <c r="F39" s="266"/>
      <c r="G39" s="266"/>
      <c r="H39" s="260"/>
    </row>
    <row r="40">
      <c r="A40" s="270"/>
      <c r="B40" s="272"/>
      <c r="C40" s="274"/>
      <c r="D40" s="276"/>
      <c r="E40" s="276"/>
      <c r="F40" s="278"/>
      <c r="G40" s="278"/>
      <c r="H40" s="236"/>
    </row>
    <row r="41">
      <c r="A41" s="270"/>
      <c r="B41" s="280"/>
      <c r="C41" s="282"/>
      <c r="D41" s="284"/>
      <c r="E41" s="284"/>
      <c r="F41" s="286"/>
      <c r="G41" s="286"/>
      <c r="H41" s="236"/>
    </row>
    <row r="42">
      <c r="A42" s="270"/>
      <c r="B42" s="297"/>
      <c r="C42" s="299"/>
      <c r="D42" s="300"/>
      <c r="E42" s="300"/>
      <c r="F42" s="302"/>
      <c r="G42" s="302"/>
      <c r="H42" s="236"/>
    </row>
    <row r="43">
      <c r="A43" s="270"/>
      <c r="B43" s="304"/>
      <c r="C43" s="306"/>
      <c r="D43" s="308"/>
      <c r="E43" s="308"/>
      <c r="F43" s="286"/>
      <c r="G43" s="286"/>
      <c r="H43" s="236"/>
    </row>
    <row r="44">
      <c r="A44" s="270"/>
      <c r="B44" s="310"/>
      <c r="C44" s="311"/>
      <c r="D44" s="312"/>
      <c r="E44" s="312"/>
      <c r="F44" s="314"/>
      <c r="G44" s="302"/>
      <c r="H44" s="236"/>
    </row>
    <row r="45">
      <c r="A45" s="270"/>
      <c r="B45" s="280"/>
      <c r="C45" s="282"/>
      <c r="D45" s="284"/>
      <c r="E45" s="284"/>
      <c r="F45" s="286"/>
      <c r="G45" s="286"/>
      <c r="H45" s="236"/>
    </row>
    <row r="46">
      <c r="A46" s="247"/>
      <c r="B46" s="290"/>
      <c r="C46" s="292"/>
      <c r="D46" s="293"/>
      <c r="E46" s="293"/>
      <c r="F46" s="293"/>
      <c r="G46" s="293"/>
      <c r="H46" s="260"/>
    </row>
    <row r="47">
      <c r="A47" s="247"/>
      <c r="B47" s="247"/>
      <c r="C47" s="292"/>
      <c r="D47" s="293"/>
      <c r="E47" s="293"/>
      <c r="F47" s="293"/>
      <c r="G47" s="293"/>
      <c r="H47" s="260"/>
    </row>
    <row r="48">
      <c r="A48" s="247"/>
      <c r="B48" s="247"/>
      <c r="C48" s="292"/>
      <c r="D48" s="293"/>
      <c r="E48" s="293"/>
      <c r="F48" s="293"/>
      <c r="G48" s="293"/>
      <c r="H48" s="260"/>
    </row>
    <row r="49">
      <c r="A49" s="247"/>
      <c r="B49" s="247"/>
      <c r="C49" s="292"/>
      <c r="D49" s="293"/>
      <c r="E49" s="293"/>
      <c r="F49" s="293"/>
      <c r="G49" s="293"/>
      <c r="H49" s="260"/>
    </row>
    <row r="50">
      <c r="A50" s="247"/>
      <c r="B50" s="247"/>
      <c r="C50" s="292"/>
      <c r="D50" s="293"/>
      <c r="E50" s="293"/>
      <c r="F50" s="293"/>
      <c r="G50" s="293"/>
      <c r="H50" s="260"/>
    </row>
    <row r="51">
      <c r="A51" s="247"/>
      <c r="B51" s="247"/>
      <c r="C51" s="292"/>
      <c r="D51" s="293"/>
      <c r="E51" s="293"/>
      <c r="F51" s="293"/>
      <c r="G51" s="293"/>
      <c r="H51" s="260"/>
    </row>
    <row r="52">
      <c r="A52" s="247"/>
      <c r="B52" s="247"/>
      <c r="C52" s="292"/>
      <c r="D52" s="293"/>
      <c r="E52" s="293"/>
      <c r="F52" s="293"/>
      <c r="G52" s="293"/>
      <c r="H52" s="260"/>
    </row>
    <row r="53">
      <c r="A53" s="247"/>
      <c r="B53" s="247"/>
      <c r="C53" s="292"/>
      <c r="D53" s="293"/>
      <c r="E53" s="293"/>
      <c r="F53" s="293"/>
      <c r="G53" s="293"/>
      <c r="H53" s="260"/>
    </row>
    <row r="54">
      <c r="A54" s="247"/>
      <c r="B54" s="247"/>
      <c r="C54" s="292"/>
      <c r="D54" s="293"/>
      <c r="E54" s="293"/>
      <c r="F54" s="293"/>
      <c r="G54" s="293"/>
      <c r="H54" s="260"/>
    </row>
    <row r="55">
      <c r="A55" s="247"/>
      <c r="B55" s="247"/>
      <c r="C55" s="292"/>
      <c r="D55" s="293"/>
      <c r="E55" s="293"/>
      <c r="F55" s="293"/>
      <c r="G55" s="293"/>
      <c r="H55" s="260"/>
    </row>
    <row r="56">
      <c r="A56" s="247"/>
      <c r="B56" s="247"/>
      <c r="C56" s="292"/>
      <c r="D56" s="293"/>
      <c r="E56" s="293"/>
      <c r="F56" s="293"/>
      <c r="G56" s="293"/>
      <c r="H56" s="260"/>
    </row>
    <row r="57">
      <c r="A57" s="247"/>
      <c r="B57" s="247"/>
      <c r="C57" s="292"/>
      <c r="D57" s="293"/>
      <c r="E57" s="293"/>
      <c r="F57" s="293"/>
      <c r="G57" s="293"/>
      <c r="H57" s="260"/>
    </row>
    <row r="58">
      <c r="A58" s="247"/>
      <c r="B58" s="247"/>
      <c r="C58" s="292"/>
      <c r="D58" s="293"/>
      <c r="E58" s="293"/>
      <c r="F58" s="293"/>
      <c r="G58" s="293"/>
      <c r="H58" s="260"/>
    </row>
    <row r="59">
      <c r="A59" s="247"/>
      <c r="B59" s="247"/>
      <c r="C59" s="292"/>
      <c r="D59" s="293"/>
      <c r="E59" s="293"/>
      <c r="F59" s="293"/>
      <c r="G59" s="293"/>
      <c r="H59" s="260"/>
    </row>
    <row r="60">
      <c r="A60" s="247"/>
      <c r="B60" s="247"/>
      <c r="C60" s="292"/>
      <c r="D60" s="293"/>
      <c r="E60" s="293"/>
      <c r="F60" s="293"/>
      <c r="G60" s="293"/>
      <c r="H60" s="260"/>
    </row>
    <row r="61" ht="6.0" customHeight="1">
      <c r="A61" s="247"/>
      <c r="B61" s="247"/>
      <c r="C61" s="264"/>
      <c r="D61" s="266"/>
      <c r="E61" s="266"/>
      <c r="F61" s="266"/>
      <c r="G61" s="266"/>
      <c r="H61" s="260"/>
    </row>
    <row r="62">
      <c r="A62" s="247"/>
      <c r="B62" s="247"/>
      <c r="C62" s="292"/>
      <c r="D62" s="293"/>
      <c r="E62" s="293"/>
      <c r="F62" s="293"/>
      <c r="G62" s="293"/>
      <c r="H62" s="260"/>
    </row>
    <row r="63">
      <c r="A63" s="247"/>
      <c r="B63" s="247"/>
      <c r="C63" s="292"/>
      <c r="D63" s="293"/>
      <c r="E63" s="293"/>
      <c r="F63" s="293"/>
      <c r="G63" s="293"/>
      <c r="H63" s="260"/>
    </row>
    <row r="64">
      <c r="A64" s="247"/>
      <c r="B64" s="247"/>
      <c r="C64" s="264"/>
      <c r="D64" s="266"/>
      <c r="E64" s="266"/>
      <c r="F64" s="266"/>
      <c r="G64" s="266"/>
      <c r="H64" s="260"/>
    </row>
    <row r="65">
      <c r="A65" s="317"/>
      <c r="B65" s="318"/>
      <c r="D65" s="320"/>
      <c r="E65" s="320"/>
      <c r="F65" s="321"/>
      <c r="G65" s="321"/>
      <c r="H65" s="236"/>
    </row>
    <row r="66">
      <c r="A66" s="322"/>
      <c r="B66" s="323"/>
      <c r="D66" s="324"/>
      <c r="E66" s="324"/>
      <c r="F66" s="324"/>
      <c r="G66" s="324"/>
      <c r="H66" s="325"/>
    </row>
    <row r="67">
      <c r="A67" s="322"/>
      <c r="B67" s="323"/>
      <c r="D67" s="324"/>
      <c r="E67" s="324"/>
      <c r="F67" s="324"/>
      <c r="G67" s="324"/>
      <c r="H67" s="325"/>
    </row>
    <row r="68">
      <c r="A68" s="322"/>
      <c r="B68" s="323"/>
      <c r="D68" s="324"/>
      <c r="E68" s="324"/>
      <c r="F68" s="324"/>
      <c r="G68" s="324"/>
      <c r="H68" s="325"/>
    </row>
    <row r="69">
      <c r="A69" s="326"/>
      <c r="B69" s="288"/>
      <c r="C69" s="264"/>
      <c r="D69" s="266"/>
      <c r="E69" s="266"/>
      <c r="F69" s="266"/>
      <c r="G69" s="266"/>
      <c r="H69" s="260"/>
    </row>
    <row r="70">
      <c r="A70" s="326"/>
      <c r="B70" s="288"/>
      <c r="C70" s="264"/>
      <c r="D70" s="266"/>
      <c r="E70" s="266"/>
      <c r="F70" s="266"/>
      <c r="G70" s="266"/>
      <c r="H70" s="260"/>
    </row>
    <row r="71">
      <c r="A71" s="326"/>
      <c r="B71" s="288"/>
      <c r="C71" s="264"/>
      <c r="D71" s="266"/>
      <c r="E71" s="266"/>
      <c r="F71" s="266"/>
      <c r="G71" s="266"/>
      <c r="H71" s="260"/>
    </row>
    <row r="72">
      <c r="A72" s="326"/>
      <c r="B72" s="288"/>
      <c r="C72" s="264"/>
      <c r="D72" s="266"/>
      <c r="E72" s="266"/>
      <c r="F72" s="266"/>
      <c r="G72" s="266"/>
      <c r="H72" s="260"/>
    </row>
    <row r="73">
      <c r="A73" s="326"/>
      <c r="B73" s="288"/>
      <c r="C73" s="264"/>
      <c r="D73" s="266"/>
      <c r="E73" s="266"/>
      <c r="F73" s="266"/>
      <c r="G73" s="266"/>
      <c r="H73" s="260"/>
    </row>
    <row r="74">
      <c r="A74" s="326"/>
      <c r="B74" s="288"/>
      <c r="C74" s="264"/>
      <c r="D74" s="266"/>
      <c r="E74" s="266"/>
      <c r="F74" s="266"/>
      <c r="G74" s="266"/>
      <c r="H74" s="260"/>
    </row>
  </sheetData>
  <mergeCells count="7">
    <mergeCell ref="B65:C65"/>
    <mergeCell ref="B66:C66"/>
    <mergeCell ref="B67:C67"/>
    <mergeCell ref="B68:C68"/>
    <mergeCell ref="B10:C10"/>
    <mergeCell ref="B11:C11"/>
    <mergeCell ref="B12:C12"/>
  </mergeCells>
  <hyperlinks>
    <hyperlink r:id="rId2" ref="C1"/>
    <hyperlink r:id="rId3" ref="H4"/>
    <hyperlink r:id="rId4" ref="H5"/>
    <hyperlink r:id="rId5" ref="H7"/>
    <hyperlink r:id="rId6" ref="H8"/>
  </hyperlinks>
  <drawing r:id="rId7"/>
  <legacy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6.43"/>
    <col customWidth="1" min="2" max="2" width="61.29"/>
    <col customWidth="1" min="3" max="3" width="26.71"/>
    <col customWidth="1" min="4" max="4" width="15.14"/>
    <col customWidth="1" min="5" max="5" width="15.0"/>
    <col customWidth="1" hidden="1" min="6" max="6" width="18.29"/>
  </cols>
  <sheetData>
    <row r="1">
      <c r="A1" s="327" t="s">
        <v>41</v>
      </c>
      <c r="B1" s="328"/>
      <c r="C1" s="328"/>
      <c r="D1" s="328"/>
      <c r="E1" s="328"/>
      <c r="F1" s="329"/>
    </row>
    <row r="2" ht="17.25" customHeight="1">
      <c r="A2" s="330"/>
      <c r="B2" s="331" t="s">
        <v>42</v>
      </c>
      <c r="C2" s="332" t="s">
        <v>43</v>
      </c>
      <c r="D2" s="331" t="s">
        <v>44</v>
      </c>
      <c r="E2" s="334" t="s">
        <v>45</v>
      </c>
      <c r="F2" s="329"/>
    </row>
    <row r="3" ht="17.25" customHeight="1">
      <c r="A3" s="336" t="s">
        <v>46</v>
      </c>
      <c r="B3" s="338" t="s">
        <v>47</v>
      </c>
      <c r="C3" s="339" t="s">
        <v>48</v>
      </c>
      <c r="D3" s="341"/>
      <c r="E3" s="343" t="s">
        <v>49</v>
      </c>
      <c r="F3" s="329"/>
    </row>
    <row r="4" ht="8.25" customHeight="1">
      <c r="A4" s="344"/>
      <c r="F4" s="329"/>
    </row>
    <row r="5" ht="26.25" customHeight="1">
      <c r="A5" s="345" t="s">
        <v>50</v>
      </c>
      <c r="B5" s="346" t="s">
        <v>51</v>
      </c>
      <c r="C5" s="347" t="s">
        <v>45</v>
      </c>
      <c r="D5" s="348"/>
      <c r="E5" s="348" t="str">
        <f>IMAGE("http://fogo.by/img/misc/201811281344562.jpg?w=900")</f>
        <v/>
      </c>
      <c r="F5" s="349"/>
    </row>
    <row r="6" ht="29.25" customHeight="1">
      <c r="A6" s="350" t="str">
        <f>'БЕНЗОГЕНЕРАТОРЫ'!A2</f>
        <v>Арт.</v>
      </c>
      <c r="B6" s="350" t="str">
        <f>'БЕНЗОГЕНЕРАТОРЫ'!B2</f>
        <v>Наименование </v>
      </c>
      <c r="C6" s="351" t="str">
        <f>'БЕНЗОГЕНЕРАТОРЫ'!C2</f>
        <v>Мощность номинальная</v>
      </c>
      <c r="D6" s="352" t="str">
        <f>'БЕНЗОГЕНЕРАТОРЫ'!E2</f>
        <v>Розничная цена с НДС, BYN</v>
      </c>
      <c r="E6" s="352" t="str">
        <f>'БЕНЗОГЕНЕРАТОРЫ'!F2</f>
        <v>Дилерская цена с НДС, BYN</v>
      </c>
      <c r="F6" s="353"/>
    </row>
    <row r="7" ht="17.25" customHeight="1">
      <c r="A7" s="354" t="str">
        <f>'БЕНЗОГЕНЕРАТОРЫ'!A3</f>
        <v/>
      </c>
      <c r="B7" s="53" t="str">
        <f>'БЕНЗОГЕНЕРАТОРЫ'!B3</f>
        <v>Однофазный генератор 230V IP23</v>
      </c>
      <c r="C7" s="55" t="str">
        <f>'БЕНЗОГЕНЕРАТОРЫ'!C3</f>
        <v/>
      </c>
      <c r="D7" s="55" t="str">
        <f>'БЕНЗОГЕНЕРАТОРЫ'!E3</f>
        <v/>
      </c>
      <c r="E7" s="55" t="str">
        <f>'БЕНЗОГЕНЕРАТОРЫ'!F3</f>
        <v/>
      </c>
      <c r="F7" s="55"/>
    </row>
    <row r="8" ht="17.25" customHeight="1">
      <c r="A8" s="355" t="str">
        <f>'БЕНЗОГЕНЕРАТОРЫ'!A4</f>
        <v/>
      </c>
      <c r="B8" s="356" t="str">
        <f>'БЕНЗОГЕНЕРАТОРЫ'!B4</f>
        <v>Бензогенератор Firman SPG 5000</v>
      </c>
      <c r="C8" s="357" t="str">
        <f>'БЕНЗОГЕНЕРАТОРЫ'!C4</f>
        <v>4,0 кВт</v>
      </c>
      <c r="D8" s="358">
        <f>'БЕНЗОГЕНЕРАТОРЫ'!E4</f>
        <v>909</v>
      </c>
      <c r="E8" s="359">
        <f>'БЕНЗОГЕНЕРАТОРЫ'!F4</f>
        <v>772.65</v>
      </c>
      <c r="F8" s="329"/>
    </row>
    <row r="9" ht="17.25" customHeight="1">
      <c r="A9" s="355">
        <f>'БЕНЗОГЕНЕРАТОРЫ'!A5</f>
        <v>3460</v>
      </c>
      <c r="B9" s="356" t="str">
        <f>'БЕНЗОГЕНЕРАТОРЫ'!B5</f>
        <v>Бензогенератор FOGO FH 2001</v>
      </c>
      <c r="C9" s="357" t="str">
        <f>'БЕНЗОГЕНЕРАТОРЫ'!C5</f>
        <v>2,3 кВт</v>
      </c>
      <c r="D9" s="358">
        <f>'БЕНЗОГЕНЕРАТОРЫ'!E5</f>
        <v>1242</v>
      </c>
      <c r="E9" s="359">
        <f>'БЕНЗОГЕНЕРАТОРЫ'!F5</f>
        <v>1055.7</v>
      </c>
      <c r="F9" s="329"/>
    </row>
    <row r="10" ht="17.25" customHeight="1">
      <c r="A10" s="355">
        <f>'БЕНЗОГЕНЕРАТОРЫ'!A6</f>
        <v>4537</v>
      </c>
      <c r="B10" s="356" t="str">
        <f>'БЕНЗОГЕНЕРАТОРЫ'!B6</f>
        <v>Бензогенератор FOGO FH 2001 R</v>
      </c>
      <c r="C10" s="357" t="str">
        <f>'БЕНЗОГЕНЕРАТОРЫ'!C6</f>
        <v>2,3 кВт</v>
      </c>
      <c r="D10" s="358">
        <f>'БЕНЗОГЕНЕРАТОРЫ'!E6</f>
        <v>1427</v>
      </c>
      <c r="E10" s="359">
        <f>'БЕНЗОГЕНЕРАТОРЫ'!F6</f>
        <v>1212.95</v>
      </c>
      <c r="F10" s="329"/>
    </row>
    <row r="11" ht="17.25" customHeight="1">
      <c r="A11" s="355">
        <f>'БЕНЗОГЕНЕРАТОРЫ'!A7</f>
        <v>3842</v>
      </c>
      <c r="B11" s="356" t="str">
        <f>'БЕНЗОГЕНЕРАТОРЫ'!B7</f>
        <v>Бензогенератор FOGO F 3001</v>
      </c>
      <c r="C11" s="357" t="str">
        <f>'БЕНЗОГЕНЕРАТОРЫ'!C7</f>
        <v>2,5 кВт</v>
      </c>
      <c r="D11" s="358">
        <f>'БЕНЗОГЕНЕРАТОРЫ'!E7</f>
        <v>912</v>
      </c>
      <c r="E11" s="359">
        <f>'БЕНЗОГЕНЕРАТОРЫ'!F7</f>
        <v>775.2</v>
      </c>
      <c r="F11" s="329"/>
    </row>
    <row r="12" ht="17.25" customHeight="1">
      <c r="A12" s="355">
        <f>'БЕНЗОГЕНЕРАТОРЫ'!A8</f>
        <v>4538</v>
      </c>
      <c r="B12" s="356" t="str">
        <f>'БЕНЗОГЕНЕРАТОРЫ'!B8</f>
        <v>Бензогенератор FOGO F 3001 R </v>
      </c>
      <c r="C12" s="357" t="str">
        <f>'БЕНЗОГЕНЕРАТОРЫ'!C8</f>
        <v>2,5 кВт</v>
      </c>
      <c r="D12" s="358">
        <f>'БЕНЗОГЕНЕРАТОРЫ'!E8</f>
        <v>1096</v>
      </c>
      <c r="E12" s="359">
        <f>'БЕНЗОГЕНЕРАТОРЫ'!F8</f>
        <v>931.6</v>
      </c>
      <c r="F12" s="329"/>
    </row>
    <row r="13" ht="17.25" customHeight="1">
      <c r="A13" s="355" t="str">
        <f>'БЕНЗОГЕНЕРАТОРЫ'!A9</f>
        <v/>
      </c>
      <c r="B13" s="356" t="str">
        <f>'БЕНЗОГЕНЕРАТОРЫ'!B9</f>
        <v>Бензогенератор FOGO F 3001 RE </v>
      </c>
      <c r="C13" s="357" t="str">
        <f>'БЕНЗОГЕНЕРАТОРЫ'!C9</f>
        <v>2,5 кВт</v>
      </c>
      <c r="D13" s="358">
        <f>'БЕНЗОГЕНЕРАТОРЫ'!E9</f>
        <v>1401</v>
      </c>
      <c r="E13" s="359">
        <f>'БЕНЗОГЕНЕРАТОРЫ'!F9</f>
        <v>1190.85</v>
      </c>
      <c r="F13" s="329"/>
    </row>
    <row r="14">
      <c r="A14" s="355">
        <f>'БЕНЗОГЕНЕРАТОРЫ'!A10</f>
        <v>3477</v>
      </c>
      <c r="B14" s="356" t="str">
        <f>'БЕНЗОГЕНЕРАТОРЫ'!B10</f>
        <v>Бензогенератор FOGO FH 3001 </v>
      </c>
      <c r="C14" s="357" t="str">
        <f>'БЕНЗОГЕНЕРАТОРЫ'!C10</f>
        <v>2,7 кВт</v>
      </c>
      <c r="D14" s="358">
        <f>'БЕНЗОГЕНЕРАТОРЫ'!E10</f>
        <v>1413</v>
      </c>
      <c r="E14" s="359">
        <f>'БЕНЗОГЕНЕРАТОРЫ'!F10</f>
        <v>1201.05</v>
      </c>
      <c r="F14" s="360"/>
    </row>
    <row r="15">
      <c r="A15" s="355">
        <f>'БЕНЗОГЕНЕРАТОРЫ'!A11</f>
        <v>2408</v>
      </c>
      <c r="B15" s="356" t="str">
        <f>'БЕНЗОГЕНЕРАТОРЫ'!B11</f>
        <v>Бензогенератор FOGO FH 3001 R </v>
      </c>
      <c r="C15" s="357" t="str">
        <f>'БЕНЗОГЕНЕРАТОРЫ'!C11</f>
        <v>2,7 кВт</v>
      </c>
      <c r="D15" s="358">
        <f>'БЕНЗОГЕНЕРАТОРЫ'!E11</f>
        <v>1623</v>
      </c>
      <c r="E15" s="359">
        <f>'БЕНЗОГЕНЕРАТОРЫ'!F11</f>
        <v>1379.55</v>
      </c>
      <c r="F15" s="360"/>
    </row>
    <row r="16">
      <c r="A16" s="355">
        <f>'БЕНЗОГЕНЕРАТОРЫ'!A12</f>
        <v>4301</v>
      </c>
      <c r="B16" s="356" t="str">
        <f>'БЕНЗОГЕНЕРАТОРЫ'!B12</f>
        <v>Бензогенератор FOGO FP 3001</v>
      </c>
      <c r="C16" s="357" t="str">
        <f>'БЕНЗОГЕНЕРАТОРЫ'!C12</f>
        <v>2,7 кВт</v>
      </c>
      <c r="D16" s="358">
        <f>'БЕНЗОГЕНЕРАТОРЫ'!E12</f>
        <v>1163</v>
      </c>
      <c r="E16" s="359">
        <f>'БЕНЗОГЕНЕРАТОРЫ'!F12</f>
        <v>988.55</v>
      </c>
      <c r="F16" s="360"/>
    </row>
    <row r="17">
      <c r="A17" s="355">
        <f>'БЕНЗОГЕНЕРАТОРЫ'!A13</f>
        <v>4539</v>
      </c>
      <c r="B17" s="356" t="str">
        <f>'БЕНЗОГЕНЕРАТОРЫ'!B13</f>
        <v>Бензогенератор FOGO FP 3001 R</v>
      </c>
      <c r="C17" s="357" t="str">
        <f>'БЕНЗОГЕНЕРАТОРЫ'!C13</f>
        <v>2,7 кВт</v>
      </c>
      <c r="D17" s="358">
        <f>'БЕНЗОГЕНЕРАТОРЫ'!E13</f>
        <v>1343</v>
      </c>
      <c r="E17" s="359">
        <f>'БЕНЗОГЕНЕРАТОРЫ'!F13</f>
        <v>1141.55</v>
      </c>
      <c r="F17" s="360"/>
    </row>
    <row r="18">
      <c r="A18" s="355">
        <f>'БЕНЗОГЕНЕРАТОРЫ'!A14</f>
        <v>4540</v>
      </c>
      <c r="B18" s="356" t="str">
        <f>'БЕНЗОГЕНЕРАТОРЫ'!B14</f>
        <v>Бензогенератор FOGO FH 4001</v>
      </c>
      <c r="C18" s="357" t="str">
        <f>'БЕНЗОГЕНЕРАТОРЫ'!C14</f>
        <v>3,8 кВт</v>
      </c>
      <c r="D18" s="358">
        <f>'БЕНЗОГЕНЕРАТОРЫ'!E14</f>
        <v>2238</v>
      </c>
      <c r="E18" s="359">
        <f>'БЕНЗОГЕНЕРАТОРЫ'!F14</f>
        <v>1902.3</v>
      </c>
      <c r="F18" s="360"/>
    </row>
    <row r="19">
      <c r="A19" s="355" t="str">
        <f>'БЕНЗОГЕНЕРАТОРЫ'!A15</f>
        <v/>
      </c>
      <c r="B19" s="356" t="str">
        <f>'БЕНЗОГЕНЕРАТОРЫ'!B15</f>
        <v>Бензогенератор FOGO FH 4001 E </v>
      </c>
      <c r="C19" s="357" t="str">
        <f>'БЕНЗОГЕНЕРАТОРЫ'!C15</f>
        <v>3,8 кВт</v>
      </c>
      <c r="D19" s="358">
        <f>'БЕНЗОГЕНЕРАТОРЫ'!E15</f>
        <v>2912</v>
      </c>
      <c r="E19" s="359">
        <f>'БЕНЗОГЕНЕРАТОРЫ'!F15</f>
        <v>2475.2</v>
      </c>
      <c r="F19" s="360"/>
    </row>
    <row r="20">
      <c r="A20" s="355">
        <f>'БЕНЗОГЕНЕРАТОРЫ'!A16</f>
        <v>4541</v>
      </c>
      <c r="B20" s="356" t="str">
        <f>'БЕНЗОГЕНЕРАТОРЫ'!B16</f>
        <v>Бензогенератор FOGO FH 4001 R</v>
      </c>
      <c r="C20" s="357" t="str">
        <f>'БЕНЗОГЕНЕРАТОРЫ'!C16</f>
        <v>3,8 кВт</v>
      </c>
      <c r="D20" s="358">
        <f>'БЕНЗОГЕНЕРАТОРЫ'!E16</f>
        <v>2518</v>
      </c>
      <c r="E20" s="359">
        <f>'БЕНЗОГЕНЕРАТОРЫ'!F16</f>
        <v>2140.3</v>
      </c>
      <c r="F20" s="360"/>
    </row>
    <row r="21">
      <c r="A21" s="355">
        <f>'БЕНЗОГЕНЕРАТОРЫ'!A17</f>
        <v>4542</v>
      </c>
      <c r="B21" s="356" t="str">
        <f>'БЕНЗОГЕНЕРАТОРЫ'!B17</f>
        <v>Бензогенератор FOGO FH 4001 RE</v>
      </c>
      <c r="C21" s="357" t="str">
        <f>'БЕНЗОГЕНЕРАТОРЫ'!C17</f>
        <v>3,8 кВт</v>
      </c>
      <c r="D21" s="358">
        <f>'БЕНЗОГЕНЕРАТОРЫ'!E17</f>
        <v>3732</v>
      </c>
      <c r="E21" s="359">
        <f>'БЕНЗОГЕНЕРАТОРЫ'!F17</f>
        <v>3172.2</v>
      </c>
      <c r="F21" s="360"/>
    </row>
    <row r="22">
      <c r="A22" s="355">
        <f>'БЕНЗОГЕНЕРАТОРЫ'!A18</f>
        <v>4424</v>
      </c>
      <c r="B22" s="356" t="str">
        <f>'БЕНЗОГЕНЕРАТОРЫ'!B18</f>
        <v>Бензогенератор FOGO FH 5001</v>
      </c>
      <c r="C22" s="357" t="str">
        <f>'БЕНЗОГЕНЕРАТОРЫ'!C18</f>
        <v>4,5 кВт</v>
      </c>
      <c r="D22" s="358">
        <f>'БЕНЗОГЕНЕРАТОРЫ'!E18</f>
        <v>2376</v>
      </c>
      <c r="E22" s="359">
        <f>'БЕНЗОГЕНЕРАТОРЫ'!F18</f>
        <v>2019.6</v>
      </c>
      <c r="F22" s="329"/>
    </row>
    <row r="23">
      <c r="A23" s="355">
        <f>'БЕНЗОГЕНЕРАТОРЫ'!A19</f>
        <v>2403</v>
      </c>
      <c r="B23" s="356" t="str">
        <f>'БЕНЗОГЕНЕРАТОРЫ'!B19</f>
        <v>Бензогенератор FOGO FH 5001 E </v>
      </c>
      <c r="C23" s="357" t="str">
        <f>'БЕНЗОГЕНЕРАТОРЫ'!C19</f>
        <v>4,5 кВт</v>
      </c>
      <c r="D23" s="358">
        <f>'БЕНЗОГЕНЕРАТОРЫ'!E19</f>
        <v>2970</v>
      </c>
      <c r="E23" s="359">
        <f>'БЕНЗОГЕНЕРАТОРЫ'!F19</f>
        <v>2524.5</v>
      </c>
      <c r="F23" s="329"/>
    </row>
    <row r="24">
      <c r="A24" s="355">
        <f>'БЕНЗОГЕНЕРАТОРЫ'!A20</f>
        <v>2409</v>
      </c>
      <c r="B24" s="356" t="str">
        <f>'БЕНЗОГЕНЕРАТОРЫ'!B20</f>
        <v>Бензогенератор FOGO FH 5001 R </v>
      </c>
      <c r="C24" s="357" t="str">
        <f>'БЕНЗОГЕНЕРАТОРЫ'!C20</f>
        <v>4,5 кВт</v>
      </c>
      <c r="D24" s="358">
        <f>'БЕНЗОГЕНЕРАТОРЫ'!E20</f>
        <v>2711</v>
      </c>
      <c r="E24" s="359">
        <f>'БЕНЗОГЕНЕРАТОРЫ'!F20</f>
        <v>2304.35</v>
      </c>
      <c r="F24" s="329"/>
    </row>
    <row r="25">
      <c r="A25" s="355">
        <f>'БЕНЗОГЕНЕРАТОРЫ'!A21</f>
        <v>2410</v>
      </c>
      <c r="B25" s="356" t="str">
        <f>'БЕНЗОГЕНЕРАТОРЫ'!B21</f>
        <v>Бензогенератор FOGO FH 5001 RE </v>
      </c>
      <c r="C25" s="357" t="str">
        <f>'БЕНЗОГЕНЕРАТОРЫ'!C21</f>
        <v>4,5 кВт</v>
      </c>
      <c r="D25" s="358">
        <f>'БЕНЗОГЕНЕРАТОРЫ'!E21</f>
        <v>4192</v>
      </c>
      <c r="E25" s="359">
        <f>'БЕНЗОГЕНЕРАТОРЫ'!F21</f>
        <v>3563.2</v>
      </c>
      <c r="F25" s="329"/>
    </row>
    <row r="26">
      <c r="A26" s="355">
        <f>'БЕНЗОГЕНЕРАТОРЫ'!A22</f>
        <v>3719</v>
      </c>
      <c r="B26" s="356" t="str">
        <f>'БЕНЗОГЕНЕРАТОРЫ'!B22</f>
        <v>Бензогенератор FOGO FH 6001</v>
      </c>
      <c r="C26" s="357" t="str">
        <f>'БЕНЗОГЕНЕРАТОРЫ'!C22</f>
        <v>5,6 кВт</v>
      </c>
      <c r="D26" s="358">
        <f>'БЕНЗОГЕНЕРАТОРЫ'!E22</f>
        <v>2472</v>
      </c>
      <c r="E26" s="359">
        <f>'БЕНЗОГЕНЕРАТОРЫ'!F22</f>
        <v>2101.2</v>
      </c>
      <c r="F26" s="329"/>
    </row>
    <row r="27">
      <c r="A27" s="355">
        <f>'БЕНЗОГЕНЕРАТОРЫ'!A23</f>
        <v>3867</v>
      </c>
      <c r="B27" s="356" t="str">
        <f>'БЕНЗОГЕНЕРАТОРЫ'!B23</f>
        <v>Бензогенератор FOGO FH 6001 E </v>
      </c>
      <c r="C27" s="357" t="str">
        <f>'БЕНЗОГЕНЕРАТОРЫ'!C23</f>
        <v>5,6 кВт</v>
      </c>
      <c r="D27" s="358">
        <f>'БЕНЗОГЕНЕРАТОРЫ'!E23</f>
        <v>3071</v>
      </c>
      <c r="E27" s="359">
        <f>'БЕНЗОГЕНЕРАТОРЫ'!F23</f>
        <v>2610.35</v>
      </c>
      <c r="F27" s="329"/>
    </row>
    <row r="28">
      <c r="A28" s="355">
        <f>'БЕНЗОГЕНЕРАТОРЫ'!A24</f>
        <v>4543</v>
      </c>
      <c r="B28" s="356" t="str">
        <f>'БЕНЗОГЕНЕРАТОРЫ'!B24</f>
        <v>Бензогенератор FOGO FH 6001 R </v>
      </c>
      <c r="C28" s="357" t="str">
        <f>'БЕНЗОГЕНЕРАТОРЫ'!C24</f>
        <v>5,6 кВт</v>
      </c>
      <c r="D28" s="358">
        <f>'БЕНЗОГЕНЕРАТОРЫ'!E24</f>
        <v>2782</v>
      </c>
      <c r="E28" s="359">
        <f>'БЕНЗОГЕНЕРАТОРЫ'!F24</f>
        <v>2364.7</v>
      </c>
      <c r="F28" s="329"/>
    </row>
    <row r="29">
      <c r="A29" s="355">
        <f>'БЕНЗОГЕНЕРАТОРЫ'!A25</f>
        <v>4544</v>
      </c>
      <c r="B29" s="356" t="str">
        <f>'БЕНЗОГЕНЕРАТОРЫ'!B25</f>
        <v>Бензогенератор FOGO FH 6001 RE</v>
      </c>
      <c r="C29" s="357" t="str">
        <f>'БЕНЗОГЕНЕРАТОРЫ'!C25</f>
        <v>5,6 кВт</v>
      </c>
      <c r="D29" s="358">
        <f>'БЕНЗОГЕНЕРАТОРЫ'!E25</f>
        <v>4263</v>
      </c>
      <c r="E29" s="359">
        <f>'БЕНЗОГЕНЕРАТОРЫ'!F25</f>
        <v>3623.55</v>
      </c>
      <c r="F29" s="329"/>
    </row>
    <row r="30">
      <c r="A30" s="355">
        <f>'БЕНЗОГЕНЕРАТОРЫ'!A26</f>
        <v>3844</v>
      </c>
      <c r="B30" s="356" t="str">
        <f>'БЕНЗОГЕНЕРАТОРЫ'!B26</f>
        <v>Бензогенератор FOGO FH 6001 T</v>
      </c>
      <c r="C30" s="357" t="str">
        <f>'БЕНЗОГЕНЕРАТОРЫ'!C26</f>
        <v>5,6 кВт</v>
      </c>
      <c r="D30" s="358">
        <f>'БЕНЗОГЕНЕРАТОРЫ'!E26</f>
        <v>3192</v>
      </c>
      <c r="E30" s="359">
        <f>'БЕНЗОГЕНЕРАТОРЫ'!F26</f>
        <v>2713.2</v>
      </c>
      <c r="F30" s="329"/>
    </row>
    <row r="31">
      <c r="A31" s="355">
        <f>'БЕНЗОГЕНЕРАТОРЫ'!A27</f>
        <v>4545</v>
      </c>
      <c r="B31" s="356" t="str">
        <f>'БЕНЗОГЕНЕРАТОРЫ'!B27</f>
        <v>Бензогенератор FOGO FH 6001 TE</v>
      </c>
      <c r="C31" s="357" t="str">
        <f>'БЕНЗОГЕНЕРАТОРЫ'!C27</f>
        <v>5,6 кВт</v>
      </c>
      <c r="D31" s="358">
        <f>'БЕНЗОГЕНЕРАТОРЫ'!E27</f>
        <v>3831</v>
      </c>
      <c r="E31" s="359">
        <f>'БЕНЗОГЕНЕРАТОРЫ'!F27</f>
        <v>3256.35</v>
      </c>
      <c r="F31" s="329"/>
    </row>
    <row r="32">
      <c r="A32" s="355">
        <f>'БЕНЗОГЕНЕРАТОРЫ'!A28</f>
        <v>4546</v>
      </c>
      <c r="B32" s="356" t="str">
        <f>'БЕНЗОГЕНЕРАТОРЫ'!B28</f>
        <v>Бензогенератор FOGO FH 6001 RTE </v>
      </c>
      <c r="C32" s="357" t="str">
        <f>'БЕНЗОГЕНЕРАТОРЫ'!C28</f>
        <v>5,6 кВт</v>
      </c>
      <c r="D32" s="358">
        <f>'БЕНЗОГЕНЕРАТОРЫ'!E28</f>
        <v>4729</v>
      </c>
      <c r="E32" s="359">
        <f>'БЕНЗОГЕНЕРАТОРЫ'!F28</f>
        <v>4019.65</v>
      </c>
      <c r="F32" s="329"/>
    </row>
    <row r="33">
      <c r="A33" s="355">
        <f>'БЕНЗОГЕНЕРАТОРЫ'!A29</f>
        <v>4302</v>
      </c>
      <c r="B33" s="356" t="str">
        <f>'БЕНЗОГЕНЕРАТОРЫ'!B29</f>
        <v>Бензогенератор FOGO FV 10001 RTE</v>
      </c>
      <c r="C33" s="357" t="str">
        <f>'БЕНЗОГЕНЕРАТОРЫ'!C29</f>
        <v>8,6 кВт</v>
      </c>
      <c r="D33" s="358">
        <f>'БЕНЗОГЕНЕРАТОРЫ'!E29</f>
        <v>6590</v>
      </c>
      <c r="E33" s="359">
        <f>'БЕНЗОГЕНЕРАТОРЫ'!F29</f>
        <v>5601.5</v>
      </c>
      <c r="F33" s="329"/>
    </row>
    <row r="34">
      <c r="A34" s="355" t="str">
        <f>'БЕНЗОГЕНЕРАТОРЫ'!A30</f>
        <v/>
      </c>
      <c r="B34" s="356" t="str">
        <f>'БЕНЗОГЕНЕРАТОРЫ'!B30</f>
        <v>Бензогенератор FOGO FV 10001 RCEA</v>
      </c>
      <c r="C34" s="357" t="str">
        <f>'БЕНЗОГЕНЕРАТОРЫ'!C30</f>
        <v>8,6 кВт</v>
      </c>
      <c r="D34" s="358">
        <f>'БЕНЗОГЕНЕРАТОРЫ'!E30</f>
        <v>11317</v>
      </c>
      <c r="E34" s="359">
        <f>'БЕНЗОГЕНЕРАТОРЫ'!F30</f>
        <v>9619.45</v>
      </c>
      <c r="F34" s="329"/>
    </row>
    <row r="35">
      <c r="A35" s="355">
        <f>'БЕНЗОГЕНЕРАТОРЫ'!A31</f>
        <v>4303</v>
      </c>
      <c r="B35" s="356" t="str">
        <f>'БЕНЗОГЕНЕРАТОРЫ'!B31</f>
        <v>Бензогенератор FOGO FV 11001 RTE</v>
      </c>
      <c r="C35" s="357" t="str">
        <f>'БЕНЗОГЕНЕРАТОРЫ'!C31</f>
        <v>9,9 кВт</v>
      </c>
      <c r="D35" s="358">
        <f>'БЕНЗОГЕНЕРАТОРЫ'!E31</f>
        <v>7022</v>
      </c>
      <c r="E35" s="359">
        <f>'БЕНЗОГЕНЕРАТОРЫ'!F31</f>
        <v>5968.7</v>
      </c>
      <c r="F35" s="329"/>
    </row>
    <row r="36">
      <c r="A36" s="355" t="str">
        <f>'БЕНЗОГЕНЕРАТОРЫ'!A32</f>
        <v/>
      </c>
      <c r="B36" s="356" t="str">
        <f>'БЕНЗОГЕНЕРАТОРЫ'!B32</f>
        <v>Бензогенератор FOGO FV 11001 RCEA</v>
      </c>
      <c r="C36" s="357" t="str">
        <f>'БЕНЗОГЕНЕРАТОРЫ'!C32</f>
        <v>9,9 кВт</v>
      </c>
      <c r="D36" s="358">
        <f>'БЕНЗОГЕНЕРАТОРЫ'!E32</f>
        <v>11427</v>
      </c>
      <c r="E36" s="359">
        <f>'БЕНЗОГЕНЕРАТОРЫ'!F32</f>
        <v>9712.95</v>
      </c>
      <c r="F36" s="329"/>
    </row>
    <row r="37">
      <c r="A37" s="355">
        <f>'БЕНЗОГЕНЕРАТОРЫ'!A33</f>
        <v>4068</v>
      </c>
      <c r="B37" s="356" t="str">
        <f>'БЕНЗОГЕНЕРАТОРЫ'!B33</f>
        <v>Бензогенератор FOGO FV 17001 RTE</v>
      </c>
      <c r="C37" s="357" t="str">
        <f>'БЕНЗОГЕНЕРАТОРЫ'!C33</f>
        <v>14,9 кВт</v>
      </c>
      <c r="D37" s="358">
        <f>'БЕНЗОГЕНЕРАТОРЫ'!E33</f>
        <v>10320</v>
      </c>
      <c r="E37" s="359">
        <f>'БЕНЗОГЕНЕРАТОРЫ'!F33</f>
        <v>8772</v>
      </c>
      <c r="F37" s="329"/>
    </row>
    <row r="38">
      <c r="A38" s="355" t="str">
        <f>'БЕНЗОГЕНЕРАТОРЫ'!A34</f>
        <v/>
      </c>
      <c r="B38" s="356" t="str">
        <f>'БЕНЗОГЕНЕРАТОРЫ'!B34</f>
        <v>Бензогенератор FOGO FV 17001 RCEA</v>
      </c>
      <c r="C38" s="357" t="str">
        <f>'БЕНЗОГЕНЕРАТОРЫ'!C34</f>
        <v>14,9 кВт</v>
      </c>
      <c r="D38" s="358">
        <f>'БЕНЗОГЕНЕРАТОРЫ'!E34</f>
        <v>14596</v>
      </c>
      <c r="E38" s="359">
        <f>'БЕНЗОГЕНЕРАТОРЫ'!F34</f>
        <v>12406.6</v>
      </c>
      <c r="F38" s="329"/>
    </row>
    <row r="39" ht="17.25" customHeight="1">
      <c r="A39" s="354" t="str">
        <f>'БЕНЗОГЕНЕРАТОРЫ'!A35</f>
        <v/>
      </c>
      <c r="B39" s="53" t="str">
        <f>'БЕНЗОГЕНЕРАТОРЫ'!B35</f>
        <v>Трехфазный генератор 400V IP23</v>
      </c>
      <c r="C39" s="55" t="str">
        <f>'БЕНЗОГЕНЕРАТОРЫ'!C35</f>
        <v/>
      </c>
      <c r="D39" s="364" t="str">
        <f>'БЕНЗОГЕНЕРАТОРЫ'!E35</f>
        <v/>
      </c>
      <c r="E39" s="55" t="str">
        <f>'БЕНЗОГЕНЕРАТОРЫ'!F35</f>
        <v/>
      </c>
      <c r="F39" s="55"/>
    </row>
    <row r="40">
      <c r="A40" s="355" t="str">
        <f>'БЕНЗОГЕНЕРАТОРЫ'!A36</f>
        <v/>
      </c>
      <c r="B40" s="356" t="str">
        <f>'БЕНЗОГЕНЕРАТОРЫ'!B36</f>
        <v>Бензогенератор Firman SPG 8500T</v>
      </c>
      <c r="C40" s="357" t="str">
        <f>'БЕНЗОГЕНЕРАТОРЫ'!C36</f>
        <v>6,0 / 3,0 кВт</v>
      </c>
      <c r="D40" s="358">
        <f>'БЕНЗОГЕНЕРАТОРЫ'!E36</f>
        <v>1130</v>
      </c>
      <c r="E40" s="359">
        <f>'БЕНЗОГЕНЕРАТОРЫ'!F36</f>
        <v>960.5</v>
      </c>
      <c r="F40" s="329"/>
    </row>
    <row r="41">
      <c r="A41" s="355" t="str">
        <f>'БЕНЗОГЕНЕРАТОРЫ'!A37</f>
        <v/>
      </c>
      <c r="B41" s="356" t="str">
        <f>'БЕНЗОГЕНЕРАТОРЫ'!B37</f>
        <v>Бензогенератор Firman SPG 8500T эл/старт</v>
      </c>
      <c r="C41" s="357" t="str">
        <f>'БЕНЗОГЕНЕРАТОРЫ'!C37</f>
        <v>6,0 / 3,0 кВт</v>
      </c>
      <c r="D41" s="358">
        <f>'БЕНЗОГЕНЕРАТОРЫ'!E37</f>
        <v>1582</v>
      </c>
      <c r="E41" s="359">
        <f>'БЕНЗОГЕНЕРАТОРЫ'!F37</f>
        <v>1344.7</v>
      </c>
      <c r="F41" s="329"/>
    </row>
    <row r="42">
      <c r="A42" s="355">
        <f>'БЕНЗОГЕНЕРАТОРЫ'!A38</f>
        <v>2602</v>
      </c>
      <c r="B42" s="356" t="str">
        <f>'БЕНЗОГЕНЕРАТОРЫ'!B38</f>
        <v>Бензогенератор FOGO FH 5000 A - для ж/д</v>
      </c>
      <c r="C42" s="357" t="str">
        <f>'БЕНЗОГЕНЕРАТОРЫ'!C38</f>
        <v>4,5 / 4,0 кВт</v>
      </c>
      <c r="D42" s="358">
        <f>'БЕНЗОГЕНЕРАТОРЫ'!E38</f>
        <v>2682</v>
      </c>
      <c r="E42" s="359">
        <f>'БЕНЗОГЕНЕРАТОРЫ'!F38</f>
        <v>2279.7</v>
      </c>
      <c r="F42" s="329"/>
    </row>
    <row r="43">
      <c r="A43" s="355">
        <f>'БЕНЗОГЕНЕРАТОРЫ'!A39</f>
        <v>1975</v>
      </c>
      <c r="B43" s="356" t="str">
        <f>'БЕНЗОГЕНЕРАТОРЫ'!B39</f>
        <v>Бензогенератор FOGO FH 5000</v>
      </c>
      <c r="C43" s="357" t="str">
        <f>'БЕНЗОГЕНЕРАТОРЫ'!C39</f>
        <v>4,5 / 4,0 кВт</v>
      </c>
      <c r="D43" s="358">
        <f>'БЕНЗОГЕНЕРАТОРЫ'!E39</f>
        <v>2757</v>
      </c>
      <c r="E43" s="359">
        <f>'БЕНЗОГЕНЕРАТОРЫ'!F39</f>
        <v>2343.45</v>
      </c>
      <c r="F43" s="329"/>
    </row>
    <row r="44">
      <c r="A44" s="355">
        <f>'БЕНЗОГЕНЕРАТОРЫ'!A40</f>
        <v>2406</v>
      </c>
      <c r="B44" s="356" t="str">
        <f>'БЕНЗОГЕНЕРАТОРЫ'!B40</f>
        <v>Бензогенератор FOGO FH 5000 E </v>
      </c>
      <c r="C44" s="357" t="str">
        <f>'БЕНЗОГЕНЕРАТОРЫ'!C40</f>
        <v>4,5 / 4,0 кВт</v>
      </c>
      <c r="D44" s="358">
        <f>'БЕНЗОГЕНЕРАТОРЫ'!E40</f>
        <v>3125</v>
      </c>
      <c r="E44" s="359">
        <f>'БЕНЗОГЕНЕРАТОРЫ'!F40</f>
        <v>2656.25</v>
      </c>
      <c r="F44" s="329"/>
    </row>
    <row r="45">
      <c r="A45" s="355" t="str">
        <f>'БЕНЗОГЕНЕРАТОРЫ'!A41</f>
        <v/>
      </c>
      <c r="B45" s="356" t="str">
        <f>'БЕНЗОГЕНЕРАТОРЫ'!B41</f>
        <v>Бензогенератор FOGO FH 5000 R</v>
      </c>
      <c r="C45" s="357" t="str">
        <f>'БЕНЗОГЕНЕРАТОРЫ'!C41</f>
        <v>4,5 / 4,0 кВт</v>
      </c>
      <c r="D45" s="358">
        <f>'БЕНЗОГЕНЕРАТОРЫ'!E41</f>
        <v>3104</v>
      </c>
      <c r="E45" s="359">
        <f>'БЕНЗОГЕНЕРАТОРЫ'!F41</f>
        <v>2638.4</v>
      </c>
      <c r="F45" s="329"/>
    </row>
    <row r="46">
      <c r="A46" s="355" t="str">
        <f>'БЕНЗОГЕНЕРАТОРЫ'!A42</f>
        <v/>
      </c>
      <c r="B46" s="356" t="str">
        <f>'БЕНЗОГЕНЕРАТОРЫ'!B42</f>
        <v>Бензогенератор FOGO FH 5000 RE</v>
      </c>
      <c r="C46" s="357" t="str">
        <f>'БЕНЗОГЕНЕРАТОРЫ'!C42</f>
        <v>4,5 / 4,0 кВт</v>
      </c>
      <c r="D46" s="358">
        <f>'БЕНЗОГЕНЕРАТОРЫ'!E42</f>
        <v>4284</v>
      </c>
      <c r="E46" s="359">
        <f>'БЕНЗОГЕНЕРАТОРЫ'!F42</f>
        <v>3641.4</v>
      </c>
      <c r="F46" s="329"/>
    </row>
    <row r="47">
      <c r="A47" s="355">
        <f>'БЕНЗОГЕНЕРАТОРЫ'!A43</f>
        <v>4155</v>
      </c>
      <c r="B47" s="356" t="str">
        <f>'БЕНЗОГЕНЕРАТОРЫ'!B43</f>
        <v>Бензогенератор FOGO FH 8000</v>
      </c>
      <c r="C47" s="357" t="str">
        <f>'БЕНЗОГЕНЕРАТОРЫ'!C43</f>
        <v>5,6 / 4,0 кВт</v>
      </c>
      <c r="D47" s="358">
        <f>'БЕНЗОГЕНЕРАТОРЫ'!E43</f>
        <v>3025</v>
      </c>
      <c r="E47" s="359">
        <f>'БЕНЗОГЕНЕРАТОРЫ'!F43</f>
        <v>2571.25</v>
      </c>
      <c r="F47" s="329"/>
    </row>
    <row r="48">
      <c r="A48" s="355">
        <f>'БЕНЗОГЕНЕРАТОРЫ'!A44</f>
        <v>2367</v>
      </c>
      <c r="B48" s="356" t="str">
        <f>'БЕНЗОГЕНЕРАТОРЫ'!B44</f>
        <v>Бензогенератор FOGO FH 8000 E</v>
      </c>
      <c r="C48" s="357" t="str">
        <f>'БЕНЗОГЕНЕРАТОРЫ'!C44</f>
        <v>5,6 / 4,0 кВт</v>
      </c>
      <c r="D48" s="358">
        <f>'БЕНЗОГЕНЕРАТОРЫ'!E44</f>
        <v>3443</v>
      </c>
      <c r="E48" s="359">
        <f>'БЕНЗОГЕНЕРАТОРЫ'!F44</f>
        <v>2926.55</v>
      </c>
      <c r="F48" s="329"/>
    </row>
    <row r="49">
      <c r="A49" s="355" t="str">
        <f>'БЕНЗОГЕНЕРАТОРЫ'!A45</f>
        <v/>
      </c>
      <c r="B49" s="356" t="str">
        <f>'БЕНЗОГЕНЕРАТОРЫ'!B45</f>
        <v>Бензогенератор FOGO FH 8000 T</v>
      </c>
      <c r="C49" s="357" t="str">
        <f>'БЕНЗОГЕНЕРАТОРЫ'!C45</f>
        <v>5,6 / 4,0 кВт</v>
      </c>
      <c r="D49" s="358">
        <f>'БЕНЗОГЕНЕРАТОРЫ'!E45</f>
        <v>3702</v>
      </c>
      <c r="E49" s="359">
        <f>'БЕНЗОГЕНЕРАТОРЫ'!F45</f>
        <v>3146.7</v>
      </c>
      <c r="F49" s="329"/>
    </row>
    <row r="50">
      <c r="A50" s="355" t="str">
        <f>'БЕНЗОГЕНЕРАТОРЫ'!A46</f>
        <v/>
      </c>
      <c r="B50" s="356" t="str">
        <f>'БЕНЗОГЕНЕРАТОРЫ'!B46</f>
        <v>Бензогенератор FOGO FH 8000 R</v>
      </c>
      <c r="C50" s="357" t="str">
        <f>'БЕНЗОГЕНЕРАТОРЫ'!C46</f>
        <v>5,6 / 4,0 кВт</v>
      </c>
      <c r="D50" s="358">
        <f>'БЕНЗОГЕНЕРАТОРЫ'!E46</f>
        <v>3401</v>
      </c>
      <c r="E50" s="359">
        <f>'БЕНЗОГЕНЕРАТОРЫ'!F46</f>
        <v>2890.85</v>
      </c>
      <c r="F50" s="329"/>
    </row>
    <row r="51">
      <c r="A51" s="355" t="str">
        <f>'БЕНЗОГЕНЕРАТОРЫ'!A47</f>
        <v/>
      </c>
      <c r="B51" s="356" t="str">
        <f>'БЕНЗОГЕНЕРАТОРЫ'!B47</f>
        <v>Бензогенератор FOGO FH 8000 RT</v>
      </c>
      <c r="C51" s="357" t="str">
        <f>'БЕНЗОГЕНЕРАТОРЫ'!C47</f>
        <v>5,6 / 4,0 кВт</v>
      </c>
      <c r="D51" s="358">
        <f>'БЕНЗОГЕНЕРАТОРЫ'!E47</f>
        <v>4196</v>
      </c>
      <c r="E51" s="359">
        <f>'БЕНЗОГЕНЕРАТОРЫ'!F47</f>
        <v>3566.6</v>
      </c>
      <c r="F51" s="329"/>
    </row>
    <row r="52">
      <c r="A52" s="355" t="str">
        <f>'БЕНЗОГЕНЕРАТОРЫ'!A48</f>
        <v/>
      </c>
      <c r="B52" s="356" t="str">
        <f>'БЕНЗОГЕНЕРАТОРЫ'!B48</f>
        <v>Бензогенератор FOGO FH 8000 RE</v>
      </c>
      <c r="C52" s="357" t="str">
        <f>'БЕНЗОГЕНЕРАТОРЫ'!C48</f>
        <v>5,6 / 4,0 кВт</v>
      </c>
      <c r="D52" s="358">
        <f>'БЕНЗОГЕНЕРАТОРЫ'!E48</f>
        <v>4936</v>
      </c>
      <c r="E52" s="359">
        <f>'БЕНЗОГЕНЕРАТОРЫ'!F48</f>
        <v>4195.6</v>
      </c>
      <c r="F52" s="329"/>
    </row>
    <row r="53">
      <c r="A53" s="355" t="str">
        <f>'БЕНЗОГЕНЕРАТОРЫ'!A49</f>
        <v/>
      </c>
      <c r="B53" s="356" t="str">
        <f>'БЕНЗОГЕНЕРАТОРЫ'!B49</f>
        <v>Бензогенератор FOGO FH 8000 RTE</v>
      </c>
      <c r="C53" s="357" t="str">
        <f>'БЕНЗОГЕНЕРАТОРЫ'!C49</f>
        <v>5,6 / 4,0 кВт</v>
      </c>
      <c r="D53" s="358">
        <f>'БЕНЗОГЕНЕРАТОРЫ'!E49</f>
        <v>5330</v>
      </c>
      <c r="E53" s="359">
        <f>'БЕНЗОГЕНЕРАТОРЫ'!F49</f>
        <v>4530.5</v>
      </c>
      <c r="F53" s="329"/>
    </row>
    <row r="54">
      <c r="A54" s="355" t="str">
        <f>'БЕНЗОГЕНЕРАТОРЫ'!A50</f>
        <v/>
      </c>
      <c r="B54" s="356" t="str">
        <f>'БЕНЗОГЕНЕРАТОРЫ'!B50</f>
        <v>Бензогенератор FOGO FH 8000 RTEA</v>
      </c>
      <c r="C54" s="357" t="str">
        <f>'БЕНЗОГЕНЕРАТОРЫ'!C50</f>
        <v>5,6 / 4,0 кВт</v>
      </c>
      <c r="D54" s="358">
        <f>'БЕНЗОГЕНЕРАТОРЫ'!E50</f>
        <v>5468</v>
      </c>
      <c r="E54" s="359">
        <f>'БЕНЗОГЕНЕРАТОРЫ'!F50</f>
        <v>4647.8</v>
      </c>
      <c r="F54" s="329"/>
    </row>
    <row r="55">
      <c r="A55" s="355" t="str">
        <f>'БЕНЗОГЕНЕРАТОРЫ'!A51</f>
        <v/>
      </c>
      <c r="B55" s="356" t="str">
        <f>'БЕНЗОГЕНЕРАТОРЫ'!B51</f>
        <v>Бензогенератор FOGO FH 8000 RCE</v>
      </c>
      <c r="C55" s="357" t="str">
        <f>'БЕНЗОГЕНЕРАТОРЫ'!C51</f>
        <v>5,6 / 4,0 кВт</v>
      </c>
      <c r="D55" s="358">
        <f>'БЕНЗОГЕНЕРАТОРЫ'!E51</f>
        <v>10027</v>
      </c>
      <c r="E55" s="359">
        <f>'БЕНЗОГЕНЕРАТОРЫ'!F51</f>
        <v>8522.95</v>
      </c>
      <c r="F55" s="329"/>
    </row>
    <row r="56">
      <c r="A56" s="355" t="str">
        <f>'БЕНЗОГЕНЕРАТОРЫ'!A52</f>
        <v/>
      </c>
      <c r="B56" s="356" t="str">
        <f>'БЕНЗОГЕНЕРАТОРЫ'!B52</f>
        <v>Бензогенератор FOGO FH 8000 RCEA</v>
      </c>
      <c r="C56" s="357" t="str">
        <f>'БЕНЗОГЕНЕРАТОРЫ'!C52</f>
        <v>5,6 / 4,0 кВт</v>
      </c>
      <c r="D56" s="358">
        <f>'БЕНЗОГЕНЕРАТОРЫ'!E52</f>
        <v>10697</v>
      </c>
      <c r="E56" s="359">
        <f>'БЕНЗОГЕНЕРАТОРЫ'!F52</f>
        <v>9092.45</v>
      </c>
      <c r="F56" s="329"/>
    </row>
    <row r="57">
      <c r="A57" s="355">
        <f>'БЕНЗОГЕНЕРАТОРЫ'!A53</f>
        <v>2604</v>
      </c>
      <c r="B57" s="356" t="str">
        <f>'БЕНЗОГЕНЕРАТОРЫ'!B53</f>
        <v>Бензогенератор FOGO FH 7000 T</v>
      </c>
      <c r="C57" s="357" t="str">
        <f>'БЕНЗОГЕНЕРАТОРЫ'!C53</f>
        <v>5,6 / 4,0 кВт</v>
      </c>
      <c r="D57" s="358">
        <f>'БЕНЗОГЕНЕРАТОРЫ'!E53</f>
        <v>3308</v>
      </c>
      <c r="E57" s="359">
        <f>'БЕНЗОГЕНЕРАТОРЫ'!F53</f>
        <v>2811.8</v>
      </c>
      <c r="F57" s="329"/>
    </row>
    <row r="58">
      <c r="A58" s="355">
        <f>'БЕНЗОГЕНЕРАТОРЫ'!A54</f>
        <v>4547</v>
      </c>
      <c r="B58" s="356" t="str">
        <f>'БЕНЗОГЕНЕРАТОРЫ'!B54</f>
        <v>Бензогенератор FOGO FH 7000 TE </v>
      </c>
      <c r="C58" s="357" t="str">
        <f>'БЕНЗОГЕНЕРАТОРЫ'!C54</f>
        <v>5,6 / 4,0 кВт</v>
      </c>
      <c r="D58" s="358">
        <f>'БЕНЗОГЕНЕРАТОРЫ'!E54</f>
        <v>3734</v>
      </c>
      <c r="E58" s="359">
        <f>'БЕНЗОГЕНЕРАТОРЫ'!F54</f>
        <v>3173.9</v>
      </c>
      <c r="F58" s="329"/>
    </row>
    <row r="59">
      <c r="A59" s="355">
        <f>'БЕНЗОГЕНЕРАТОРЫ'!A55</f>
        <v>3717</v>
      </c>
      <c r="B59" s="356" t="str">
        <f>'БЕНЗОГЕНЕРАТОРЫ'!B55</f>
        <v>Бензогенератор FOGO FH 9000</v>
      </c>
      <c r="C59" s="357" t="str">
        <f>'БЕНЗОГЕНЕРАТОРЫ'!C55</f>
        <v>6,2 / 5,6 кВт</v>
      </c>
      <c r="D59" s="358">
        <f>'БЕНЗОГЕНЕРАТОРЫ'!E55</f>
        <v>3284</v>
      </c>
      <c r="E59" s="359">
        <f>'БЕНЗОГЕНЕРАТОРЫ'!F55</f>
        <v>2791.4</v>
      </c>
      <c r="F59" s="329"/>
    </row>
    <row r="60">
      <c r="A60" s="355">
        <f>'БЕНЗОГЕНЕРАТОРЫ'!A56</f>
        <v>4548</v>
      </c>
      <c r="B60" s="356" t="str">
        <f>'БЕНЗОГЕНЕРАТОРЫ'!B56</f>
        <v>Бензогенератор FOGO FH 9000 E </v>
      </c>
      <c r="C60" s="357" t="str">
        <f>'БЕНЗОГЕНЕРАТОРЫ'!C56</f>
        <v>6,2 / 5,6 кВт</v>
      </c>
      <c r="D60" s="358">
        <f>'БЕНЗОГЕНЕРАТОРЫ'!E56</f>
        <v>3941</v>
      </c>
      <c r="E60" s="359">
        <f>'БЕНЗОГЕНЕРАТОРЫ'!F56</f>
        <v>3349.85</v>
      </c>
      <c r="F60" s="329"/>
    </row>
    <row r="61">
      <c r="A61" s="355">
        <f>'БЕНЗОГЕНЕРАТОРЫ'!A57</f>
        <v>4549</v>
      </c>
      <c r="B61" s="356" t="str">
        <f>'БЕНЗОГЕНЕРАТОРЫ'!B57</f>
        <v>Бензогенератор FOGO FH 9000 R</v>
      </c>
      <c r="C61" s="357" t="str">
        <f>'БЕНЗОГЕНЕРАТОРЫ'!C57</f>
        <v>6,2 / 5,6 кВт</v>
      </c>
      <c r="D61" s="358">
        <f>'БЕНЗОГЕНЕРАТОРЫ'!E57</f>
        <v>3706</v>
      </c>
      <c r="E61" s="359">
        <f>'БЕНЗОГЕНЕРАТОРЫ'!F57</f>
        <v>3150.1</v>
      </c>
      <c r="F61" s="329"/>
    </row>
    <row r="62">
      <c r="A62" s="355">
        <f>'БЕНЗОГЕНЕРАТОРЫ'!A58</f>
        <v>4550</v>
      </c>
      <c r="B62" s="356" t="str">
        <f>'БЕНЗОГЕНЕРАТОРЫ'!B58</f>
        <v>Бензогенератор FOGO FH 9000 RE</v>
      </c>
      <c r="C62" s="357" t="str">
        <f>'БЕНЗОГЕНЕРАТОРЫ'!C58</f>
        <v>6,2 / 5,6 кВт</v>
      </c>
      <c r="D62" s="358">
        <f>'БЕНЗОГЕНЕРАТОРЫ'!E58</f>
        <v>5304</v>
      </c>
      <c r="E62" s="359">
        <f>'БЕНЗОГЕНЕРАТОРЫ'!F58</f>
        <v>4508.4</v>
      </c>
      <c r="F62" s="329"/>
    </row>
    <row r="63">
      <c r="A63" s="355">
        <f>'БЕНЗОГЕНЕРАТОРЫ'!A59</f>
        <v>2702</v>
      </c>
      <c r="B63" s="356" t="str">
        <f>'БЕНЗОГЕНЕРАТОРЫ'!B59</f>
        <v>Бензогенератор FOGO FV 11000</v>
      </c>
      <c r="C63" s="357" t="str">
        <f>'БЕНЗОГЕНЕРАТОРЫ'!C59</f>
        <v>7,6 / 5,6 кВт</v>
      </c>
      <c r="D63" s="358">
        <f>'БЕНЗОГЕНЕРАТОРЫ'!E59</f>
        <v>5781</v>
      </c>
      <c r="E63" s="359">
        <f>'БЕНЗОГЕНЕРАТОРЫ'!F59</f>
        <v>4913.85</v>
      </c>
      <c r="F63" s="329"/>
    </row>
    <row r="64">
      <c r="A64" s="355" t="str">
        <f>'БЕНЗОГЕНЕРАТОРЫ'!A60</f>
        <v/>
      </c>
      <c r="B64" s="356" t="str">
        <f>'БЕНЗОГЕНЕРАТОРЫ'!B60</f>
        <v>Бензогенератор FOGO FV 11000 R</v>
      </c>
      <c r="C64" s="357" t="str">
        <f>'БЕНЗОГЕНЕРАТОРЫ'!C60</f>
        <v>7,6 / 5,6 кВт</v>
      </c>
      <c r="D64" s="358">
        <f>'БЕНЗОГЕНЕРАТОРЫ'!E60</f>
        <v>6101</v>
      </c>
      <c r="E64" s="359">
        <f>'БЕНЗОГЕНЕРАТОРЫ'!F60</f>
        <v>5185.85</v>
      </c>
      <c r="F64" s="329"/>
    </row>
    <row r="65">
      <c r="A65" s="355">
        <f>'БЕНЗОГЕНЕРАТОРЫ'!A61</f>
        <v>4293</v>
      </c>
      <c r="B65" s="356" t="str">
        <f>'БЕНЗОГЕНЕРАТОРЫ'!B61</f>
        <v>Бензогенератор FOGO FV 13000 RTE</v>
      </c>
      <c r="C65" s="357" t="str">
        <f>'БЕНЗОГЕНЕРАТОРЫ'!C61</f>
        <v>9,1 / 5,4 кВт</v>
      </c>
      <c r="D65" s="358">
        <f>'БЕНЗОГЕНЕРАТОРЫ'!E61</f>
        <v>6898</v>
      </c>
      <c r="E65" s="359">
        <f>'БЕНЗОГЕНЕРАТОРЫ'!F61</f>
        <v>5863.3</v>
      </c>
      <c r="F65" s="329"/>
    </row>
    <row r="66">
      <c r="A66" s="355" t="str">
        <f>'БЕНЗОГЕНЕРАТОРЫ'!A62</f>
        <v/>
      </c>
      <c r="B66" s="356" t="str">
        <f>'БЕНЗОГЕНЕРАТОРЫ'!B62</f>
        <v>Бензогенератор FOGO FV 13000 RTEA</v>
      </c>
      <c r="C66" s="357" t="str">
        <f>'БЕНЗОГЕНЕРАТОРЫ'!C62</f>
        <v>9,1 / 5,4 кВт</v>
      </c>
      <c r="D66" s="358">
        <f>'БЕНЗОГЕНЕРАТОРЫ'!E62</f>
        <v>7049</v>
      </c>
      <c r="E66" s="359">
        <f>'БЕНЗОГЕНЕРАТОРЫ'!F62</f>
        <v>5991.65</v>
      </c>
      <c r="F66" s="329"/>
    </row>
    <row r="67">
      <c r="A67" s="355" t="str">
        <f>'БЕНЗОГЕНЕРАТОРЫ'!A63</f>
        <v/>
      </c>
      <c r="B67" s="356" t="str">
        <f>'БЕНЗОГЕНЕРАТОРЫ'!B63</f>
        <v>Бензогенератор FOGO FV 13000 RCEA</v>
      </c>
      <c r="C67" s="357" t="str">
        <f>'БЕНЗОГЕНЕРАТОРЫ'!C63</f>
        <v>9,1 / 5,4 кВт</v>
      </c>
      <c r="D67" s="358">
        <f>'БЕНЗОГЕНЕРАТОРЫ'!E63</f>
        <v>11508</v>
      </c>
      <c r="E67" s="359">
        <f>'БЕНЗОГЕНЕРАТОРЫ'!F63</f>
        <v>9781.8</v>
      </c>
      <c r="F67" s="329"/>
    </row>
    <row r="68">
      <c r="A68" s="355">
        <f>'БЕНЗОГЕНЕРАТОРЫ'!A64</f>
        <v>4520</v>
      </c>
      <c r="B68" s="356" t="str">
        <f>'БЕНЗОГЕНЕРАТОРЫ'!B64</f>
        <v>Бензогенератор FOGO FV 15000 RTE</v>
      </c>
      <c r="C68" s="357" t="str">
        <f>'БЕНЗОГЕНЕРАТОРЫ'!C64</f>
        <v>10,4 / 5,4 кВт</v>
      </c>
      <c r="D68" s="358">
        <f>'БЕНЗОГЕНЕРАТОРЫ'!E64</f>
        <v>7439</v>
      </c>
      <c r="E68" s="359">
        <f>'БЕНЗОГЕНЕРАТОРЫ'!F64</f>
        <v>6323.15</v>
      </c>
      <c r="F68" s="329"/>
    </row>
    <row r="69">
      <c r="A69" s="355" t="str">
        <f>'БЕНЗОГЕНЕРАТОРЫ'!A65</f>
        <v/>
      </c>
      <c r="B69" s="356" t="str">
        <f>'БЕНЗОГЕНЕРАТОРЫ'!B65</f>
        <v>Бензогенератор FOGO FV 15000 RTEA</v>
      </c>
      <c r="C69" s="357" t="str">
        <f>'БЕНЗОГЕНЕРАТОРЫ'!C65</f>
        <v>10,4 / 5,4 кВт</v>
      </c>
      <c r="D69" s="358">
        <f>'БЕНЗОГЕНЕРАТОРЫ'!E65</f>
        <v>7591</v>
      </c>
      <c r="E69" s="359">
        <f>'БЕНЗОГЕНЕРАТОРЫ'!F65</f>
        <v>6452.35</v>
      </c>
      <c r="F69" s="329"/>
    </row>
    <row r="70">
      <c r="A70" s="355" t="str">
        <f>'БЕНЗОГЕНЕРАТОРЫ'!A66</f>
        <v/>
      </c>
      <c r="B70" s="356" t="str">
        <f>'БЕНЗОГЕНЕРАТОРЫ'!B66</f>
        <v>Бензогенератор FOGO FV 15000 RCEA</v>
      </c>
      <c r="C70" s="357" t="str">
        <f>'БЕНЗОГЕНЕРАТОРЫ'!C66</f>
        <v>10,4 / 5,4 кВт</v>
      </c>
      <c r="D70" s="358">
        <f>'БЕНЗОГЕНЕРАТОРЫ'!E66</f>
        <v>11950</v>
      </c>
      <c r="E70" s="359">
        <f>'БЕНЗОГЕНЕРАТОРЫ'!F66</f>
        <v>10157.5</v>
      </c>
      <c r="F70" s="329"/>
    </row>
    <row r="71">
      <c r="A71" s="355">
        <f>'БЕНЗОГЕНЕРАТОРЫ'!A67</f>
        <v>4521</v>
      </c>
      <c r="B71" s="356" t="str">
        <f>'БЕНЗОГЕНЕРАТОРЫ'!B67</f>
        <v>Бензогенератор FOGO FV 20000 RTE</v>
      </c>
      <c r="C71" s="357" t="str">
        <f>'БЕНЗОГЕНЕРАТОРЫ'!C67</f>
        <v>14 / 7,2 кВт</v>
      </c>
      <c r="D71" s="358">
        <f>'БЕНЗОГЕНЕРАТОРЫ'!E67</f>
        <v>10425</v>
      </c>
      <c r="E71" s="359">
        <f>'БЕНЗОГЕНЕРАТОРЫ'!F67</f>
        <v>8861.25</v>
      </c>
      <c r="F71" s="329"/>
    </row>
    <row r="72">
      <c r="A72" s="355" t="str">
        <f>'БЕНЗОГЕНЕРАТОРЫ'!A68</f>
        <v/>
      </c>
      <c r="B72" s="356" t="str">
        <f>'БЕНЗОГЕНЕРАТОРЫ'!B68</f>
        <v>Бензогенератор FOGO FV 20000 RTEA</v>
      </c>
      <c r="C72" s="357" t="str">
        <f>'БЕНЗОГЕНЕРАТОРЫ'!C68</f>
        <v>14 / 7,2 кВт</v>
      </c>
      <c r="D72" s="358">
        <f>'БЕНЗОГЕНЕРАТОРЫ'!E68</f>
        <v>11333</v>
      </c>
      <c r="E72" s="359">
        <f>'БЕНЗОГЕНЕРАТОРЫ'!F68</f>
        <v>9633.05</v>
      </c>
      <c r="F72" s="329"/>
    </row>
    <row r="73">
      <c r="A73" s="355" t="str">
        <f>'БЕНЗОГЕНЕРАТОРЫ'!A69</f>
        <v/>
      </c>
      <c r="B73" s="356" t="str">
        <f>'БЕНЗОГЕНЕРАТОРЫ'!B69</f>
        <v>Бензогенератор FOGO FV 20000 RCEA</v>
      </c>
      <c r="C73" s="357" t="str">
        <f>'БЕНЗОГЕНЕРАТОРЫ'!C69</f>
        <v>14 / 7,2 кВт</v>
      </c>
      <c r="D73" s="358">
        <f>'БЕНЗОГЕНЕРАТОРЫ'!E69</f>
        <v>14826</v>
      </c>
      <c r="E73" s="359">
        <f>'БЕНЗОГЕНЕРАТОРЫ'!F69</f>
        <v>12602.1</v>
      </c>
      <c r="F73" s="329"/>
    </row>
    <row r="74">
      <c r="A74" s="354" t="str">
        <f>'БЕНЗОГЕНЕРАТОРЫ'!A70</f>
        <v/>
      </c>
      <c r="B74" s="53" t="str">
        <f>'БЕНЗОГЕНЕРАТОРЫ'!B70</f>
        <v>Сварочные генераторы</v>
      </c>
      <c r="C74" s="55" t="str">
        <f>'БЕНЗОГЕНЕРАТОРЫ'!C70</f>
        <v/>
      </c>
      <c r="D74" s="364" t="str">
        <f>'БЕНЗОГЕНЕРАТОРЫ'!E70</f>
        <v/>
      </c>
      <c r="E74" s="55" t="str">
        <f>'БЕНЗОГЕНЕРАТОРЫ'!F70</f>
        <v/>
      </c>
      <c r="F74" s="329"/>
    </row>
    <row r="75">
      <c r="A75" s="355" t="str">
        <f>'БЕНЗОГЕНЕРАТОРЫ'!A71</f>
        <v/>
      </c>
      <c r="B75" s="356" t="str">
        <f>'БЕНЗОГЕНЕРАТОРЫ'!B71</f>
        <v>Дизельный сварочный Firman SDW 180Е</v>
      </c>
      <c r="C75" s="357" t="str">
        <f>'БЕНЗОГЕНЕРАТОРЫ'!C71</f>
        <v>4,0 кВт</v>
      </c>
      <c r="D75" s="358">
        <f>'БЕНЗОГЕНЕРАТОРЫ'!E71</f>
        <v>2930</v>
      </c>
      <c r="E75" s="359">
        <f>'БЕНЗОГЕНЕРАТОРЫ'!F71</f>
        <v>2490.5</v>
      </c>
      <c r="F75" s="329"/>
    </row>
    <row r="76">
      <c r="A76" s="355" t="str">
        <f>'БЕНЗОГЕНЕРАТОРЫ'!A72</f>
        <v/>
      </c>
      <c r="B76" s="356" t="str">
        <f>'БЕНЗОГЕНЕРАТОРЫ'!B72</f>
        <v>Бензиновый сварочный Firman SGW 220</v>
      </c>
      <c r="C76" s="357" t="str">
        <f>'БЕНЗОГЕНЕРАТОРЫ'!C72</f>
        <v>6,0 / 3,0 кВт</v>
      </c>
      <c r="D76" s="358">
        <f>'БЕНЗОГЕНЕРАТОРЫ'!E72</f>
        <v>1788</v>
      </c>
      <c r="E76" s="359">
        <f>'БЕНЗОГЕНЕРАТОРЫ'!F72</f>
        <v>1519.8</v>
      </c>
      <c r="F76" s="329"/>
    </row>
    <row r="77">
      <c r="A77" s="355" t="str">
        <f>'БЕНЗОГЕНЕРАТОРЫ'!A73</f>
        <v/>
      </c>
      <c r="B77" s="356" t="str">
        <f>'БЕНЗОГЕНЕРАТОРЫ'!B73</f>
        <v>Бензогенератор FOGO FH 5221 S</v>
      </c>
      <c r="C77" s="357" t="str">
        <f>'БЕНЗОГЕНЕРАТОРЫ'!C73</f>
        <v>5,0 кВт</v>
      </c>
      <c r="D77" s="358">
        <f>'БЕНЗОГЕНЕРАТОРЫ'!E73</f>
        <v>3539</v>
      </c>
      <c r="E77" s="359">
        <f>'БЕНЗОГЕНЕРАТОРЫ'!F73</f>
        <v>3008.15</v>
      </c>
      <c r="F77" s="329"/>
    </row>
    <row r="78">
      <c r="A78" s="355" t="str">
        <f>'БЕНЗОГЕНЕРАТОРЫ'!A74</f>
        <v/>
      </c>
      <c r="B78" s="356" t="str">
        <f>'БЕНЗОГЕНЕРАТОРЫ'!B74</f>
        <v>Бензогенератор FOGO FH 5221 SE</v>
      </c>
      <c r="C78" s="357" t="str">
        <f>'БЕНЗОГЕНЕРАТОРЫ'!C74</f>
        <v>5,0 кВт</v>
      </c>
      <c r="D78" s="358">
        <f>'БЕНЗОГЕНЕРАТОРЫ'!E74</f>
        <v>4100</v>
      </c>
      <c r="E78" s="359">
        <f>'БЕНЗОГЕНЕРАТОРЫ'!F74</f>
        <v>3485</v>
      </c>
      <c r="F78" s="329"/>
    </row>
    <row r="79">
      <c r="A79" s="355">
        <f>'БЕНЗОГЕНЕРАТОРЫ'!A75</f>
        <v>4421</v>
      </c>
      <c r="B79" s="356" t="str">
        <f>'БЕНЗОГЕНЕРАТОРЫ'!B75</f>
        <v>Бензогенератор FOGO FH 8220 W</v>
      </c>
      <c r="C79" s="357" t="str">
        <f>'БЕНЗОГЕНЕРАТОРЫ'!C75</f>
        <v>5,2 / 3,4 кВт</v>
      </c>
      <c r="D79" s="358">
        <f>'БЕНЗОГЕНЕРАТОРЫ'!E75</f>
        <v>3854</v>
      </c>
      <c r="E79" s="359">
        <f>'БЕНЗОГЕНЕРАТОРЫ'!F75</f>
        <v>3275.9</v>
      </c>
      <c r="F79" s="329"/>
    </row>
    <row r="80">
      <c r="A80" s="355">
        <f>'БЕНЗОГЕНЕРАТОРЫ'!A76</f>
        <v>4551</v>
      </c>
      <c r="B80" s="356" t="str">
        <f>'БЕНЗОГЕНЕРАТОРЫ'!B76</f>
        <v>Бензогенератор FOGO FH 8220 WE</v>
      </c>
      <c r="C80" s="357" t="str">
        <f>'БЕНЗОГЕНЕРАТОРЫ'!C76</f>
        <v>5,2 / 3,4 кВт</v>
      </c>
      <c r="D80" s="358">
        <f>'БЕНЗОГЕНЕРАТОРЫ'!E76</f>
        <v>5631</v>
      </c>
      <c r="E80" s="359">
        <f>'БЕНЗОГЕНЕРАТОРЫ'!F76</f>
        <v>4786.35</v>
      </c>
      <c r="F80" s="329"/>
    </row>
    <row r="81">
      <c r="A81" s="355">
        <f>'БЕНЗОГЕНЕРАТОРЫ'!A77</f>
        <v>4518</v>
      </c>
      <c r="B81" s="356" t="str">
        <f>'БЕНЗОГЕНЕРАТОРЫ'!B77</f>
        <v>Бензогенератор FOGO FV 11300 WTE</v>
      </c>
      <c r="C81" s="357" t="str">
        <f>'БЕНЗОГЕНЕРАТОРЫ'!C77</f>
        <v>8,0 / 4,0 кВт</v>
      </c>
      <c r="D81" s="358">
        <f>'БЕНЗОГЕНЕРАТОРЫ'!E77</f>
        <v>10316</v>
      </c>
      <c r="E81" s="359">
        <f>'БЕНЗОГЕНЕРАТОРЫ'!F77</f>
        <v>8768.6</v>
      </c>
      <c r="F81" s="329"/>
    </row>
    <row r="82">
      <c r="A82" s="371" t="str">
        <f>'БЕНЗОГЕНЕРАТОРЫ'!A78</f>
        <v/>
      </c>
      <c r="B82" s="267" t="str">
        <f>'БЕНЗОГЕНЕРАТОРЫ'!B78</f>
        <v>Однофазные генераторы 230V IP54 (повышенная защита электронной части от внешней среды) </v>
      </c>
      <c r="C82" s="253" t="str">
        <f>'БЕНЗОГЕНЕРАТОРЫ'!C78</f>
        <v/>
      </c>
      <c r="D82" s="372" t="str">
        <f>'БЕНЗОГЕНЕРАТОРЫ'!E78</f>
        <v/>
      </c>
      <c r="E82" s="253" t="str">
        <f>'БЕНЗОГЕНЕРАТОРЫ'!F78</f>
        <v/>
      </c>
      <c r="F82" s="329"/>
    </row>
    <row r="83">
      <c r="A83" s="355">
        <f>'БЕНЗОГЕНЕРАТОРЫ'!A79</f>
        <v>4552</v>
      </c>
      <c r="B83" s="356" t="str">
        <f>'БЕНЗОГЕНЕРАТОРЫ'!B79</f>
        <v>Бензогенератор FOGO FH 2541</v>
      </c>
      <c r="C83" s="357" t="str">
        <f>'БЕНЗОГЕНЕРАТОРЫ'!C79</f>
        <v>1,8 кВт</v>
      </c>
      <c r="D83" s="358">
        <f>'БЕНЗОГЕНЕРАТОРЫ'!E79</f>
        <v>1364</v>
      </c>
      <c r="E83" s="359">
        <f>'БЕНЗОГЕНЕРАТОРЫ'!F79</f>
        <v>1159.4</v>
      </c>
      <c r="F83" s="329"/>
    </row>
    <row r="84">
      <c r="A84" s="355">
        <f>'БЕНЗОГЕНЕРАТОРЫ'!A80</f>
        <v>4553</v>
      </c>
      <c r="B84" s="356" t="str">
        <f>'БЕНЗОГЕНЕРАТОРЫ'!B80</f>
        <v>Бензогенератор FOGO FH 3541</v>
      </c>
      <c r="C84" s="357" t="str">
        <f>'БЕНЗОГЕНЕРАТОРЫ'!C80</f>
        <v>2,7 кВт</v>
      </c>
      <c r="D84" s="358">
        <f>'БЕНЗОГЕНЕРАТОРЫ'!E80</f>
        <v>2648</v>
      </c>
      <c r="E84" s="359">
        <f>'БЕНЗОГЕНЕРАТОРЫ'!F80</f>
        <v>2250.8</v>
      </c>
      <c r="F84" s="329"/>
    </row>
    <row r="85">
      <c r="A85" s="355">
        <f>'БЕНЗОГЕНЕРАТОРЫ'!A81</f>
        <v>4555</v>
      </c>
      <c r="B85" s="356" t="str">
        <f>'БЕНЗОГЕНЕРАТОРЫ'!B81</f>
        <v>Бензогенератор FOGO FH 4541</v>
      </c>
      <c r="C85" s="357" t="str">
        <f>'БЕНЗОГЕНЕРАТОРЫ'!C81</f>
        <v>3,5 кВт</v>
      </c>
      <c r="D85" s="358">
        <f>'БЕНЗОГЕНЕРАТОРЫ'!E81</f>
        <v>3485</v>
      </c>
      <c r="E85" s="359">
        <f>'БЕНЗОГЕНЕРАТОРЫ'!F81</f>
        <v>2962.25</v>
      </c>
      <c r="F85" s="329"/>
    </row>
    <row r="86">
      <c r="A86" s="355">
        <f>'БЕНЗОГЕНЕРАТОРЫ'!A82</f>
        <v>4556</v>
      </c>
      <c r="B86" s="356" t="str">
        <f>'БЕНЗОГЕНЕРАТОРЫ'!B82</f>
        <v>Бензогенератор FOGO FH 4541 E </v>
      </c>
      <c r="C86" s="357" t="str">
        <f>'БЕНЗОГЕНЕРАТОРЫ'!C82</f>
        <v>3,5 кВт</v>
      </c>
      <c r="D86" s="358">
        <f>'БЕНЗОГЕНЕРАТОРЫ'!E82</f>
        <v>4882</v>
      </c>
      <c r="E86" s="359">
        <f>'БЕНЗОГЕНЕРАТОРЫ'!F82</f>
        <v>4149.7</v>
      </c>
      <c r="F86" s="329"/>
    </row>
    <row r="87">
      <c r="A87" s="355">
        <f>'БЕНЗОГЕНЕРАТОРЫ'!A83</f>
        <v>4557</v>
      </c>
      <c r="B87" s="356" t="str">
        <f>'БЕНЗОГЕНЕРАТОРЫ'!B83</f>
        <v>Бензогенератор FOGO FH 6541</v>
      </c>
      <c r="C87" s="357" t="str">
        <f>'БЕНЗОГЕНЕРАТОРЫ'!C83</f>
        <v>5,6 кВт</v>
      </c>
      <c r="D87" s="358">
        <f>'БЕНЗОГЕНЕРАТОРЫ'!E83</f>
        <v>4313</v>
      </c>
      <c r="E87" s="359">
        <f>'БЕНЗОГЕНЕРАТОРЫ'!F83</f>
        <v>3666.05</v>
      </c>
      <c r="F87" s="329"/>
    </row>
    <row r="88">
      <c r="A88" s="355">
        <f>'БЕНЗОГЕНЕРАТОРЫ'!A84</f>
        <v>4558</v>
      </c>
      <c r="B88" s="356" t="str">
        <f>'БЕНЗОГЕНЕРАТОРЫ'!B84</f>
        <v>Бензогенератор FOGO FH 6541 E</v>
      </c>
      <c r="C88" s="357" t="str">
        <f>'БЕНЗОГЕНЕРАТОРЫ'!C84</f>
        <v>5,6 кВт</v>
      </c>
      <c r="D88" s="358">
        <f>'БЕНЗОГЕНЕРАТОРЫ'!E84</f>
        <v>6070</v>
      </c>
      <c r="E88" s="359">
        <f>'БЕНЗОГЕНЕРАТОРЫ'!F84</f>
        <v>5159.5</v>
      </c>
      <c r="F88" s="329"/>
    </row>
    <row r="89">
      <c r="A89" s="371" t="str">
        <f>'БЕНЗОГЕНЕРАТОРЫ'!A85</f>
        <v/>
      </c>
      <c r="B89" s="267" t="str">
        <f>'БЕНЗОГЕНЕРАТОРЫ'!B85</f>
        <v>Трехфазный генератор 400V IP54 (повышенная защита электронной части от внешней среды) </v>
      </c>
      <c r="C89" s="253" t="str">
        <f>'БЕНЗОГЕНЕРАТОРЫ'!C85</f>
        <v/>
      </c>
      <c r="D89" s="372" t="str">
        <f>'БЕНЗОГЕНЕРАТОРЫ'!E85</f>
        <v/>
      </c>
      <c r="E89" s="253" t="str">
        <f>'БЕНЗОГЕНЕРАТОРЫ'!F85</f>
        <v/>
      </c>
      <c r="F89" s="329"/>
    </row>
    <row r="90">
      <c r="A90" s="355">
        <f>'БЕНЗОГЕНЕРАТОРЫ'!A86</f>
        <v>4559</v>
      </c>
      <c r="B90" s="356" t="str">
        <f>'БЕНЗОГЕНЕРАТОРЫ'!B86</f>
        <v>Бензогенератор FOGO FH 6540</v>
      </c>
      <c r="C90" s="357" t="str">
        <f>'БЕНЗОГЕНЕРАТОРЫ'!C86</f>
        <v>4 / 3 кВт</v>
      </c>
      <c r="D90" s="358">
        <f>'БЕНЗОГЕНЕРАТОРЫ'!E86</f>
        <v>4075</v>
      </c>
      <c r="E90" s="359">
        <f>'БЕНЗОГЕНЕРАТОРЫ'!F86</f>
        <v>3463.75</v>
      </c>
      <c r="F90" s="329"/>
    </row>
    <row r="91">
      <c r="A91" s="355">
        <f>'БЕНЗОГЕНЕРАТОРЫ'!A87</f>
        <v>4560</v>
      </c>
      <c r="B91" s="356" t="str">
        <f>'БЕНЗОГЕНЕРАТОРЫ'!B87</f>
        <v>Бензогенератор FOGO FH 6540 E </v>
      </c>
      <c r="C91" s="357" t="str">
        <f>'БЕНЗОГЕНЕРАТОРЫ'!C87</f>
        <v>4 / 3 кВт</v>
      </c>
      <c r="D91" s="358">
        <f>'БЕНЗОГЕНЕРАТОРЫ'!E87</f>
        <v>5472</v>
      </c>
      <c r="E91" s="359">
        <f>'БЕНЗОГЕНЕРАТОРЫ'!F87</f>
        <v>4651.2</v>
      </c>
      <c r="F91" s="329"/>
    </row>
    <row r="92">
      <c r="A92" s="355">
        <f>'БЕНЗОГЕНЕРАТОРЫ'!A88</f>
        <v>4561</v>
      </c>
      <c r="B92" s="356" t="str">
        <f>'БЕНЗОГЕНЕРАТОРЫ'!B88</f>
        <v>Бензогенератор FOGO FH 9540</v>
      </c>
      <c r="C92" s="357" t="str">
        <f>'БЕНЗОГЕНЕРАТОРЫ'!C88</f>
        <v>5,9 / 4,4 кВт</v>
      </c>
      <c r="D92" s="358">
        <f>'БЕНЗОГЕНЕРАТОРЫ'!E88</f>
        <v>4326</v>
      </c>
      <c r="E92" s="359">
        <f>'БЕНЗОГЕНЕРАТОРЫ'!F88</f>
        <v>3677.1</v>
      </c>
      <c r="F92" s="329"/>
    </row>
    <row r="93">
      <c r="A93" s="355">
        <f>'БЕНЗОГЕНЕРАТОРЫ'!A89</f>
        <v>4562</v>
      </c>
      <c r="B93" s="356" t="str">
        <f>'БЕНЗОГЕНЕРАТОРЫ'!B89</f>
        <v>Бензогенератор FOGO FH 9540 E</v>
      </c>
      <c r="C93" s="357" t="str">
        <f>'БЕНЗОГЕНЕРАТОРЫ'!C89</f>
        <v>5,9 / 4,4 кВт</v>
      </c>
      <c r="D93" s="358">
        <f>'БЕНЗОГЕНЕРАТОРЫ'!E89</f>
        <v>6083</v>
      </c>
      <c r="E93" s="359">
        <f>'БЕНЗОГЕНЕРАТОРЫ'!F89</f>
        <v>5170.55</v>
      </c>
      <c r="F93" s="329"/>
    </row>
    <row r="94">
      <c r="A94" s="355">
        <f>'БЕНЗОГЕНЕРАТОРЫ'!A90</f>
        <v>4563</v>
      </c>
      <c r="B94" s="356" t="str">
        <f>'БЕНЗОГЕНЕРАТОРЫ'!B90</f>
        <v>Бензогенератор FOGO FH 9540 RTE</v>
      </c>
      <c r="C94" s="357" t="str">
        <f>'БЕНЗОГЕНЕРАТОРЫ'!C90</f>
        <v>5,9 / 4,4 кВт</v>
      </c>
      <c r="D94" s="358">
        <f>'БЕНЗОГЕНЕРАТОРЫ'!E90</f>
        <v>7200</v>
      </c>
      <c r="E94" s="359">
        <f>'БЕНЗОГЕНЕРАТОРЫ'!F90</f>
        <v>6120</v>
      </c>
      <c r="F94" s="329"/>
    </row>
    <row r="95">
      <c r="A95" s="355" t="str">
        <f>'БЕНЗОГЕНЕРАТОРЫ'!A91</f>
        <v/>
      </c>
      <c r="B95" s="356" t="str">
        <f>'БЕНЗОГЕНЕРАТОРЫ'!B91</f>
        <v>Бензогенератор FOGO FH 9540 RTEA</v>
      </c>
      <c r="C95" s="357" t="str">
        <f>'БЕНЗОГЕНЕРАТОРЫ'!C91</f>
        <v>5,9 / 4,4 кВт</v>
      </c>
      <c r="D95" s="358">
        <f>'БЕНЗОГЕНЕРАТОРЫ'!E91</f>
        <v>7367</v>
      </c>
      <c r="E95" s="359">
        <f>'БЕНЗОГЕНЕРАТОРЫ'!F91</f>
        <v>6261.95</v>
      </c>
      <c r="F95" s="329"/>
    </row>
    <row r="96">
      <c r="A96" s="355">
        <f>'БЕНЗОГЕНЕРАТОРЫ'!A92</f>
        <v>4564</v>
      </c>
      <c r="B96" s="356" t="str">
        <f>'БЕНЗОГЕНЕРАТОРЫ'!B92</f>
        <v>Бензогенератор FOGO FV 13540 E</v>
      </c>
      <c r="C96" s="357" t="str">
        <f>'БЕНЗОГЕНЕРАТОРЫ'!C92</f>
        <v>8,7 / 6,6 кВт</v>
      </c>
      <c r="D96" s="358">
        <f>'БЕНЗОГЕНЕРАТОРЫ'!E92</f>
        <v>7756</v>
      </c>
      <c r="E96" s="359">
        <f>'БЕНЗОГЕНЕРАТОРЫ'!F92</f>
        <v>6592.6</v>
      </c>
      <c r="F96" s="329"/>
    </row>
    <row r="97">
      <c r="A97" s="355">
        <f>'БЕНЗОГЕНЕРАТОРЫ'!A93</f>
        <v>4565</v>
      </c>
      <c r="B97" s="356" t="str">
        <f>'БЕНЗОГЕНЕРАТОРЫ'!B93</f>
        <v>Бензогенератор FOGO FV 13540 RTE</v>
      </c>
      <c r="C97" s="357" t="str">
        <f>'БЕНЗОГЕНЕРАТОРЫ'!C93</f>
        <v>8,7 / 6,6 кВт</v>
      </c>
      <c r="D97" s="358">
        <f>'БЕНЗОГЕНЕРАТОРЫ'!E93</f>
        <v>9425</v>
      </c>
      <c r="E97" s="359">
        <f>'БЕНЗОГЕНЕРАТОРЫ'!F93</f>
        <v>8011.25</v>
      </c>
      <c r="F97" s="329"/>
    </row>
    <row r="98">
      <c r="A98" s="355" t="str">
        <f>'БЕНЗОГЕНЕРАТОРЫ'!A94</f>
        <v/>
      </c>
      <c r="B98" s="356" t="str">
        <f>'БЕНЗОГЕНЕРАТОРЫ'!B94</f>
        <v>Бензогенератор FOGO FV 13540 RTEA</v>
      </c>
      <c r="C98" s="357" t="str">
        <f>'БЕНЗОГЕНЕРАТОРЫ'!C94</f>
        <v>8,7 / 6,6 кВт</v>
      </c>
      <c r="D98" s="358">
        <f>'БЕНЗОГЕНЕРАТОРЫ'!E94</f>
        <v>9617</v>
      </c>
      <c r="E98" s="359">
        <f>'БЕНЗОГЕНЕРАТОРЫ'!F94</f>
        <v>8174.45</v>
      </c>
      <c r="F98" s="329"/>
    </row>
    <row r="99">
      <c r="A99" s="355">
        <f>'БЕНЗОГЕНЕРАТОРЫ'!A95</f>
        <v>4566</v>
      </c>
      <c r="B99" s="356" t="str">
        <f>'БЕНЗОГЕНЕРАТОРЫ'!B95</f>
        <v>Бензогенератор FOGO FV 15540 RTE</v>
      </c>
      <c r="C99" s="357" t="str">
        <f>'БЕНЗОГЕНЕРАТОРЫ'!C95</f>
        <v>10,3 / 7 кВт</v>
      </c>
      <c r="D99" s="358">
        <f>'БЕНЗОГЕНЕРАТОРЫ'!E95</f>
        <v>10002</v>
      </c>
      <c r="E99" s="359">
        <f>'БЕНЗОГЕНЕРАТОРЫ'!F95</f>
        <v>8501.7</v>
      </c>
      <c r="F99" s="329"/>
    </row>
    <row r="100">
      <c r="A100" s="355" t="str">
        <f>'БЕНЗОГЕНЕРАТОРЫ'!A96</f>
        <v/>
      </c>
      <c r="B100" s="356" t="str">
        <f>'БЕНЗОГЕНЕРАТОРЫ'!B96</f>
        <v>Бензогенератор FOGO FV 15540 RTEA</v>
      </c>
      <c r="C100" s="357" t="str">
        <f>'БЕНЗОГЕНЕРАТОРЫ'!C96</f>
        <v>10,3 / 7 кВт</v>
      </c>
      <c r="D100" s="358">
        <f>'БЕНЗОГЕНЕРАТОРЫ'!E96</f>
        <v>10186</v>
      </c>
      <c r="E100" s="359">
        <f>'БЕНЗОГЕНЕРАТОРЫ'!F96</f>
        <v>8658.1</v>
      </c>
      <c r="F100" s="329"/>
    </row>
    <row r="101">
      <c r="A101" s="355">
        <f>'БЕНЗОГЕНЕРАТОРЫ'!A97</f>
        <v>4567</v>
      </c>
      <c r="B101" s="356" t="str">
        <f>'БЕНЗОГЕНЕРАТОРЫ'!B97</f>
        <v>Бензогенератор FOGO FV 20540 RTE</v>
      </c>
      <c r="C101" s="357" t="str">
        <f>'БЕНЗОГЕНЕРАТОРЫ'!C97</f>
        <v>14,4 / 7 кВт</v>
      </c>
      <c r="D101" s="358">
        <f>'БЕНЗОГЕНЕРАТОРЫ'!E97</f>
        <v>14750</v>
      </c>
      <c r="E101" s="359">
        <f>'БЕНЗОГЕНЕРАТОРЫ'!F97</f>
        <v>12537.5</v>
      </c>
      <c r="F101" s="329"/>
    </row>
    <row r="102">
      <c r="A102" s="377" t="str">
        <f>'БЕНЗОГЕНЕРАТОРЫ'!A98</f>
        <v/>
      </c>
      <c r="B102" s="378" t="str">
        <f>'БЕНЗОГЕНЕРАТОРЫ'!B98</f>
        <v>Бензогенератор FOGO FV 20540 RTEA</v>
      </c>
      <c r="C102" s="379" t="str">
        <f>'БЕНЗОГЕНЕРАТОРЫ'!C98</f>
        <v>14,4 / 7 кВт</v>
      </c>
      <c r="D102" s="380">
        <f>'БЕНЗОГЕНЕРАТОРЫ'!E98</f>
        <v>16282</v>
      </c>
      <c r="E102" s="381">
        <f>'БЕНЗОГЕНЕРАТОРЫ'!F98</f>
        <v>13839.7</v>
      </c>
      <c r="F102" s="329"/>
    </row>
    <row r="103">
      <c r="A103" s="383"/>
      <c r="B103" s="384"/>
      <c r="C103" s="385"/>
      <c r="D103" s="386"/>
      <c r="E103" s="388"/>
      <c r="F103" s="329"/>
    </row>
    <row r="104" ht="32.25" customHeight="1">
      <c r="A104" s="345" t="s">
        <v>50</v>
      </c>
      <c r="B104" s="390" t="s">
        <v>52</v>
      </c>
      <c r="C104" s="347" t="s">
        <v>45</v>
      </c>
      <c r="D104" s="348"/>
      <c r="E104" s="348" t="str">
        <f>IMAGE("http://fogo.by/img/misc/201811281344562.jpg?w=900")</f>
        <v/>
      </c>
      <c r="F104" s="329"/>
    </row>
    <row r="105">
      <c r="A105" s="394" t="str">
        <f>'Устройства АВР'!A2</f>
        <v>Арт.</v>
      </c>
      <c r="B105" s="394" t="str">
        <f>'Устройства АВР'!B2</f>
        <v>Наименование </v>
      </c>
      <c r="C105" s="397" t="str">
        <f>'Устройства АВР'!C2</f>
        <v>Назначение</v>
      </c>
      <c r="D105" s="398" t="str">
        <f>'Устройства АВР'!D2</f>
        <v>Розничная цена с НДС, BYN</v>
      </c>
      <c r="E105" s="398" t="str">
        <f>'Устройства АВР'!E2</f>
        <v>Дилерская цена с НДС, BYN</v>
      </c>
      <c r="F105" s="329"/>
    </row>
    <row r="106">
      <c r="A106" s="228" t="str">
        <f>'Устройства АВР'!A3</f>
        <v/>
      </c>
      <c r="B106" s="228" t="str">
        <f>'Устройства АВР'!B3</f>
        <v>Для однофазной сети 220 В</v>
      </c>
      <c r="C106" s="230" t="str">
        <f>'Устройства АВР'!C3</f>
        <v/>
      </c>
      <c r="D106" s="232" t="str">
        <f>'Устройства АВР'!D3</f>
        <v/>
      </c>
      <c r="E106" s="232" t="str">
        <f>'Устройства АВР'!E3</f>
        <v/>
      </c>
      <c r="F106" s="329"/>
    </row>
    <row r="107">
      <c r="A107" t="str">
        <f>'Устройства АВР'!A4</f>
        <v/>
      </c>
      <c r="B107" s="238" t="str">
        <f>'Устройства АВР'!B4</f>
        <v>Устройство AF 1.25</v>
      </c>
      <c r="C107" s="404" t="str">
        <f>'Устройства АВР'!C4</f>
        <v>для работы в связке с вводными автоматами на 25 А и генераторами до 6 кВт</v>
      </c>
      <c r="D107" s="405">
        <f>'Устройства АВР'!D4</f>
        <v>1190</v>
      </c>
      <c r="E107" s="406">
        <f>'Устройства АВР'!E4</f>
        <v>1011.5</v>
      </c>
      <c r="F107" s="329"/>
    </row>
    <row r="108">
      <c r="A108" s="247" t="str">
        <f>'Устройства АВР'!A5</f>
        <v/>
      </c>
      <c r="B108" s="249" t="str">
        <f>'Устройства АВР'!B5</f>
        <v>Устройство AF 1.63</v>
      </c>
      <c r="C108" s="404" t="str">
        <f>'Устройства АВР'!C5</f>
        <v>для работы в связке с вводными автоматами на 63 А и генераторами до 14,5 кВт</v>
      </c>
      <c r="D108" s="405">
        <f>'Устройства АВР'!D5</f>
        <v>1386</v>
      </c>
      <c r="E108" s="406">
        <f>'Устройства АВР'!E5</f>
        <v>1178.1</v>
      </c>
      <c r="F108" s="329"/>
    </row>
    <row r="109">
      <c r="A109" s="228" t="str">
        <f>'Устройства АВР'!A6</f>
        <v/>
      </c>
      <c r="B109" s="228" t="str">
        <f>'Устройства АВР'!B6</f>
        <v>Для трехфазной сети 380 В</v>
      </c>
      <c r="C109" s="407" t="str">
        <f>'Устройства АВР'!C6</f>
        <v/>
      </c>
      <c r="D109" s="232" t="str">
        <f>'Устройства АВР'!D6</f>
        <v/>
      </c>
      <c r="E109" s="232" t="str">
        <f>'Устройства АВР'!E6</f>
        <v/>
      </c>
      <c r="F109" s="329"/>
    </row>
    <row r="110">
      <c r="A110" s="247" t="str">
        <f>'Устройства АВР'!A7</f>
        <v/>
      </c>
      <c r="B110" s="249" t="str">
        <f>'Устройства АВР'!B7</f>
        <v>Устройство AF 3.25</v>
      </c>
      <c r="C110" s="404" t="str">
        <f>'Устройства АВР'!C7</f>
        <v>для работы в связке с вводными автоматами на 25 А и генераторами до 6 кВт</v>
      </c>
      <c r="D110" s="405">
        <f>'Устройства АВР'!D7</f>
        <v>1260</v>
      </c>
      <c r="E110" s="406">
        <f>'Устройства АВР'!E7</f>
        <v>1071</v>
      </c>
      <c r="F110" s="329"/>
    </row>
    <row r="111">
      <c r="A111" s="247" t="str">
        <f>'Устройства АВР'!A8</f>
        <v/>
      </c>
      <c r="B111" s="249" t="str">
        <f>'Устройства АВР'!B8</f>
        <v>Устройство AF 3.63</v>
      </c>
      <c r="C111" s="404" t="str">
        <f>'Устройства АВР'!C8</f>
        <v>для работы в связке с вводными автоматами на 63 А и генераторами до 14,5 кВт</v>
      </c>
      <c r="D111" s="405">
        <f>'Устройства АВР'!D8</f>
        <v>1470</v>
      </c>
      <c r="E111" s="406">
        <f>'Устройства АВР'!E8</f>
        <v>1249.5</v>
      </c>
      <c r="F111" s="329"/>
    </row>
    <row r="112">
      <c r="A112" s="228" t="str">
        <f>'Устройства АВР'!A9</f>
        <v/>
      </c>
      <c r="B112" s="228" t="str">
        <f>'Устройства АВР'!B9</f>
        <v>Опции</v>
      </c>
      <c r="C112" s="230" t="str">
        <f>'Устройства АВР'!C9</f>
        <v/>
      </c>
      <c r="D112" s="232" t="str">
        <f>'Устройства АВР'!D9</f>
        <v/>
      </c>
      <c r="E112" s="232" t="str">
        <f>'Устройства АВР'!E9</f>
        <v/>
      </c>
      <c r="F112" s="329"/>
    </row>
    <row r="113">
      <c r="A113" s="247" t="str">
        <f>'Устройства АВР'!A10</f>
        <v/>
      </c>
      <c r="B113" s="249" t="str">
        <f>'Устройства АВР'!B10</f>
        <v>Доработка генератор модулем управления заслонкой</v>
      </c>
      <c r="C113" s="264" t="str">
        <f>'Устройства АВР'!C10</f>
        <v/>
      </c>
      <c r="D113" s="405">
        <f>'Устройства АВР'!D10</f>
        <v>350</v>
      </c>
      <c r="E113" s="406">
        <f>'Устройства АВР'!E10</f>
        <v>297.5</v>
      </c>
      <c r="F113" s="329"/>
    </row>
    <row r="114">
      <c r="A114" s="247" t="str">
        <f>'Устройства АВР'!A11</f>
        <v/>
      </c>
      <c r="B114" s="249" t="str">
        <f>'Устройства АВР'!B11</f>
        <v>Степень защиты IP 54</v>
      </c>
      <c r="C114" s="264" t="str">
        <f>'Устройства АВР'!C11</f>
        <v/>
      </c>
      <c r="D114" s="405">
        <f>'Устройства АВР'!D11</f>
        <v>84</v>
      </c>
      <c r="E114" s="406">
        <f>'Устройства АВР'!E11</f>
        <v>71.4</v>
      </c>
      <c r="F114" s="329"/>
    </row>
    <row r="115">
      <c r="A115" s="408" t="str">
        <f>'Устройства АВР'!A12</f>
        <v/>
      </c>
      <c r="B115" s="409" t="str">
        <f>'Устройства АВР'!B12</f>
        <v>Модуль GSM дистанционного оповещения</v>
      </c>
      <c r="C115" s="410" t="str">
        <f>'Устройства АВР'!C12</f>
        <v/>
      </c>
      <c r="D115" s="411">
        <f>'Устройства АВР'!D12</f>
        <v>420</v>
      </c>
      <c r="E115" s="412">
        <f>'Устройства АВР'!E12</f>
        <v>357</v>
      </c>
      <c r="F115" s="329"/>
    </row>
    <row r="116">
      <c r="A116" s="383"/>
      <c r="B116" s="384"/>
      <c r="C116" s="385"/>
      <c r="D116" s="386"/>
      <c r="E116" s="388"/>
      <c r="F116" s="329"/>
    </row>
    <row r="117">
      <c r="A117" s="383"/>
      <c r="B117" s="384"/>
      <c r="C117" s="385"/>
      <c r="D117" s="386"/>
      <c r="E117" s="388"/>
      <c r="F117" s="329"/>
    </row>
    <row r="118" ht="24.75" customHeight="1">
      <c r="A118" s="345" t="str">
        <f>IFERROR(__xludf.DUMMYFUNCTION("ImportRange(""https://docs.google.com/spreadsheets/d/1r0lhijDIYDre7zcEkHlxmuKQpLLpFtwEumVe6Xh0n3Q/edit#gid=1644249517"", ""fogo.by!A1:C84"")"),"")</f>
        <v/>
      </c>
      <c r="B118" s="413" t="str">
        <f>IFERROR(__xludf.DUMMYFUNCTION("""COMPUTED_VALUE"""),"ДИЗЕЛЬНЫЕ ГЕНЕРАТОРЫ  FOGO")</f>
        <v>ДИЗЕЛЬНЫЕ ГЕНЕРАТОРЫ  FOGO</v>
      </c>
      <c r="C118" s="414" t="str">
        <f>IFERROR(__xludf.DUMMYFUNCTION("""COMPUTED_VALUE"""),"www.fogo.by")</f>
        <v>www.fogo.by</v>
      </c>
      <c r="D118" s="415"/>
      <c r="E118" s="416" t="str">
        <f>IMAGE("http://fogo.by/img/misc/201811281344562.jpg?w=900")</f>
        <v/>
      </c>
      <c r="F118" s="349"/>
    </row>
    <row r="119">
      <c r="A119" s="417" t="str">
        <f>IFERROR(__xludf.DUMMYFUNCTION("""COMPUTED_VALUE"""),"Арт.")</f>
        <v>Арт.</v>
      </c>
      <c r="B119" s="418" t="str">
        <f>IFERROR(__xludf.DUMMYFUNCTION("""COMPUTED_VALUE"""),"Наименование")</f>
        <v>Наименование</v>
      </c>
      <c r="C119" s="419" t="str">
        <f>IFERROR(__xludf.DUMMYFUNCTION("""COMPUTED_VALUE"""),"Мощность номинальная")</f>
        <v>Мощность номинальная</v>
      </c>
      <c r="D119" s="420" t="str">
        <f>IFERROR(__xludf.DUMMYFUNCTION("ImportRange(""https://docs.google.com/spreadsheets/d/1r0lhijDIYDre7zcEkHlxmuKQpLLpFtwEumVe6Xh0n3Q/edit#gid=1644249517"", ""fogo.by!D2:D84"")"),"Розничная цена с НДС, BYN")</f>
        <v>Розничная цена с НДС, BYN</v>
      </c>
      <c r="E119" s="420" t="s">
        <v>53</v>
      </c>
      <c r="F119" s="329"/>
    </row>
    <row r="120">
      <c r="A120" s="421" t="str">
        <f>IFERROR(__xludf.DUMMYFUNCTION("""COMPUTED_VALUE"""),"")</f>
        <v/>
      </c>
      <c r="B120" s="421" t="str">
        <f>IFERROR(__xludf.DUMMYFUNCTION("""COMPUTED_VALUE"""),"Двигатель MITSUBISHI")</f>
        <v>Двигатель MITSUBISHI</v>
      </c>
      <c r="C120" s="421" t="str">
        <f>IFERROR(__xludf.DUMMYFUNCTION("""COMPUTED_VALUE"""),"")</f>
        <v/>
      </c>
      <c r="D120" s="422" t="str">
        <f>IFERROR(__xludf.DUMMYFUNCTION("""COMPUTED_VALUE"""),"")</f>
        <v/>
      </c>
      <c r="E120" s="423"/>
      <c r="F120" s="329"/>
    </row>
    <row r="121">
      <c r="A121" s="424" t="str">
        <f>IFERROR(__xludf.DUMMYFUNCTION("""COMPUTED_VALUE"""),"")</f>
        <v/>
      </c>
      <c r="B121" s="425" t="str">
        <f>IFERROR(__xludf.DUMMYFUNCTION("""COMPUTED_VALUE""")," FOGO FDF 12.1 MS 220В")</f>
        <v> FOGO FDF 12.1 MS 220В</v>
      </c>
      <c r="C121" s="426" t="str">
        <f>IFERROR(__xludf.DUMMYFUNCTION("""COMPUTED_VALUE"""),"12 кВт")</f>
        <v>12 кВт</v>
      </c>
      <c r="D121" s="358">
        <f>IFERROR(__xludf.DUMMYFUNCTION("""COMPUTED_VALUE"""),16005.279999999999)</f>
        <v>16005.28</v>
      </c>
      <c r="E121" s="359">
        <f t="shared" ref="E121:E142" si="1">D121*0.9</f>
        <v>14404.752</v>
      </c>
      <c r="F121" s="329"/>
    </row>
    <row r="122">
      <c r="A122" s="424" t="str">
        <f>IFERROR(__xludf.DUMMYFUNCTION("""COMPUTED_VALUE"""),"")</f>
        <v/>
      </c>
      <c r="B122" s="425" t="str">
        <f>IFERROR(__xludf.DUMMYFUNCTION("""COMPUTED_VALUE""")," FOGO FDG 12.1 MS 220В")</f>
        <v> FOGO FDG 12.1 MS 220В</v>
      </c>
      <c r="C122" s="426" t="str">
        <f>IFERROR(__xludf.DUMMYFUNCTION("""COMPUTED_VALUE"""),"12 кВт")</f>
        <v>12 кВт</v>
      </c>
      <c r="D122" s="358">
        <f>IFERROR(__xludf.DUMMYFUNCTION("""COMPUTED_VALUE"""),19371.66)</f>
        <v>19371.66</v>
      </c>
      <c r="E122" s="359">
        <f t="shared" si="1"/>
        <v>17434.494</v>
      </c>
      <c r="F122" s="329"/>
    </row>
    <row r="123">
      <c r="A123" s="424" t="str">
        <f>IFERROR(__xludf.DUMMYFUNCTION("""COMPUTED_VALUE"""),"")</f>
        <v/>
      </c>
      <c r="B123" s="425" t="str">
        <f>IFERROR(__xludf.DUMMYFUNCTION("""COMPUTED_VALUE"""),"Автомат ввода резерва")</f>
        <v>Автомат ввода резерва</v>
      </c>
      <c r="C123" s="426" t="str">
        <f>IFERROR(__xludf.DUMMYFUNCTION("""COMPUTED_VALUE"""),"")</f>
        <v/>
      </c>
      <c r="D123" s="358">
        <f>IFERROR(__xludf.DUMMYFUNCTION("""COMPUTED_VALUE"""),2240.2599999999998)</f>
        <v>2240.26</v>
      </c>
      <c r="E123" s="359">
        <f t="shared" si="1"/>
        <v>2016.234</v>
      </c>
      <c r="F123" s="329"/>
    </row>
    <row r="124">
      <c r="A124" s="427" t="str">
        <f>IFERROR(__xludf.DUMMYFUNCTION("""COMPUTED_VALUE"""),"")</f>
        <v/>
      </c>
      <c r="B124" s="425" t="str">
        <f>IFERROR(__xludf.DUMMYFUNCTION("""COMPUTED_VALUE""")," FOGO FDF 15 MS")</f>
        <v> FOGO FDF 15 MS</v>
      </c>
      <c r="C124" s="426" t="str">
        <f>IFERROR(__xludf.DUMMYFUNCTION("""COMPUTED_VALUE"""),"14,7 кВа / 11,8 кВт")</f>
        <v>14,7 кВа / 11,8 кВт</v>
      </c>
      <c r="D124" s="358">
        <f>IFERROR(__xludf.DUMMYFUNCTION("""COMPUTED_VALUE"""),15274.5)</f>
        <v>15274.5</v>
      </c>
      <c r="E124" s="359">
        <f t="shared" si="1"/>
        <v>13747.05</v>
      </c>
      <c r="F124" s="360"/>
    </row>
    <row r="125">
      <c r="A125" s="427" t="str">
        <f>IFERROR(__xludf.DUMMYFUNCTION("""COMPUTED_VALUE"""),"")</f>
        <v/>
      </c>
      <c r="B125" s="425" t="str">
        <f>IFERROR(__xludf.DUMMYFUNCTION("""COMPUTED_VALUE""")," FOGO FDG 15 MS")</f>
        <v> FOGO FDG 15 MS</v>
      </c>
      <c r="C125" s="426" t="str">
        <f>IFERROR(__xludf.DUMMYFUNCTION("""COMPUTED_VALUE"""),"14,7 кВа / 11,8 кВт")</f>
        <v>14,7 кВа / 11,8 кВт</v>
      </c>
      <c r="D125" s="358">
        <f>IFERROR(__xludf.DUMMYFUNCTION("""COMPUTED_VALUE"""),18125.739999999998)</f>
        <v>18125.74</v>
      </c>
      <c r="E125" s="359">
        <f t="shared" si="1"/>
        <v>16313.166</v>
      </c>
      <c r="F125" s="360"/>
    </row>
    <row r="126">
      <c r="A126" s="427" t="str">
        <f>IFERROR(__xludf.DUMMYFUNCTION("""COMPUTED_VALUE"""),"")</f>
        <v/>
      </c>
      <c r="B126" s="425" t="str">
        <f>IFERROR(__xludf.DUMMYFUNCTION("""COMPUTED_VALUE"""),"Автомат ввода резерва")</f>
        <v>Автомат ввода резерва</v>
      </c>
      <c r="C126" s="426" t="str">
        <f>IFERROR(__xludf.DUMMYFUNCTION("""COMPUTED_VALUE"""),"")</f>
        <v/>
      </c>
      <c r="D126" s="358">
        <f>IFERROR(__xludf.DUMMYFUNCTION("""COMPUTED_VALUE"""),1988.6799999999998)</f>
        <v>1988.68</v>
      </c>
      <c r="E126" s="359">
        <f t="shared" si="1"/>
        <v>1789.812</v>
      </c>
      <c r="F126" s="360"/>
    </row>
    <row r="127">
      <c r="A127" s="427" t="str">
        <f>IFERROR(__xludf.DUMMYFUNCTION("""COMPUTED_VALUE"""),"")</f>
        <v/>
      </c>
      <c r="B127" s="425" t="str">
        <f>IFERROR(__xludf.DUMMYFUNCTION("""COMPUTED_VALUE""")," FOGO FDC 15 MS")</f>
        <v> FOGO FDC 15 MS</v>
      </c>
      <c r="C127" s="426" t="str">
        <f>IFERROR(__xludf.DUMMYFUNCTION("""COMPUTED_VALUE"""),"14,7 кВа / 11,8 кВт")</f>
        <v>14,7 кВа / 11,8 кВт</v>
      </c>
      <c r="D127" s="358">
        <f>IFERROR(__xludf.DUMMYFUNCTION("""COMPUTED_VALUE"""),18125.739999999998)</f>
        <v>18125.74</v>
      </c>
      <c r="E127" s="359">
        <f t="shared" si="1"/>
        <v>16313.166</v>
      </c>
      <c r="F127" s="360"/>
    </row>
    <row r="128">
      <c r="A128" s="427" t="str">
        <f>IFERROR(__xludf.DUMMYFUNCTION("""COMPUTED_VALUE"""),"")</f>
        <v/>
      </c>
      <c r="B128" s="425" t="str">
        <f>IFERROR(__xludf.DUMMYFUNCTION("""COMPUTED_VALUE"""),"Автомат ввода резерва")</f>
        <v>Автомат ввода резерва</v>
      </c>
      <c r="C128" s="426" t="str">
        <f>IFERROR(__xludf.DUMMYFUNCTION("""COMPUTED_VALUE"""),"")</f>
        <v/>
      </c>
      <c r="D128" s="358">
        <f>IFERROR(__xludf.DUMMYFUNCTION("""COMPUTED_VALUE"""),1988.6799999999998)</f>
        <v>1988.68</v>
      </c>
      <c r="E128" s="359">
        <f t="shared" si="1"/>
        <v>1789.812</v>
      </c>
      <c r="F128" s="360"/>
    </row>
    <row r="129">
      <c r="A129" s="427" t="str">
        <f>IFERROR(__xludf.DUMMYFUNCTION("""COMPUTED_VALUE"""),"")</f>
        <v/>
      </c>
      <c r="B129" s="425" t="str">
        <f>IFERROR(__xludf.DUMMYFUNCTION("""COMPUTED_VALUE""")," FOGO FDF 18.1 M3S 220В")</f>
        <v> FOGO FDF 18.1 M3S 220В</v>
      </c>
      <c r="C129" s="426" t="str">
        <f>IFERROR(__xludf.DUMMYFUNCTION("""COMPUTED_VALUE"""),"17,4 кВт")</f>
        <v>17,4 кВт</v>
      </c>
      <c r="D129" s="358">
        <f>IFERROR(__xludf.DUMMYFUNCTION("""COMPUTED_VALUE"""),19898.78)</f>
        <v>19898.78</v>
      </c>
      <c r="E129" s="359">
        <f t="shared" si="1"/>
        <v>17908.902</v>
      </c>
      <c r="F129" s="360"/>
    </row>
    <row r="130">
      <c r="A130" s="427" t="str">
        <f>IFERROR(__xludf.DUMMYFUNCTION("""COMPUTED_VALUE"""),"")</f>
        <v/>
      </c>
      <c r="B130" s="425" t="str">
        <f>IFERROR(__xludf.DUMMYFUNCTION("""COMPUTED_VALUE"""),"Автомат ввода резерва")</f>
        <v>Автомат ввода резерва</v>
      </c>
      <c r="C130" s="426" t="str">
        <f>IFERROR(__xludf.DUMMYFUNCTION("""COMPUTED_VALUE"""),"")</f>
        <v/>
      </c>
      <c r="D130" s="358">
        <f>IFERROR(__xludf.DUMMYFUNCTION("""COMPUTED_VALUE"""),965.0)</f>
        <v>965</v>
      </c>
      <c r="E130" s="359">
        <f t="shared" si="1"/>
        <v>868.5</v>
      </c>
      <c r="F130" s="360"/>
    </row>
    <row r="131">
      <c r="A131" s="427" t="str">
        <f>IFERROR(__xludf.DUMMYFUNCTION("""COMPUTED_VALUE"""),"")</f>
        <v/>
      </c>
      <c r="B131" s="425" t="str">
        <f>IFERROR(__xludf.DUMMYFUNCTION("""COMPUTED_VALUE""")," FOGO FDF 20 M3S")</f>
        <v> FOGO FDF 20 M3S</v>
      </c>
      <c r="C131" s="426" t="str">
        <f>IFERROR(__xludf.DUMMYFUNCTION("""COMPUTED_VALUE"""),"20 кВа / 16 кВт")</f>
        <v>20 кВа / 16 кВт</v>
      </c>
      <c r="D131" s="358">
        <f>IFERROR(__xludf.DUMMYFUNCTION("""COMPUTED_VALUE"""),19299.78)</f>
        <v>19299.78</v>
      </c>
      <c r="E131" s="359">
        <f t="shared" si="1"/>
        <v>17369.802</v>
      </c>
      <c r="F131" s="360"/>
    </row>
    <row r="132">
      <c r="A132" s="427" t="str">
        <f>IFERROR(__xludf.DUMMYFUNCTION("""COMPUTED_VALUE"""),"")</f>
        <v/>
      </c>
      <c r="B132" s="425" t="str">
        <f>IFERROR(__xludf.DUMMYFUNCTION("""COMPUTED_VALUE""")," FOGO FDG 20 M3S")</f>
        <v> FOGO FDG 20 M3S</v>
      </c>
      <c r="C132" s="426" t="str">
        <f>IFERROR(__xludf.DUMMYFUNCTION("""COMPUTED_VALUE"""),"20 кВа / 16 кВт")</f>
        <v>20 кВа / 16 кВт</v>
      </c>
      <c r="D132" s="358">
        <f>IFERROR(__xludf.DUMMYFUNCTION("""COMPUTED_VALUE"""),22210.92)</f>
        <v>22210.92</v>
      </c>
      <c r="E132" s="359">
        <f t="shared" si="1"/>
        <v>19989.828</v>
      </c>
      <c r="F132" s="360"/>
    </row>
    <row r="133">
      <c r="A133" s="427" t="str">
        <f>IFERROR(__xludf.DUMMYFUNCTION("""COMPUTED_VALUE"""),"")</f>
        <v/>
      </c>
      <c r="B133" s="425" t="str">
        <f>IFERROR(__xludf.DUMMYFUNCTION("""COMPUTED_VALUE"""),"Автомат ввода резерва")</f>
        <v>Автомат ввода резерва</v>
      </c>
      <c r="C133" s="426" t="str">
        <f>IFERROR(__xludf.DUMMYFUNCTION("""COMPUTED_VALUE"""),"")</f>
        <v/>
      </c>
      <c r="D133" s="358">
        <f>IFERROR(__xludf.DUMMYFUNCTION("""COMPUTED_VALUE"""),1988.6799999999998)</f>
        <v>1988.68</v>
      </c>
      <c r="E133" s="359">
        <f t="shared" si="1"/>
        <v>1789.812</v>
      </c>
      <c r="F133" s="360"/>
    </row>
    <row r="134">
      <c r="A134" s="427" t="str">
        <f>IFERROR(__xludf.DUMMYFUNCTION("""COMPUTED_VALUE"""),"")</f>
        <v/>
      </c>
      <c r="B134" s="425" t="str">
        <f>IFERROR(__xludf.DUMMYFUNCTION("""COMPUTED_VALUE""")," FOGO FDF 30 M3S")</f>
        <v> FOGO FDF 30 M3S</v>
      </c>
      <c r="C134" s="426" t="str">
        <f>IFERROR(__xludf.DUMMYFUNCTION("""COMPUTED_VALUE"""),"30 кВа / 24 кВт")</f>
        <v>30 кВа / 24 кВт</v>
      </c>
      <c r="D134" s="358">
        <f>IFERROR(__xludf.DUMMYFUNCTION("""COMPUTED_VALUE"""),20797.28)</f>
        <v>20797.28</v>
      </c>
      <c r="E134" s="359">
        <f t="shared" si="1"/>
        <v>18717.552</v>
      </c>
      <c r="F134" s="360"/>
    </row>
    <row r="135">
      <c r="A135" s="427" t="str">
        <f>IFERROR(__xludf.DUMMYFUNCTION("""COMPUTED_VALUE"""),"")</f>
        <v/>
      </c>
      <c r="B135" s="425" t="str">
        <f>IFERROR(__xludf.DUMMYFUNCTION("""COMPUTED_VALUE""")," FOGO FDG 30 M3S")</f>
        <v> FOGO FDG 30 M3S</v>
      </c>
      <c r="C135" s="426" t="str">
        <f>IFERROR(__xludf.DUMMYFUNCTION("""COMPUTED_VALUE"""),"30 кВа / 24 кВт")</f>
        <v>30 кВа / 24 кВт</v>
      </c>
      <c r="D135" s="358">
        <f>IFERROR(__xludf.DUMMYFUNCTION("""COMPUTED_VALUE"""),23912.079999999998)</f>
        <v>23912.08</v>
      </c>
      <c r="E135" s="359">
        <f t="shared" si="1"/>
        <v>21520.872</v>
      </c>
      <c r="F135" s="360"/>
    </row>
    <row r="136">
      <c r="A136" s="427" t="str">
        <f>IFERROR(__xludf.DUMMYFUNCTION("""COMPUTED_VALUE"""),"")</f>
        <v/>
      </c>
      <c r="B136" s="425" t="str">
        <f>IFERROR(__xludf.DUMMYFUNCTION("""COMPUTED_VALUE"""),"Автомат ввода резерва")</f>
        <v>Автомат ввода резерва</v>
      </c>
      <c r="C136" s="426" t="str">
        <f>IFERROR(__xludf.DUMMYFUNCTION("""COMPUTED_VALUE"""),"")</f>
        <v/>
      </c>
      <c r="D136" s="358">
        <f>IFERROR(__xludf.DUMMYFUNCTION("""COMPUTED_VALUE"""),2084.52)</f>
        <v>2084.52</v>
      </c>
      <c r="E136" s="359">
        <f t="shared" si="1"/>
        <v>1876.068</v>
      </c>
      <c r="F136" s="360"/>
    </row>
    <row r="137">
      <c r="A137" s="427" t="str">
        <f>IFERROR(__xludf.DUMMYFUNCTION("""COMPUTED_VALUE"""),"")</f>
        <v/>
      </c>
      <c r="B137" s="425" t="str">
        <f>IFERROR(__xludf.DUMMYFUNCTION("""COMPUTED_VALUE""")," FOGO FDF 40 MS")</f>
        <v> FOGO FDF 40 MS</v>
      </c>
      <c r="C137" s="426" t="str">
        <f>IFERROR(__xludf.DUMMYFUNCTION("""COMPUTED_VALUE"""),"40 кВа / 32 кВт")</f>
        <v>40 кВа / 32 кВт</v>
      </c>
      <c r="D137" s="358">
        <f>IFERROR(__xludf.DUMMYFUNCTION("""COMPUTED_VALUE"""),23361.0)</f>
        <v>23361</v>
      </c>
      <c r="E137" s="359">
        <f t="shared" si="1"/>
        <v>21024.9</v>
      </c>
      <c r="F137" s="360"/>
    </row>
    <row r="138">
      <c r="A138" s="427" t="str">
        <f>IFERROR(__xludf.DUMMYFUNCTION("""COMPUTED_VALUE"""),"")</f>
        <v/>
      </c>
      <c r="B138" s="425" t="str">
        <f>IFERROR(__xludf.DUMMYFUNCTION("""COMPUTED_VALUE""")," FOGO FDG 40 MS")</f>
        <v> FOGO FDG 40 MS</v>
      </c>
      <c r="C138" s="426" t="str">
        <f>IFERROR(__xludf.DUMMYFUNCTION("""COMPUTED_VALUE"""),"40 кВа / 32 кВт")</f>
        <v>40 кВа / 32 кВт</v>
      </c>
      <c r="D138" s="358">
        <f>IFERROR(__xludf.DUMMYFUNCTION("""COMPUTED_VALUE"""),26607.579999999998)</f>
        <v>26607.58</v>
      </c>
      <c r="E138" s="359">
        <f t="shared" si="1"/>
        <v>23946.822</v>
      </c>
      <c r="F138" s="360"/>
    </row>
    <row r="139">
      <c r="A139" s="427" t="str">
        <f>IFERROR(__xludf.DUMMYFUNCTION("""COMPUTED_VALUE"""),"")</f>
        <v/>
      </c>
      <c r="B139" s="425" t="str">
        <f>IFERROR(__xludf.DUMMYFUNCTION("""COMPUTED_VALUE"""),"Автомат ввода резерва")</f>
        <v>Автомат ввода резерва</v>
      </c>
      <c r="C139" s="426" t="str">
        <f>IFERROR(__xludf.DUMMYFUNCTION("""COMPUTED_VALUE"""),"")</f>
        <v/>
      </c>
      <c r="D139" s="358">
        <f>IFERROR(__xludf.DUMMYFUNCTION("""COMPUTED_VALUE"""),2240.2599999999998)</f>
        <v>2240.26</v>
      </c>
      <c r="E139" s="359">
        <f t="shared" si="1"/>
        <v>2016.234</v>
      </c>
      <c r="F139" s="360"/>
    </row>
    <row r="140">
      <c r="A140" s="427" t="str">
        <f>IFERROR(__xludf.DUMMYFUNCTION("""COMPUTED_VALUE"""),"")</f>
        <v/>
      </c>
      <c r="B140" s="425" t="str">
        <f>IFERROR(__xludf.DUMMYFUNCTION("""COMPUTED_VALUE""")," FOGO FDF 40 M3S")</f>
        <v> FOGO FDF 40 M3S</v>
      </c>
      <c r="C140" s="426" t="str">
        <f>IFERROR(__xludf.DUMMYFUNCTION("""COMPUTED_VALUE"""),"38,8 кВа / 31 кВт")</f>
        <v>38,8 кВа / 31 кВт</v>
      </c>
      <c r="D140" s="358">
        <f>IFERROR(__xludf.DUMMYFUNCTION("""COMPUTED_VALUE"""),24786.62)</f>
        <v>24786.62</v>
      </c>
      <c r="E140" s="359">
        <f t="shared" si="1"/>
        <v>22307.958</v>
      </c>
      <c r="F140" s="360"/>
    </row>
    <row r="141">
      <c r="A141" s="427" t="str">
        <f>IFERROR(__xludf.DUMMYFUNCTION("""COMPUTED_VALUE"""),"")</f>
        <v/>
      </c>
      <c r="B141" s="425" t="str">
        <f>IFERROR(__xludf.DUMMYFUNCTION("""COMPUTED_VALUE""")," FOGO FDG 40 M3S")</f>
        <v> FOGO FDG 40 M3S</v>
      </c>
      <c r="C141" s="426" t="str">
        <f>IFERROR(__xludf.DUMMYFUNCTION("""COMPUTED_VALUE"""),"38,8 кВа / 31 кВт")</f>
        <v>38,8 кВа / 31 кВт</v>
      </c>
      <c r="D141" s="358">
        <f>IFERROR(__xludf.DUMMYFUNCTION("""COMPUTED_VALUE"""),27398.26)</f>
        <v>27398.26</v>
      </c>
      <c r="E141" s="359">
        <f t="shared" si="1"/>
        <v>24658.434</v>
      </c>
      <c r="F141" s="360"/>
    </row>
    <row r="142">
      <c r="A142" s="427" t="str">
        <f>IFERROR(__xludf.DUMMYFUNCTION("""COMPUTED_VALUE"""),"")</f>
        <v/>
      </c>
      <c r="B142" s="425" t="str">
        <f>IFERROR(__xludf.DUMMYFUNCTION("""COMPUTED_VALUE"""),"Автомат ввода резерва")</f>
        <v>Автомат ввода резерва</v>
      </c>
      <c r="C142" s="426" t="str">
        <f>IFERROR(__xludf.DUMMYFUNCTION("""COMPUTED_VALUE"""),"")</f>
        <v/>
      </c>
      <c r="D142" s="358">
        <f>IFERROR(__xludf.DUMMYFUNCTION("""COMPUTED_VALUE"""),2240.2599999999998)</f>
        <v>2240.26</v>
      </c>
      <c r="E142" s="359">
        <f t="shared" si="1"/>
        <v>2016.234</v>
      </c>
      <c r="F142" s="360"/>
    </row>
    <row r="143">
      <c r="A143" s="421" t="str">
        <f>IFERROR(__xludf.DUMMYFUNCTION("""COMPUTED_VALUE"""),"")</f>
        <v/>
      </c>
      <c r="B143" s="428" t="str">
        <f>IFERROR(__xludf.DUMMYFUNCTION("""COMPUTED_VALUE"""),"Двигатель IVECO")</f>
        <v>Двигатель IVECO</v>
      </c>
      <c r="C143" s="421" t="str">
        <f>IFERROR(__xludf.DUMMYFUNCTION("""COMPUTED_VALUE"""),"")</f>
        <v/>
      </c>
      <c r="D143" s="429" t="str">
        <f>IFERROR(__xludf.DUMMYFUNCTION("""COMPUTED_VALUE"""),"")</f>
        <v/>
      </c>
      <c r="E143" s="423"/>
      <c r="F143" s="423"/>
    </row>
    <row r="144">
      <c r="A144" s="424" t="str">
        <f>IFERROR(__xludf.DUMMYFUNCTION("""COMPUTED_VALUE"""),"")</f>
        <v/>
      </c>
      <c r="B144" s="425" t="str">
        <f>IFERROR(__xludf.DUMMYFUNCTION("""COMPUTED_VALUE"""),"FOGO FDF 60 IS")</f>
        <v>FOGO FDF 60 IS</v>
      </c>
      <c r="C144" s="426" t="str">
        <f>IFERROR(__xludf.DUMMYFUNCTION("""COMPUTED_VALUE"""),"60 кВа / 48 кВт")</f>
        <v>60 кВа / 48 кВт</v>
      </c>
      <c r="D144" s="358">
        <f>IFERROR(__xludf.DUMMYFUNCTION("""COMPUTED_VALUE"""),25905.552)</f>
        <v>25905.552</v>
      </c>
      <c r="E144" s="359">
        <f t="shared" ref="E144:E164" si="2">D144*0.9</f>
        <v>23314.9968</v>
      </c>
      <c r="F144" s="329"/>
    </row>
    <row r="145">
      <c r="A145" s="424" t="str">
        <f>IFERROR(__xludf.DUMMYFUNCTION("""COMPUTED_VALUE"""),"")</f>
        <v/>
      </c>
      <c r="B145" s="425" t="str">
        <f>IFERROR(__xludf.DUMMYFUNCTION("""COMPUTED_VALUE"""),"FOGO FDG 60 IS")</f>
        <v>FOGO FDG 60 IS</v>
      </c>
      <c r="C145" s="426" t="str">
        <f>IFERROR(__xludf.DUMMYFUNCTION("""COMPUTED_VALUE"""),"60 кВа / 48 кВт")</f>
        <v>60 кВа / 48 кВт</v>
      </c>
      <c r="D145" s="358">
        <f>IFERROR(__xludf.DUMMYFUNCTION("""COMPUTED_VALUE"""),29097.023999999998)</f>
        <v>29097.024</v>
      </c>
      <c r="E145" s="359">
        <f t="shared" si="2"/>
        <v>26187.3216</v>
      </c>
      <c r="F145" s="329"/>
    </row>
    <row r="146">
      <c r="A146" s="424" t="str">
        <f>IFERROR(__xludf.DUMMYFUNCTION("""COMPUTED_VALUE"""),"")</f>
        <v/>
      </c>
      <c r="B146" s="425" t="str">
        <f>IFERROR(__xludf.DUMMYFUNCTION("""COMPUTED_VALUE"""),"Автомат ввода резерва")</f>
        <v>Автомат ввода резерва</v>
      </c>
      <c r="C146" s="426" t="str">
        <f>IFERROR(__xludf.DUMMYFUNCTION("""COMPUTED_VALUE"""),"")</f>
        <v/>
      </c>
      <c r="D146" s="358">
        <f>IFERROR(__xludf.DUMMYFUNCTION("""COMPUTED_VALUE"""),2947.08)</f>
        <v>2947.08</v>
      </c>
      <c r="E146" s="359">
        <f t="shared" si="2"/>
        <v>2652.372</v>
      </c>
      <c r="F146" s="329"/>
    </row>
    <row r="147">
      <c r="A147" s="424" t="str">
        <f>IFERROR(__xludf.DUMMYFUNCTION("""COMPUTED_VALUE"""),"")</f>
        <v/>
      </c>
      <c r="B147" s="425" t="str">
        <f>IFERROR(__xludf.DUMMYFUNCTION("""COMPUTED_VALUE"""),"FOGO FDF 80 IS")</f>
        <v>FOGO FDF 80 IS</v>
      </c>
      <c r="C147" s="426" t="str">
        <f>IFERROR(__xludf.DUMMYFUNCTION("""COMPUTED_VALUE"""),"80 кВа / 64 кВт")</f>
        <v>80 кВа / 64 кВт</v>
      </c>
      <c r="D147" s="358">
        <f>IFERROR(__xludf.DUMMYFUNCTION("""COMPUTED_VALUE"""),27855.896)</f>
        <v>27855.896</v>
      </c>
      <c r="E147" s="359">
        <f t="shared" si="2"/>
        <v>25070.3064</v>
      </c>
      <c r="F147" s="329"/>
    </row>
    <row r="148">
      <c r="A148" s="424" t="str">
        <f>IFERROR(__xludf.DUMMYFUNCTION("""COMPUTED_VALUE"""),"")</f>
        <v/>
      </c>
      <c r="B148" s="425" t="str">
        <f>IFERROR(__xludf.DUMMYFUNCTION("""COMPUTED_VALUE"""),"FOGO FDG 80 IS")</f>
        <v>FOGO FDG 80 IS</v>
      </c>
      <c r="C148" s="426" t="str">
        <f>IFERROR(__xludf.DUMMYFUNCTION("""COMPUTED_VALUE"""),"80 кВа / 64 кВт")</f>
        <v>80 кВа / 64 кВт</v>
      </c>
      <c r="D148" s="358">
        <f>IFERROR(__xludf.DUMMYFUNCTION("""COMPUTED_VALUE"""),31967.431999999997)</f>
        <v>31967.432</v>
      </c>
      <c r="E148" s="359">
        <f t="shared" si="2"/>
        <v>28770.6888</v>
      </c>
      <c r="F148" s="329"/>
    </row>
    <row r="149">
      <c r="A149" s="430" t="str">
        <f>IFERROR(__xludf.DUMMYFUNCTION("""COMPUTED_VALUE"""),"")</f>
        <v/>
      </c>
      <c r="B149" s="425" t="str">
        <f>IFERROR(__xludf.DUMMYFUNCTION("""COMPUTED_VALUE"""),"Автомат ввода резерва")</f>
        <v>Автомат ввода резерва</v>
      </c>
      <c r="C149" s="426" t="str">
        <f>IFERROR(__xludf.DUMMYFUNCTION("""COMPUTED_VALUE"""),"")</f>
        <v/>
      </c>
      <c r="D149" s="358">
        <f>IFERROR(__xludf.DUMMYFUNCTION("""COMPUTED_VALUE"""),3181.888)</f>
        <v>3181.888</v>
      </c>
      <c r="E149" s="359">
        <f t="shared" si="2"/>
        <v>2863.6992</v>
      </c>
      <c r="F149" s="329"/>
    </row>
    <row r="150">
      <c r="A150" s="424" t="str">
        <f>IFERROR(__xludf.DUMMYFUNCTION("""COMPUTED_VALUE"""),"")</f>
        <v/>
      </c>
      <c r="B150" s="425" t="str">
        <f>IFERROR(__xludf.DUMMYFUNCTION("""COMPUTED_VALUE"""),"FOGO FDF 100 IS")</f>
        <v>FOGO FDF 100 IS</v>
      </c>
      <c r="C150" s="426" t="str">
        <f>IFERROR(__xludf.DUMMYFUNCTION("""COMPUTED_VALUE"""),"99 кВа / 79 кВт")</f>
        <v>99 кВа / 79 кВт</v>
      </c>
      <c r="D150" s="358">
        <f>IFERROR(__xludf.DUMMYFUNCTION("""COMPUTED_VALUE"""),31660.744)</f>
        <v>31660.744</v>
      </c>
      <c r="E150" s="359">
        <f t="shared" si="2"/>
        <v>28494.6696</v>
      </c>
      <c r="F150" s="329"/>
    </row>
    <row r="151">
      <c r="A151" s="424" t="str">
        <f>IFERROR(__xludf.DUMMYFUNCTION("""COMPUTED_VALUE"""),"")</f>
        <v/>
      </c>
      <c r="B151" s="425" t="str">
        <f>IFERROR(__xludf.DUMMYFUNCTION("""COMPUTED_VALUE"""),"FOGO FDG 100 IS")</f>
        <v>FOGO FDG 100 IS</v>
      </c>
      <c r="C151" s="426" t="str">
        <f>IFERROR(__xludf.DUMMYFUNCTION("""COMPUTED_VALUE"""),"99 кВа / 79 кВт")</f>
        <v>99 кВа / 79 кВт</v>
      </c>
      <c r="D151" s="358">
        <f>IFERROR(__xludf.DUMMYFUNCTION("""COMPUTED_VALUE"""),35877.704)</f>
        <v>35877.704</v>
      </c>
      <c r="E151" s="359">
        <f t="shared" si="2"/>
        <v>32289.9336</v>
      </c>
      <c r="F151" s="329"/>
    </row>
    <row r="152">
      <c r="A152" s="424" t="str">
        <f>IFERROR(__xludf.DUMMYFUNCTION("""COMPUTED_VALUE"""),"")</f>
        <v/>
      </c>
      <c r="B152" s="425" t="str">
        <f>IFERROR(__xludf.DUMMYFUNCTION("""COMPUTED_VALUE"""),"Автомат ввода резерва")</f>
        <v>Автомат ввода резерва</v>
      </c>
      <c r="C152" s="426" t="str">
        <f>IFERROR(__xludf.DUMMYFUNCTION("""COMPUTED_VALUE"""),"")</f>
        <v/>
      </c>
      <c r="D152" s="358">
        <f>IFERROR(__xludf.DUMMYFUNCTION("""COMPUTED_VALUE"""),4145.08)</f>
        <v>4145.08</v>
      </c>
      <c r="E152" s="359">
        <f t="shared" si="2"/>
        <v>3730.572</v>
      </c>
      <c r="F152" s="329"/>
    </row>
    <row r="153">
      <c r="A153" s="424" t="str">
        <f>IFERROR(__xludf.DUMMYFUNCTION("""COMPUTED_VALUE"""),"")</f>
        <v/>
      </c>
      <c r="B153" s="425" t="str">
        <f>IFERROR(__xludf.DUMMYFUNCTION("""COMPUTED_VALUE"""),"FOGO FDF 130 IS")</f>
        <v>FOGO FDF 130 IS</v>
      </c>
      <c r="C153" s="426" t="str">
        <f>IFERROR(__xludf.DUMMYFUNCTION("""COMPUTED_VALUE"""),"123,1 кВа / 98,48 кВт")</f>
        <v>123,1 кВа / 98,48 кВт</v>
      </c>
      <c r="D153" s="358">
        <f>IFERROR(__xludf.DUMMYFUNCTION("""COMPUTED_VALUE"""),37873.572)</f>
        <v>37873.572</v>
      </c>
      <c r="E153" s="359">
        <f t="shared" si="2"/>
        <v>34086.2148</v>
      </c>
      <c r="F153" s="329"/>
    </row>
    <row r="154">
      <c r="A154" s="424" t="str">
        <f>IFERROR(__xludf.DUMMYFUNCTION("""COMPUTED_VALUE"""),"")</f>
        <v/>
      </c>
      <c r="B154" s="425" t="str">
        <f>IFERROR(__xludf.DUMMYFUNCTION("""COMPUTED_VALUE"""),"FOGO FDG 130 IS")</f>
        <v>FOGO FDG 130 IS</v>
      </c>
      <c r="C154" s="426" t="str">
        <f>IFERROR(__xludf.DUMMYFUNCTION("""COMPUTED_VALUE"""),"123,1 кВа / 98,48 кВт")</f>
        <v>123,1 кВа / 98,48 кВт</v>
      </c>
      <c r="D154" s="358">
        <f>IFERROR(__xludf.DUMMYFUNCTION("""COMPUTED_VALUE"""),41750.299999999996)</f>
        <v>41750.3</v>
      </c>
      <c r="E154" s="359">
        <f t="shared" si="2"/>
        <v>37575.27</v>
      </c>
      <c r="F154" s="329"/>
    </row>
    <row r="155">
      <c r="A155" s="424" t="str">
        <f>IFERROR(__xludf.DUMMYFUNCTION("""COMPUTED_VALUE"""),"")</f>
        <v/>
      </c>
      <c r="B155" s="425" t="str">
        <f>IFERROR(__xludf.DUMMYFUNCTION("""COMPUTED_VALUE"""),"Автомат ввода резерва")</f>
        <v>Автомат ввода резерва</v>
      </c>
      <c r="C155" s="426" t="str">
        <f>IFERROR(__xludf.DUMMYFUNCTION("""COMPUTED_VALUE"""),"")</f>
        <v/>
      </c>
      <c r="D155" s="358">
        <f>IFERROR(__xludf.DUMMYFUNCTION("""COMPUTED_VALUE"""),4173.831999999999)</f>
        <v>4173.832</v>
      </c>
      <c r="E155" s="359">
        <f t="shared" si="2"/>
        <v>3756.4488</v>
      </c>
      <c r="F155" s="329"/>
    </row>
    <row r="156">
      <c r="A156" s="427" t="str">
        <f>IFERROR(__xludf.DUMMYFUNCTION("""COMPUTED_VALUE"""),"")</f>
        <v/>
      </c>
      <c r="B156" s="425" t="str">
        <f>IFERROR(__xludf.DUMMYFUNCTION("""COMPUTED_VALUE"""),"FOGO FDF 140 IS")</f>
        <v>FOGO FDF 140 IS</v>
      </c>
      <c r="C156" s="426" t="str">
        <f>IFERROR(__xludf.DUMMYFUNCTION("""COMPUTED_VALUE"""),"130 кВа / 104 кВт")</f>
        <v>130 кВа / 104 кВт</v>
      </c>
      <c r="D156" s="358">
        <f>IFERROR(__xludf.DUMMYFUNCTION("""COMPUTED_VALUE"""),38017.332)</f>
        <v>38017.332</v>
      </c>
      <c r="E156" s="359">
        <f t="shared" si="2"/>
        <v>34215.5988</v>
      </c>
      <c r="F156" s="360"/>
    </row>
    <row r="157">
      <c r="A157" s="424" t="str">
        <f>IFERROR(__xludf.DUMMYFUNCTION("""COMPUTED_VALUE"""),"")</f>
        <v/>
      </c>
      <c r="B157" s="425" t="str">
        <f>IFERROR(__xludf.DUMMYFUNCTION("""COMPUTED_VALUE"""),"FOGO FDG 140 IS")</f>
        <v>FOGO FDG 140 IS</v>
      </c>
      <c r="C157" s="426" t="str">
        <f>IFERROR(__xludf.DUMMYFUNCTION("""COMPUTED_VALUE"""),"130 кВа / 104 кВт")</f>
        <v>130 кВа / 104 кВт</v>
      </c>
      <c r="D157" s="358">
        <f>IFERROR(__xludf.DUMMYFUNCTION("""COMPUTED_VALUE"""),44270.892)</f>
        <v>44270.892</v>
      </c>
      <c r="E157" s="359">
        <f t="shared" si="2"/>
        <v>39843.8028</v>
      </c>
      <c r="F157" s="329"/>
    </row>
    <row r="158">
      <c r="A158" s="430" t="str">
        <f>IFERROR(__xludf.DUMMYFUNCTION("""COMPUTED_VALUE"""),"")</f>
        <v/>
      </c>
      <c r="B158" s="425" t="str">
        <f>IFERROR(__xludf.DUMMYFUNCTION("""COMPUTED_VALUE"""),"Автомат ввода резерва")</f>
        <v>Автомат ввода резерва</v>
      </c>
      <c r="C158" s="426" t="str">
        <f>IFERROR(__xludf.DUMMYFUNCTION("""COMPUTED_VALUE"""),"")</f>
        <v/>
      </c>
      <c r="D158" s="358">
        <f>IFERROR(__xludf.DUMMYFUNCTION("""COMPUTED_VALUE"""),4686.576)</f>
        <v>4686.576</v>
      </c>
      <c r="E158" s="359">
        <f t="shared" si="2"/>
        <v>4217.9184</v>
      </c>
      <c r="F158" s="329"/>
    </row>
    <row r="159">
      <c r="A159" s="430" t="str">
        <f>IFERROR(__xludf.DUMMYFUNCTION("""COMPUTED_VALUE"""),"")</f>
        <v/>
      </c>
      <c r="B159" s="425" t="str">
        <f>IFERROR(__xludf.DUMMYFUNCTION("""COMPUTED_VALUE"""),"FOGO FDF 170 IS")</f>
        <v>FOGO FDF 170 IS</v>
      </c>
      <c r="C159" s="426" t="str">
        <f>IFERROR(__xludf.DUMMYFUNCTION("""COMPUTED_VALUE"""),"172 кВа / 138 кВт")</f>
        <v>172 кВа / 138 кВт</v>
      </c>
      <c r="D159" s="358">
        <f>IFERROR(__xludf.DUMMYFUNCTION("""COMPUTED_VALUE"""),42481.08)</f>
        <v>42481.08</v>
      </c>
      <c r="E159" s="359">
        <f t="shared" si="2"/>
        <v>38232.972</v>
      </c>
      <c r="F159" s="329"/>
    </row>
    <row r="160">
      <c r="A160" s="427" t="str">
        <f>IFERROR(__xludf.DUMMYFUNCTION("""COMPUTED_VALUE"""),"")</f>
        <v/>
      </c>
      <c r="B160" s="425" t="str">
        <f>IFERROR(__xludf.DUMMYFUNCTION("""COMPUTED_VALUE"""),"FOGO FDG 170 IS")</f>
        <v>FOGO FDG 170 IS</v>
      </c>
      <c r="C160" s="426" t="str">
        <f>IFERROR(__xludf.DUMMYFUNCTION("""COMPUTED_VALUE"""),"172 кВа / 138 кВт")</f>
        <v>172 кВа / 138 кВт</v>
      </c>
      <c r="D160" s="358">
        <f>IFERROR(__xludf.DUMMYFUNCTION("""COMPUTED_VALUE"""),49048.515999999996)</f>
        <v>49048.516</v>
      </c>
      <c r="E160" s="359">
        <f t="shared" si="2"/>
        <v>44143.6644</v>
      </c>
      <c r="F160" s="360"/>
    </row>
    <row r="161">
      <c r="A161" s="430" t="str">
        <f>IFERROR(__xludf.DUMMYFUNCTION("""COMPUTED_VALUE"""),"")</f>
        <v/>
      </c>
      <c r="B161" s="425" t="str">
        <f>IFERROR(__xludf.DUMMYFUNCTION("""COMPUTED_VALUE"""),"Автомат ввода резерва")</f>
        <v>Автомат ввода резерва</v>
      </c>
      <c r="C161" s="426" t="str">
        <f>IFERROR(__xludf.DUMMYFUNCTION("""COMPUTED_VALUE"""),"")</f>
        <v/>
      </c>
      <c r="D161" s="358">
        <f>IFERROR(__xludf.DUMMYFUNCTION("""COMPUTED_VALUE"""),5712.063999999999)</f>
        <v>5712.064</v>
      </c>
      <c r="E161" s="359">
        <f t="shared" si="2"/>
        <v>5140.8576</v>
      </c>
      <c r="F161" s="329"/>
    </row>
    <row r="162">
      <c r="A162" s="430" t="str">
        <f>IFERROR(__xludf.DUMMYFUNCTION("""COMPUTED_VALUE"""),"")</f>
        <v/>
      </c>
      <c r="B162" s="425" t="str">
        <f>IFERROR(__xludf.DUMMYFUNCTION("""COMPUTED_VALUE"""),"FOGO FDF 200 IS")</f>
        <v>FOGO FDF 200 IS</v>
      </c>
      <c r="C162" s="426" t="str">
        <f>IFERROR(__xludf.DUMMYFUNCTION("""COMPUTED_VALUE"""),"200 кВа / 160 кВт")</f>
        <v>200 кВа / 160 кВт</v>
      </c>
      <c r="D162" s="358">
        <f>IFERROR(__xludf.DUMMYFUNCTION("""COMPUTED_VALUE"""),48051.78)</f>
        <v>48051.78</v>
      </c>
      <c r="E162" s="359">
        <f t="shared" si="2"/>
        <v>43246.602</v>
      </c>
      <c r="F162" s="329"/>
    </row>
    <row r="163">
      <c r="A163" s="430" t="str">
        <f>IFERROR(__xludf.DUMMYFUNCTION("""COMPUTED_VALUE"""),"")</f>
        <v/>
      </c>
      <c r="B163" s="425" t="str">
        <f>IFERROR(__xludf.DUMMYFUNCTION("""COMPUTED_VALUE"""),"FOGO FDG 200 IS")</f>
        <v>FOGO FDG 200 IS</v>
      </c>
      <c r="C163" s="426" t="str">
        <f>IFERROR(__xludf.DUMMYFUNCTION("""COMPUTED_VALUE"""),"200 кВа / 160 кВт")</f>
        <v>200 кВа / 160 кВт</v>
      </c>
      <c r="D163" s="358">
        <f>IFERROR(__xludf.DUMMYFUNCTION("""COMPUTED_VALUE"""),54669.532)</f>
        <v>54669.532</v>
      </c>
      <c r="E163" s="359">
        <f t="shared" si="2"/>
        <v>49202.5788</v>
      </c>
      <c r="F163" s="329"/>
    </row>
    <row r="164">
      <c r="A164" s="430" t="str">
        <f>IFERROR(__xludf.DUMMYFUNCTION("""COMPUTED_VALUE"""),"")</f>
        <v/>
      </c>
      <c r="B164" s="425" t="str">
        <f>IFERROR(__xludf.DUMMYFUNCTION("""COMPUTED_VALUE"""),"Автомат ввода резерва")</f>
        <v>Автомат ввода резерва</v>
      </c>
      <c r="C164" s="426" t="str">
        <f>IFERROR(__xludf.DUMMYFUNCTION("""COMPUTED_VALUE"""),"")</f>
        <v/>
      </c>
      <c r="D164" s="358">
        <f>IFERROR(__xludf.DUMMYFUNCTION("""COMPUTED_VALUE"""),5712.063999999999)</f>
        <v>5712.064</v>
      </c>
      <c r="E164" s="359">
        <f t="shared" si="2"/>
        <v>5140.8576</v>
      </c>
      <c r="F164" s="329"/>
    </row>
    <row r="165">
      <c r="A165" s="421" t="str">
        <f>IFERROR(__xludf.DUMMYFUNCTION("""COMPUTED_VALUE"""),"")</f>
        <v/>
      </c>
      <c r="B165" s="428" t="str">
        <f>IFERROR(__xludf.DUMMYFUNCTION("""COMPUTED_VALUE"""),"Двигатель DOOSAN")</f>
        <v>Двигатель DOOSAN</v>
      </c>
      <c r="C165" s="421" t="str">
        <f>IFERROR(__xludf.DUMMYFUNCTION("""COMPUTED_VALUE"""),"")</f>
        <v/>
      </c>
      <c r="D165" s="429" t="str">
        <f>IFERROR(__xludf.DUMMYFUNCTION("""COMPUTED_VALUE"""),"")</f>
        <v/>
      </c>
      <c r="E165" s="423"/>
      <c r="F165" s="329"/>
    </row>
    <row r="166">
      <c r="A166" s="430" t="str">
        <f>IFERROR(__xludf.DUMMYFUNCTION("""COMPUTED_VALUE"""),"")</f>
        <v/>
      </c>
      <c r="B166" s="425" t="str">
        <f>IFERROR(__xludf.DUMMYFUNCTION("""COMPUTED_VALUE"""),"FOGO FDF 300 DS")</f>
        <v>FOGO FDF 300 DS</v>
      </c>
      <c r="C166" s="426" t="str">
        <f>IFERROR(__xludf.DUMMYFUNCTION("""COMPUTED_VALUE"""),"300 кВА / 240 кВт")</f>
        <v>300 кВА / 240 кВт</v>
      </c>
      <c r="D166" s="358">
        <f>IFERROR(__xludf.DUMMYFUNCTION("""COMPUTED_VALUE"""),59995.84)</f>
        <v>59995.84</v>
      </c>
      <c r="E166" s="359">
        <f t="shared" ref="E166:E186" si="3">D166*0.9</f>
        <v>53996.256</v>
      </c>
      <c r="F166" s="329"/>
    </row>
    <row r="167">
      <c r="A167" s="427" t="str">
        <f>IFERROR(__xludf.DUMMYFUNCTION("""COMPUTED_VALUE"""),"")</f>
        <v/>
      </c>
      <c r="B167" s="425" t="str">
        <f>IFERROR(__xludf.DUMMYFUNCTION("""COMPUTED_VALUE"""),"FOGO FDG 300 DS")</f>
        <v>FOGO FDG 300 DS</v>
      </c>
      <c r="C167" s="426" t="str">
        <f>IFERROR(__xludf.DUMMYFUNCTION("""COMPUTED_VALUE"""),"300 кВА / 240 кВт")</f>
        <v>300 кВА / 240 кВт</v>
      </c>
      <c r="D167" s="358">
        <f>IFERROR(__xludf.DUMMYFUNCTION("""COMPUTED_VALUE"""),65374.86)</f>
        <v>65374.86</v>
      </c>
      <c r="E167" s="359">
        <f t="shared" si="3"/>
        <v>58837.374</v>
      </c>
      <c r="F167" s="360"/>
    </row>
    <row r="168">
      <c r="A168" s="430" t="str">
        <f>IFERROR(__xludf.DUMMYFUNCTION("""COMPUTED_VALUE"""),"")</f>
        <v/>
      </c>
      <c r="B168" s="425" t="str">
        <f>IFERROR(__xludf.DUMMYFUNCTION("""COMPUTED_VALUE"""),"Автомат ввода резерва")</f>
        <v>Автомат ввода резерва</v>
      </c>
      <c r="C168" s="426" t="str">
        <f>IFERROR(__xludf.DUMMYFUNCTION("""COMPUTED_VALUE"""),"")</f>
        <v/>
      </c>
      <c r="D168" s="358">
        <f>IFERROR(__xludf.DUMMYFUNCTION("""COMPUTED_VALUE"""),6426.072)</f>
        <v>6426.072</v>
      </c>
      <c r="E168" s="359">
        <f t="shared" si="3"/>
        <v>5783.4648</v>
      </c>
      <c r="F168" s="329"/>
    </row>
    <row r="169">
      <c r="A169" s="430" t="str">
        <f>IFERROR(__xludf.DUMMYFUNCTION("""COMPUTED_VALUE"""),"")</f>
        <v/>
      </c>
      <c r="B169" s="425" t="str">
        <f>IFERROR(__xludf.DUMMYFUNCTION("""COMPUTED_VALUE"""),"FOGO FDF 450 DS")</f>
        <v>FOGO FDF 450 DS</v>
      </c>
      <c r="C169" s="426" t="str">
        <f>IFERROR(__xludf.DUMMYFUNCTION("""COMPUTED_VALUE"""),"450 кВА / 360 кВт")</f>
        <v>450 кВА / 360 кВт</v>
      </c>
      <c r="D169" s="358">
        <f>IFERROR(__xludf.DUMMYFUNCTION("""COMPUTED_VALUE"""),93173.252)</f>
        <v>93173.252</v>
      </c>
      <c r="E169" s="359">
        <f t="shared" si="3"/>
        <v>83855.9268</v>
      </c>
      <c r="F169" s="329"/>
    </row>
    <row r="170">
      <c r="A170" s="430" t="str">
        <f>IFERROR(__xludf.DUMMYFUNCTION("""COMPUTED_VALUE"""),"")</f>
        <v/>
      </c>
      <c r="B170" s="425" t="str">
        <f>IFERROR(__xludf.DUMMYFUNCTION("""COMPUTED_VALUE"""),"FOGO FDG 450 DS")</f>
        <v>FOGO FDG 450 DS</v>
      </c>
      <c r="C170" s="426" t="str">
        <f>IFERROR(__xludf.DUMMYFUNCTION("""COMPUTED_VALUE"""),"450 кВА / 360 кВт")</f>
        <v>450 кВА / 360 кВт</v>
      </c>
      <c r="D170" s="358">
        <f>IFERROR(__xludf.DUMMYFUNCTION("""COMPUTED_VALUE"""),99017.09599999999)</f>
        <v>99017.096</v>
      </c>
      <c r="E170" s="359">
        <f t="shared" si="3"/>
        <v>89115.3864</v>
      </c>
      <c r="F170" s="329"/>
    </row>
    <row r="171">
      <c r="A171" s="430" t="str">
        <f>IFERROR(__xludf.DUMMYFUNCTION("""COMPUTED_VALUE"""),"")</f>
        <v/>
      </c>
      <c r="B171" s="425" t="str">
        <f>IFERROR(__xludf.DUMMYFUNCTION("""COMPUTED_VALUE"""),"Автомат ввода резерва")</f>
        <v>Автомат ввода резерва</v>
      </c>
      <c r="C171" s="426" t="str">
        <f>IFERROR(__xludf.DUMMYFUNCTION("""COMPUTED_VALUE"""),"")</f>
        <v/>
      </c>
      <c r="D171" s="358">
        <f>IFERROR(__xludf.DUMMYFUNCTION("""COMPUTED_VALUE"""),8132.023999999999)</f>
        <v>8132.024</v>
      </c>
      <c r="E171" s="359">
        <f t="shared" si="3"/>
        <v>7318.8216</v>
      </c>
      <c r="F171" s="329"/>
    </row>
    <row r="172">
      <c r="A172" s="430" t="str">
        <f>IFERROR(__xludf.DUMMYFUNCTION("""COMPUTED_VALUE"""),"")</f>
        <v/>
      </c>
      <c r="B172" s="425" t="str">
        <f>IFERROR(__xludf.DUMMYFUNCTION("""COMPUTED_VALUE"""),"FOGO FDF 500 DS")</f>
        <v>FOGO FDF 500 DS</v>
      </c>
      <c r="C172" s="426" t="str">
        <f>IFERROR(__xludf.DUMMYFUNCTION("""COMPUTED_VALUE"""),"500 кВА / 400 кВт")</f>
        <v>500 кВА / 400 кВт</v>
      </c>
      <c r="D172" s="358">
        <f>IFERROR(__xludf.DUMMYFUNCTION("""COMPUTED_VALUE"""),101360.38399999999)</f>
        <v>101360.384</v>
      </c>
      <c r="E172" s="359">
        <f t="shared" si="3"/>
        <v>91224.3456</v>
      </c>
      <c r="F172" s="329"/>
    </row>
    <row r="173">
      <c r="A173" s="430" t="str">
        <f>IFERROR(__xludf.DUMMYFUNCTION("""COMPUTED_VALUE"""),"")</f>
        <v/>
      </c>
      <c r="B173" s="425" t="str">
        <f>IFERROR(__xludf.DUMMYFUNCTION("""COMPUTED_VALUE"""),"FOGO FDG 500 DS")</f>
        <v>FOGO FDG 500 DS</v>
      </c>
      <c r="C173" s="426" t="str">
        <f>IFERROR(__xludf.DUMMYFUNCTION("""COMPUTED_VALUE"""),"500 кВА / 400 кВт")</f>
        <v>500 кВА / 400 кВт</v>
      </c>
      <c r="D173" s="358">
        <f>IFERROR(__xludf.DUMMYFUNCTION("""COMPUTED_VALUE"""),107381.53199999999)</f>
        <v>107381.532</v>
      </c>
      <c r="E173" s="359">
        <f t="shared" si="3"/>
        <v>96643.3788</v>
      </c>
      <c r="F173" s="329"/>
    </row>
    <row r="174">
      <c r="A174" s="430" t="str">
        <f>IFERROR(__xludf.DUMMYFUNCTION("""COMPUTED_VALUE"""),"")</f>
        <v/>
      </c>
      <c r="B174" s="425" t="str">
        <f>IFERROR(__xludf.DUMMYFUNCTION("""COMPUTED_VALUE"""),"Автомат ввода резерва")</f>
        <v>Автомат ввода резерва</v>
      </c>
      <c r="C174" s="426" t="str">
        <f>IFERROR(__xludf.DUMMYFUNCTION("""COMPUTED_VALUE"""),"")</f>
        <v/>
      </c>
      <c r="D174" s="358">
        <f>IFERROR(__xludf.DUMMYFUNCTION("""COMPUTED_VALUE"""),8132.023999999999)</f>
        <v>8132.024</v>
      </c>
      <c r="E174" s="359">
        <f t="shared" si="3"/>
        <v>7318.8216</v>
      </c>
      <c r="F174" s="329"/>
    </row>
    <row r="175">
      <c r="A175" s="430" t="str">
        <f>IFERROR(__xludf.DUMMYFUNCTION("""COMPUTED_VALUE"""),"")</f>
        <v/>
      </c>
      <c r="B175" s="425" t="str">
        <f>IFERROR(__xludf.DUMMYFUNCTION("""COMPUTED_VALUE"""),"FOGO FDF 600 DS")</f>
        <v>FOGO FDF 600 DS</v>
      </c>
      <c r="C175" s="426" t="str">
        <f>IFERROR(__xludf.DUMMYFUNCTION("""COMPUTED_VALUE"""),"570 кВА / 456 кВт")</f>
        <v>570 кВА / 456 кВт</v>
      </c>
      <c r="D175" s="358">
        <f>IFERROR(__xludf.DUMMYFUNCTION("""COMPUTED_VALUE"""),123820.488)</f>
        <v>123820.488</v>
      </c>
      <c r="E175" s="359">
        <f t="shared" si="3"/>
        <v>111438.4392</v>
      </c>
      <c r="F175" s="329"/>
    </row>
    <row r="176">
      <c r="A176" s="430" t="str">
        <f>IFERROR(__xludf.DUMMYFUNCTION("""COMPUTED_VALUE"""),"")</f>
        <v/>
      </c>
      <c r="B176" s="425" t="str">
        <f>IFERROR(__xludf.DUMMYFUNCTION("""COMPUTED_VALUE"""),"FOGO FDG 600 DS")</f>
        <v>FOGO FDG 600 DS</v>
      </c>
      <c r="C176" s="426" t="str">
        <f>IFERROR(__xludf.DUMMYFUNCTION("""COMPUTED_VALUE"""),"570 кВА / 456 кВт")</f>
        <v>570 кВА / 456 кВт</v>
      </c>
      <c r="D176" s="358">
        <f>IFERROR(__xludf.DUMMYFUNCTION("""COMPUTED_VALUE"""),131552.38)</f>
        <v>131552.38</v>
      </c>
      <c r="E176" s="359">
        <f t="shared" si="3"/>
        <v>118397.142</v>
      </c>
      <c r="F176" s="329"/>
    </row>
    <row r="177" ht="14.25" customHeight="1">
      <c r="A177" s="430" t="str">
        <f>IFERROR(__xludf.DUMMYFUNCTION("""COMPUTED_VALUE"""),"")</f>
        <v/>
      </c>
      <c r="B177" s="425" t="str">
        <f>IFERROR(__xludf.DUMMYFUNCTION("""COMPUTED_VALUE"""),"Автомат ввода резерва")</f>
        <v>Автомат ввода резерва</v>
      </c>
      <c r="C177" s="426" t="str">
        <f>IFERROR(__xludf.DUMMYFUNCTION("""COMPUTED_VALUE"""),"")</f>
        <v/>
      </c>
      <c r="D177" s="358">
        <f>IFERROR(__xludf.DUMMYFUNCTION("""COMPUTED_VALUE"""),11103.064)</f>
        <v>11103.064</v>
      </c>
      <c r="E177" s="359">
        <f t="shared" si="3"/>
        <v>9992.7576</v>
      </c>
      <c r="F177" s="329"/>
    </row>
    <row r="178" ht="14.25" customHeight="1">
      <c r="A178" s="431" t="str">
        <f>IFERROR(__xludf.DUMMYFUNCTION("""COMPUTED_VALUE"""),"")</f>
        <v/>
      </c>
      <c r="B178" s="425" t="str">
        <f>IFERROR(__xludf.DUMMYFUNCTION("""COMPUTED_VALUE"""),"FOGO FDF 650 DS")</f>
        <v>FOGO FDF 650 DS</v>
      </c>
      <c r="C178" s="426" t="str">
        <f>IFERROR(__xludf.DUMMYFUNCTION("""COMPUTED_VALUE"""),"639 кВА / 511 кВт")</f>
        <v>639 кВА / 511 кВт</v>
      </c>
      <c r="D178" s="358">
        <f>IFERROR(__xludf.DUMMYFUNCTION("""COMPUTED_VALUE"""),129127.628)</f>
        <v>129127.628</v>
      </c>
      <c r="E178" s="359">
        <f t="shared" si="3"/>
        <v>116214.8652</v>
      </c>
      <c r="F178" s="329"/>
    </row>
    <row r="179" ht="14.25" customHeight="1">
      <c r="A179" s="431" t="str">
        <f>IFERROR(__xludf.DUMMYFUNCTION("""COMPUTED_VALUE"""),"")</f>
        <v/>
      </c>
      <c r="B179" s="425" t="str">
        <f>IFERROR(__xludf.DUMMYFUNCTION("""COMPUTED_VALUE"""),"FOGO FDG 650 DS")</f>
        <v>FOGO FDG 650 DS</v>
      </c>
      <c r="C179" s="426" t="str">
        <f>IFERROR(__xludf.DUMMYFUNCTION("""COMPUTED_VALUE"""),"639 кВА / 511 кВт")</f>
        <v>639 кВА / 511 кВт</v>
      </c>
      <c r="D179" s="358">
        <f>IFERROR(__xludf.DUMMYFUNCTION("""COMPUTED_VALUE"""),136871.5)</f>
        <v>136871.5</v>
      </c>
      <c r="E179" s="359">
        <f t="shared" si="3"/>
        <v>123184.35</v>
      </c>
      <c r="F179" s="329"/>
    </row>
    <row r="180" ht="14.25" customHeight="1">
      <c r="A180" s="431" t="str">
        <f>IFERROR(__xludf.DUMMYFUNCTION("""COMPUTED_VALUE"""),"")</f>
        <v/>
      </c>
      <c r="B180" s="425" t="str">
        <f>IFERROR(__xludf.DUMMYFUNCTION("""COMPUTED_VALUE"""),"Автомат ввода резерва")</f>
        <v>Автомат ввода резерва</v>
      </c>
      <c r="C180" s="426" t="str">
        <f>IFERROR(__xludf.DUMMYFUNCTION("""COMPUTED_VALUE"""),"")</f>
        <v/>
      </c>
      <c r="D180" s="358">
        <f>IFERROR(__xludf.DUMMYFUNCTION("""COMPUTED_VALUE"""),11103.064)</f>
        <v>11103.064</v>
      </c>
      <c r="E180" s="359">
        <f t="shared" si="3"/>
        <v>9992.7576</v>
      </c>
      <c r="F180" s="329"/>
    </row>
    <row r="181" ht="14.25" customHeight="1">
      <c r="A181" s="431" t="str">
        <f>IFERROR(__xludf.DUMMYFUNCTION("""COMPUTED_VALUE"""),"")</f>
        <v/>
      </c>
      <c r="B181" s="425" t="str">
        <f>IFERROR(__xludf.DUMMYFUNCTION("""COMPUTED_VALUE"""),"FOGO FDF 700 DS")</f>
        <v>FOGO FDF 700 DS</v>
      </c>
      <c r="C181" s="426" t="str">
        <f>IFERROR(__xludf.DUMMYFUNCTION("""COMPUTED_VALUE"""),"687 кВА / 550 кВт")</f>
        <v>687 кВА / 550 кВт</v>
      </c>
      <c r="D181" s="358">
        <f>IFERROR(__xludf.DUMMYFUNCTION("""COMPUTED_VALUE"""),137444.144)</f>
        <v>137444.144</v>
      </c>
      <c r="E181" s="359">
        <f t="shared" si="3"/>
        <v>123699.7296</v>
      </c>
      <c r="F181" s="329"/>
    </row>
    <row r="182" ht="14.25" customHeight="1">
      <c r="A182" s="431" t="str">
        <f>IFERROR(__xludf.DUMMYFUNCTION("""COMPUTED_VALUE"""),"")</f>
        <v/>
      </c>
      <c r="B182" s="425" t="str">
        <f>IFERROR(__xludf.DUMMYFUNCTION("""COMPUTED_VALUE"""),"FOGO FDG 700 DS")</f>
        <v>FOGO FDG 700 DS</v>
      </c>
      <c r="C182" s="426" t="str">
        <f>IFERROR(__xludf.DUMMYFUNCTION("""COMPUTED_VALUE"""),"687 кВА / 550 кВт")</f>
        <v>687 кВА / 550 кВт</v>
      </c>
      <c r="D182" s="358">
        <f>IFERROR(__xludf.DUMMYFUNCTION("""COMPUTED_VALUE"""),150780.28)</f>
        <v>150780.28</v>
      </c>
      <c r="E182" s="359">
        <f t="shared" si="3"/>
        <v>135702.252</v>
      </c>
      <c r="F182" s="329"/>
    </row>
    <row r="183" ht="14.25" customHeight="1">
      <c r="A183" s="431" t="str">
        <f>IFERROR(__xludf.DUMMYFUNCTION("""COMPUTED_VALUE"""),"")</f>
        <v/>
      </c>
      <c r="B183" s="425" t="str">
        <f>IFERROR(__xludf.DUMMYFUNCTION("""COMPUTED_VALUE"""),"Автомат ввода резерва")</f>
        <v>Автомат ввода резерва</v>
      </c>
      <c r="C183" s="426" t="str">
        <f>IFERROR(__xludf.DUMMYFUNCTION("""COMPUTED_VALUE"""),"")</f>
        <v/>
      </c>
      <c r="D183" s="358">
        <f>IFERROR(__xludf.DUMMYFUNCTION("""COMPUTED_VALUE"""),12775.472)</f>
        <v>12775.472</v>
      </c>
      <c r="E183" s="359">
        <f t="shared" si="3"/>
        <v>11497.9248</v>
      </c>
      <c r="F183" s="329"/>
    </row>
    <row r="184" ht="14.25" customHeight="1">
      <c r="A184" s="431" t="str">
        <f>IFERROR(__xludf.DUMMYFUNCTION("""COMPUTED_VALUE"""),"")</f>
        <v/>
      </c>
      <c r="B184" s="425" t="str">
        <f>IFERROR(__xludf.DUMMYFUNCTION("""COMPUTED_VALUE"""),"FOGO FDF 750 DS")</f>
        <v>FOGO FDF 750 DS</v>
      </c>
      <c r="C184" s="426" t="str">
        <f>IFERROR(__xludf.DUMMYFUNCTION("""COMPUTED_VALUE"""),"750 кВА / 600 кВт")</f>
        <v>750 кВА / 600 кВт</v>
      </c>
      <c r="D184" s="358">
        <f>IFERROR(__xludf.DUMMYFUNCTION("""COMPUTED_VALUE"""),213886.128)</f>
        <v>213886.128</v>
      </c>
      <c r="E184" s="359">
        <f t="shared" si="3"/>
        <v>192497.5152</v>
      </c>
      <c r="F184" s="329"/>
    </row>
    <row r="185" ht="14.25" customHeight="1">
      <c r="A185" s="431" t="str">
        <f>IFERROR(__xludf.DUMMYFUNCTION("""COMPUTED_VALUE"""),"")</f>
        <v/>
      </c>
      <c r="B185" s="425" t="str">
        <f>IFERROR(__xludf.DUMMYFUNCTION("""COMPUTED_VALUE"""),"FOGO FDG 750 DS")</f>
        <v>FOGO FDG 750 DS</v>
      </c>
      <c r="C185" s="426" t="str">
        <f>IFERROR(__xludf.DUMMYFUNCTION("""COMPUTED_VALUE"""),"750 кВА / 600 кВт")</f>
        <v>750 кВА / 600 кВт</v>
      </c>
      <c r="D185" s="358">
        <f>IFERROR(__xludf.DUMMYFUNCTION("""COMPUTED_VALUE"""),223680.976)</f>
        <v>223680.976</v>
      </c>
      <c r="E185" s="359">
        <f t="shared" si="3"/>
        <v>201312.8784</v>
      </c>
      <c r="F185" s="329"/>
    </row>
    <row r="186" ht="14.25" customHeight="1">
      <c r="A186" s="431" t="str">
        <f>IFERROR(__xludf.DUMMYFUNCTION("""COMPUTED_VALUE"""),"")</f>
        <v/>
      </c>
      <c r="B186" s="425" t="str">
        <f>IFERROR(__xludf.DUMMYFUNCTION("""COMPUTED_VALUE"""),"Автомат ввода резерва")</f>
        <v>Автомат ввода резерва</v>
      </c>
      <c r="C186" s="426" t="str">
        <f>IFERROR(__xludf.DUMMYFUNCTION("""COMPUTED_VALUE"""),"")</f>
        <v/>
      </c>
      <c r="D186" s="358">
        <f>IFERROR(__xludf.DUMMYFUNCTION("""COMPUTED_VALUE"""),12775.472)</f>
        <v>12775.472</v>
      </c>
      <c r="E186" s="359">
        <f t="shared" si="3"/>
        <v>11497.9248</v>
      </c>
      <c r="F186" s="329"/>
    </row>
    <row r="187">
      <c r="A187" s="421" t="str">
        <f>IFERROR(__xludf.DUMMYFUNCTION("""COMPUTED_VALUE"""),"")</f>
        <v/>
      </c>
      <c r="B187" s="428" t="str">
        <f>IFERROR(__xludf.DUMMYFUNCTION("""COMPUTED_VALUE"""),"Двигатель VOLVO")</f>
        <v>Двигатель VOLVO</v>
      </c>
      <c r="C187" s="421" t="str">
        <f>IFERROR(__xludf.DUMMYFUNCTION("""COMPUTED_VALUE"""),"")</f>
        <v/>
      </c>
      <c r="D187" s="429" t="str">
        <f>IFERROR(__xludf.DUMMYFUNCTION("""COMPUTED_VALUE"""),"")</f>
        <v/>
      </c>
      <c r="E187" s="423"/>
      <c r="F187" s="329"/>
    </row>
    <row r="188" ht="14.25" customHeight="1">
      <c r="A188" s="431" t="str">
        <f>IFERROR(__xludf.DUMMYFUNCTION("""COMPUTED_VALUE"""),"")</f>
        <v/>
      </c>
      <c r="B188" s="425" t="str">
        <f>IFERROR(__xludf.DUMMYFUNCTION("""COMPUTED_VALUE"""),"FOGO FDF 130 VS")</f>
        <v>FOGO FDF 130 VS</v>
      </c>
      <c r="C188" s="426" t="str">
        <f>IFERROR(__xludf.DUMMYFUNCTION("""COMPUTED_VALUE"""),"128 кВА / 103 кВт")</f>
        <v>128 кВА / 103 кВт</v>
      </c>
      <c r="D188" s="358">
        <f>IFERROR(__xludf.DUMMYFUNCTION("""COMPUTED_VALUE"""),39615.464)</f>
        <v>39615.464</v>
      </c>
      <c r="E188" s="359">
        <f t="shared" ref="E188:E201" si="4">D188*0.9</f>
        <v>35653.9176</v>
      </c>
      <c r="F188" s="329"/>
    </row>
    <row r="189" ht="14.25" customHeight="1">
      <c r="A189" s="431" t="str">
        <f>IFERROR(__xludf.DUMMYFUNCTION("""COMPUTED_VALUE"""),"")</f>
        <v/>
      </c>
      <c r="B189" s="425" t="str">
        <f>IFERROR(__xludf.DUMMYFUNCTION("""COMPUTED_VALUE"""),"FOGO FDG 130 VS")</f>
        <v>FOGO FDG 130 VS</v>
      </c>
      <c r="C189" s="432" t="str">
        <f>IFERROR(__xludf.DUMMYFUNCTION("""COMPUTED_VALUE"""),"128 кВА / 103 кВт")</f>
        <v>128 кВА / 103 кВт</v>
      </c>
      <c r="D189" s="358">
        <f>IFERROR(__xludf.DUMMYFUNCTION("""COMPUTED_VALUE"""),44841.14)</f>
        <v>44841.14</v>
      </c>
      <c r="E189" s="359">
        <f t="shared" si="4"/>
        <v>40357.026</v>
      </c>
      <c r="F189" s="329"/>
    </row>
    <row r="190" ht="14.25" customHeight="1">
      <c r="A190" s="431" t="str">
        <f>IFERROR(__xludf.DUMMYFUNCTION("""COMPUTED_VALUE"""),"")</f>
        <v/>
      </c>
      <c r="B190" s="425" t="str">
        <f>IFERROR(__xludf.DUMMYFUNCTION("""COMPUTED_VALUE"""),"Автомат ввода резерва")</f>
        <v>Автомат ввода резерва</v>
      </c>
      <c r="C190" s="426" t="str">
        <f>IFERROR(__xludf.DUMMYFUNCTION("""COMPUTED_VALUE"""),"")</f>
        <v/>
      </c>
      <c r="D190" s="358">
        <f>IFERROR(__xludf.DUMMYFUNCTION("""COMPUTED_VALUE"""),3905.48)</f>
        <v>3905.48</v>
      </c>
      <c r="E190" s="359">
        <f t="shared" si="4"/>
        <v>3514.932</v>
      </c>
      <c r="F190" s="329"/>
    </row>
    <row r="191" ht="14.25" customHeight="1">
      <c r="A191" s="431" t="str">
        <f>IFERROR(__xludf.DUMMYFUNCTION("""COMPUTED_VALUE"""),"")</f>
        <v/>
      </c>
      <c r="B191" s="425" t="str">
        <f>IFERROR(__xludf.DUMMYFUNCTION("""COMPUTED_VALUE"""),"FOGO FDF 150 VS")</f>
        <v>FOGO FDF 150 VS</v>
      </c>
      <c r="C191" s="426" t="str">
        <f>IFERROR(__xludf.DUMMYFUNCTION("""COMPUTED_VALUE"""),"153 кВА / 122 кВт")</f>
        <v>153 кВА / 122 кВт</v>
      </c>
      <c r="D191" s="358">
        <f>IFERROR(__xludf.DUMMYFUNCTION("""COMPUTED_VALUE"""),49530.112)</f>
        <v>49530.112</v>
      </c>
      <c r="E191" s="359">
        <f t="shared" si="4"/>
        <v>44577.1008</v>
      </c>
      <c r="F191" s="329"/>
    </row>
    <row r="192" ht="14.25" customHeight="1">
      <c r="A192" s="431" t="str">
        <f>IFERROR(__xludf.DUMMYFUNCTION("""COMPUTED_VALUE"""),"")</f>
        <v/>
      </c>
      <c r="B192" s="425" t="str">
        <f>IFERROR(__xludf.DUMMYFUNCTION("""COMPUTED_VALUE"""),"FOGO FDG 150 VS")</f>
        <v>FOGO FDG 150 VS</v>
      </c>
      <c r="C192" s="432" t="str">
        <f>IFERROR(__xludf.DUMMYFUNCTION("""COMPUTED_VALUE"""),"153 кВА / 122 кВт")</f>
        <v>153 кВА / 122 кВт</v>
      </c>
      <c r="D192" s="358">
        <f>IFERROR(__xludf.DUMMYFUNCTION("""COMPUTED_VALUE"""),53327.772)</f>
        <v>53327.772</v>
      </c>
      <c r="E192" s="359">
        <f t="shared" si="4"/>
        <v>47994.9948</v>
      </c>
      <c r="F192" s="329"/>
    </row>
    <row r="193" ht="14.25" customHeight="1">
      <c r="A193" s="431" t="str">
        <f>IFERROR(__xludf.DUMMYFUNCTION("""COMPUTED_VALUE"""),"")</f>
        <v/>
      </c>
      <c r="B193" s="425" t="str">
        <f>IFERROR(__xludf.DUMMYFUNCTION("""COMPUTED_VALUE"""),"FOGO FDG 150 V3S")</f>
        <v>FOGO FDG 150 V3S</v>
      </c>
      <c r="C193" s="432" t="str">
        <f>IFERROR(__xludf.DUMMYFUNCTION("""COMPUTED_VALUE"""),"151 кВА / 121 кВт")</f>
        <v>151 кВА / 121 кВт</v>
      </c>
      <c r="D193" s="358">
        <f>IFERROR(__xludf.DUMMYFUNCTION("""COMPUTED_VALUE"""),57192.52)</f>
        <v>57192.52</v>
      </c>
      <c r="E193" s="359">
        <f t="shared" si="4"/>
        <v>51473.268</v>
      </c>
      <c r="F193" s="329"/>
    </row>
    <row r="194" ht="14.25" customHeight="1">
      <c r="A194" s="431" t="str">
        <f>IFERROR(__xludf.DUMMYFUNCTION("""COMPUTED_VALUE"""),"")</f>
        <v/>
      </c>
      <c r="B194" s="425" t="str">
        <f>IFERROR(__xludf.DUMMYFUNCTION("""COMPUTED_VALUE"""),"Автомат ввода резерва")</f>
        <v>Автомат ввода резерва</v>
      </c>
      <c r="C194" s="426" t="str">
        <f>IFERROR(__xludf.DUMMYFUNCTION("""COMPUTED_VALUE"""),"")</f>
        <v/>
      </c>
      <c r="D194" s="358">
        <f>IFERROR(__xludf.DUMMYFUNCTION("""COMPUTED_VALUE"""),4552.4)</f>
        <v>4552.4</v>
      </c>
      <c r="E194" s="359">
        <f t="shared" si="4"/>
        <v>4097.16</v>
      </c>
      <c r="F194" s="329"/>
    </row>
    <row r="195" ht="14.25" customHeight="1">
      <c r="A195" s="431" t="str">
        <f>IFERROR(__xludf.DUMMYFUNCTION("""COMPUTED_VALUE"""),"")</f>
        <v/>
      </c>
      <c r="B195" s="425" t="str">
        <f>IFERROR(__xludf.DUMMYFUNCTION("""COMPUTED_VALUE"""),"FOGO FDF 200 VS")</f>
        <v>FOGO FDF 200 VS</v>
      </c>
      <c r="C195" s="426" t="str">
        <f>IFERROR(__xludf.DUMMYFUNCTION("""COMPUTED_VALUE"""),"200 кВА / 160 кВт")</f>
        <v>200 кВА / 160 кВт</v>
      </c>
      <c r="D195" s="358">
        <f>IFERROR(__xludf.DUMMYFUNCTION("""COMPUTED_VALUE"""),58517.507999999994)</f>
        <v>58517.508</v>
      </c>
      <c r="E195" s="359">
        <f t="shared" si="4"/>
        <v>52665.7572</v>
      </c>
      <c r="F195" s="329"/>
    </row>
    <row r="196" ht="14.25" customHeight="1">
      <c r="A196" s="431" t="str">
        <f>IFERROR(__xludf.DUMMYFUNCTION("""COMPUTED_VALUE"""),"")</f>
        <v/>
      </c>
      <c r="B196" s="425" t="str">
        <f>IFERROR(__xludf.DUMMYFUNCTION("""COMPUTED_VALUE"""),"FOGO FDG 200 VS")</f>
        <v>FOGO FDG 200 VS</v>
      </c>
      <c r="C196" s="432" t="str">
        <f>IFERROR(__xludf.DUMMYFUNCTION("""COMPUTED_VALUE"""),"200 кВА / 160 кВт")</f>
        <v>200 кВА / 160 кВт</v>
      </c>
      <c r="D196" s="358">
        <f>IFERROR(__xludf.DUMMYFUNCTION("""COMPUTED_VALUE"""),63568.276)</f>
        <v>63568.276</v>
      </c>
      <c r="E196" s="359">
        <f t="shared" si="4"/>
        <v>57211.4484</v>
      </c>
      <c r="F196" s="329"/>
    </row>
    <row r="197" ht="14.25" customHeight="1">
      <c r="A197" s="431" t="str">
        <f>IFERROR(__xludf.DUMMYFUNCTION("""COMPUTED_VALUE"""),"")</f>
        <v/>
      </c>
      <c r="B197" s="425" t="str">
        <f>IFERROR(__xludf.DUMMYFUNCTION("""COMPUTED_VALUE"""),"FOGO FDG 200 V3S")</f>
        <v>FOGO FDG 200 V3S</v>
      </c>
      <c r="C197" s="432" t="str">
        <f>IFERROR(__xludf.DUMMYFUNCTION("""COMPUTED_VALUE"""),"200 кВА / 160 кВт")</f>
        <v>200 кВА / 160 кВт</v>
      </c>
      <c r="D197" s="358">
        <f>IFERROR(__xludf.DUMMYFUNCTION("""COMPUTED_VALUE"""),69800.272)</f>
        <v>69800.272</v>
      </c>
      <c r="E197" s="359">
        <f t="shared" si="4"/>
        <v>62820.2448</v>
      </c>
      <c r="F197" s="329"/>
    </row>
    <row r="198" ht="14.25" customHeight="1">
      <c r="A198" s="431" t="str">
        <f>IFERROR(__xludf.DUMMYFUNCTION("""COMPUTED_VALUE"""),"")</f>
        <v/>
      </c>
      <c r="B198" s="425" t="str">
        <f>IFERROR(__xludf.DUMMYFUNCTION("""COMPUTED_VALUE"""),"Автомат ввода резерва")</f>
        <v>Автомат ввода резерва</v>
      </c>
      <c r="C198" s="426" t="str">
        <f>IFERROR(__xludf.DUMMYFUNCTION("""COMPUTED_VALUE"""),"")</f>
        <v/>
      </c>
      <c r="D198" s="358">
        <f>IFERROR(__xludf.DUMMYFUNCTION("""COMPUTED_VALUE"""),5472.464)</f>
        <v>5472.464</v>
      </c>
      <c r="E198" s="359">
        <f t="shared" si="4"/>
        <v>4925.2176</v>
      </c>
      <c r="F198" s="329"/>
    </row>
    <row r="199" ht="14.25" customHeight="1">
      <c r="A199" s="431" t="str">
        <f>IFERROR(__xludf.DUMMYFUNCTION("""COMPUTED_VALUE"""),"")</f>
        <v/>
      </c>
      <c r="B199" s="425" t="str">
        <f>IFERROR(__xludf.DUMMYFUNCTION("""COMPUTED_VALUE"""),"FOGO FDF 250 VS")</f>
        <v>FOGO FDF 250 VS</v>
      </c>
      <c r="C199" s="426" t="str">
        <f>IFERROR(__xludf.DUMMYFUNCTION("""COMPUTED_VALUE"""),"250 кВА / 200 кВт")</f>
        <v>250 кВА / 200 кВт</v>
      </c>
      <c r="D199" s="358">
        <f>IFERROR(__xludf.DUMMYFUNCTION("""COMPUTED_VALUE"""),67260.512)</f>
        <v>67260.512</v>
      </c>
      <c r="E199" s="359">
        <f t="shared" si="4"/>
        <v>60534.4608</v>
      </c>
      <c r="F199" s="329"/>
    </row>
    <row r="200" ht="14.25" customHeight="1">
      <c r="A200" s="431" t="str">
        <f>IFERROR(__xludf.DUMMYFUNCTION("""COMPUTED_VALUE"""),"")</f>
        <v/>
      </c>
      <c r="B200" s="425" t="str">
        <f>IFERROR(__xludf.DUMMYFUNCTION("""COMPUTED_VALUE"""),"FOGO FDG 250 VS")</f>
        <v>FOGO FDG 250 VS</v>
      </c>
      <c r="C200" s="432" t="str">
        <f>IFERROR(__xludf.DUMMYFUNCTION("""COMPUTED_VALUE"""),"250 кВА / 200 кВт")</f>
        <v>250 кВА / 200 кВт</v>
      </c>
      <c r="D200" s="358">
        <f>IFERROR(__xludf.DUMMYFUNCTION("""COMPUTED_VALUE"""),72637.136)</f>
        <v>72637.136</v>
      </c>
      <c r="E200" s="359">
        <f t="shared" si="4"/>
        <v>65373.4224</v>
      </c>
      <c r="F200" s="329"/>
    </row>
    <row r="201" ht="14.25" customHeight="1">
      <c r="A201" s="433" t="str">
        <f>IFERROR(__xludf.DUMMYFUNCTION("""COMPUTED_VALUE"""),"")</f>
        <v/>
      </c>
      <c r="B201" s="434" t="str">
        <f>IFERROR(__xludf.DUMMYFUNCTION("""COMPUTED_VALUE"""),"FOGO FDG 250 V3S")</f>
        <v>FOGO FDG 250 V3S</v>
      </c>
      <c r="C201" s="435" t="str">
        <f>IFERROR(__xludf.DUMMYFUNCTION("""COMPUTED_VALUE"""),"250 кВА / 200 кВт")</f>
        <v>250 кВА / 200 кВт</v>
      </c>
      <c r="D201" s="380">
        <f>IFERROR(__xludf.DUMMYFUNCTION("""COMPUTED_VALUE"""),77203.912)</f>
        <v>77203.912</v>
      </c>
      <c r="E201" s="381">
        <f t="shared" si="4"/>
        <v>69483.5208</v>
      </c>
      <c r="F201" s="329"/>
    </row>
    <row r="202" ht="14.25" customHeight="1">
      <c r="A202" s="436"/>
      <c r="B202" s="437"/>
      <c r="C202" s="385"/>
      <c r="D202" s="386"/>
      <c r="E202" s="388"/>
      <c r="F202" s="329"/>
    </row>
    <row r="203" ht="14.25" customHeight="1">
      <c r="A203" s="436"/>
      <c r="B203" s="437"/>
      <c r="C203" s="385"/>
      <c r="D203" s="386"/>
      <c r="E203" s="388"/>
      <c r="F203" s="329"/>
    </row>
    <row r="204" ht="25.5" customHeight="1">
      <c r="A204" s="438"/>
      <c r="B204" s="346" t="s">
        <v>54</v>
      </c>
      <c r="C204" s="439" t="str">
        <f>HYPERLINK("http://isell.by/index.pl?act=SECTION&amp;section=stroitelwnoe+oborudovanie","www.isell.by")</f>
        <v>www.isell.by</v>
      </c>
      <c r="D204" s="440"/>
      <c r="E204" s="441" t="str">
        <f>image("http://isell.by/img/misc/20141014171616.jpg")</f>
        <v/>
      </c>
      <c r="F204" s="442"/>
    </row>
    <row r="205">
      <c r="A205" s="443" t="str">
        <f>'СТРОИТЕЛЬНОЕ ОБОРУДОВАНИЕ'!A2</f>
        <v>Арт.</v>
      </c>
      <c r="B205" s="444" t="str">
        <f>'СТРОИТЕЛЬНОЕ ОБОРУДОВАНИЕ'!B2</f>
        <v>Наименование товара</v>
      </c>
      <c r="C205" s="445" t="str">
        <f>'СТРОИТЕЛЬНОЕ ОБОРУДОВАНИЕ'!C2</f>
        <v>Характеристики</v>
      </c>
      <c r="D205" s="446" t="str">
        <f>'СТРОИТЕЛЬНОЕ ОБОРУДОВАНИЕ'!D2</f>
        <v>Розничная цена с НДС, BYN</v>
      </c>
      <c r="E205" s="447" t="str">
        <f>'СТРОИТЕЛЬНОЕ ОБОРУДОВАНИЕ'!E2</f>
        <v>Дилерская цена с НДС, BYN</v>
      </c>
      <c r="F205" s="448"/>
    </row>
    <row r="206">
      <c r="A206" s="449">
        <f>'СТРОИТЕЛЬНОЕ ОБОРУДОВАНИЕ'!A3</f>
        <v>1</v>
      </c>
      <c r="B206" s="450" t="str">
        <f>'СТРОИТЕЛЬНОЕ ОБОРУДОВАНИЕ'!B3</f>
        <v>АЛМАЗНЫЕ ФРЕЗЫ, ФРАНКФУРТЫ</v>
      </c>
      <c r="C206" s="451"/>
      <c r="D206" s="452"/>
      <c r="E206" s="453"/>
      <c r="F206" s="454"/>
    </row>
    <row r="207">
      <c r="A207" s="455" t="str">
        <f>'СТРОИТЕЛЬНОЕ ОБОРУДОВАНИЕ'!A4</f>
        <v/>
      </c>
      <c r="B207" s="456" t="str">
        <f>'СТРОИТЕЛЬНОЕ ОБОРУДОВАНИЕ'!B4</f>
        <v>Фреза алмазная GS-S 95/МШМ-6 №0 Baumesser Beton Pro</v>
      </c>
      <c r="C207" s="457" t="str">
        <f>'СТРОИТЕЛЬНОЕ ОБОРУДОВАНИЕ'!C4</f>
        <v>500-800 м.кв. (для 6 штук на 1 мм)</v>
      </c>
      <c r="D207" s="458">
        <f>'СТРОИТЕЛЬНОЕ ОБОРУДОВАНИЕ'!D4</f>
        <v>96</v>
      </c>
      <c r="E207" s="459">
        <f>'СТРОИТЕЛЬНОЕ ОБОРУДОВАНИЕ'!E4</f>
        <v>81.6</v>
      </c>
      <c r="F207" s="460"/>
    </row>
    <row r="208">
      <c r="A208" s="455" t="str">
        <f>'СТРОИТЕЛЬНОЕ ОБОРУДОВАНИЕ'!A5</f>
        <v/>
      </c>
      <c r="B208" s="456" t="str">
        <f>'СТРОИТЕЛЬНОЕ ОБОРУДОВАНИЕ'!B5</f>
        <v>Шлифовальная пластина "Франкфурт" 800/630</v>
      </c>
      <c r="C208" s="457" t="str">
        <f>'СТРОИТЕЛЬНОЕ ОБОРУДОВАНИЕ'!C5</f>
        <v/>
      </c>
      <c r="D208" s="458">
        <f>'СТРОИТЕЛЬНОЕ ОБОРУДОВАНИЕ'!D5</f>
        <v>116</v>
      </c>
      <c r="E208" s="459">
        <f>'СТРОИТЕЛЬНОЕ ОБОРУДОВАНИЕ'!E5</f>
        <v>98.6</v>
      </c>
      <c r="F208" s="442"/>
    </row>
    <row r="209">
      <c r="A209" s="449">
        <f>'СТРОИТЕЛЬНОЕ ОБОРУДОВАНИЕ'!A6</f>
        <v>2</v>
      </c>
      <c r="B209" s="461" t="str">
        <f>'СТРОИТЕЛЬНОЕ ОБОРУДОВАНИЕ'!B6</f>
        <v>ВИБРАТОР ГЛУБИННЫЙ</v>
      </c>
      <c r="C209" s="462" t="str">
        <f>'СТРОИТЕЛЬНОЕ ОБОРУДОВАНИЕ'!C6</f>
        <v/>
      </c>
      <c r="D209" s="463" t="str">
        <f>'СТРОИТЕЛЬНОЕ ОБОРУДОВАНИЕ'!D6</f>
        <v/>
      </c>
      <c r="E209" s="464" t="str">
        <f>'СТРОИТЕЛЬНОЕ ОБОРУДОВАНИЕ'!E6</f>
        <v/>
      </c>
      <c r="F209" s="465"/>
    </row>
    <row r="210">
      <c r="A210" s="466">
        <f>'СТРОИТЕЛЬНОЕ ОБОРУДОВАНИЕ'!A7</f>
        <v>353</v>
      </c>
      <c r="B210" s="467" t="str">
        <f>'СТРОИТЕЛЬНОЕ ОБОРУДОВАНИЕ'!B7</f>
        <v>Вибратор Vektor 35H</v>
      </c>
      <c r="C210" s="468" t="str">
        <f>'СТРОИТЕЛЬНОЕ ОБОРУДОВАНИЕ'!C7</f>
        <v>220 В, 800 Вт</v>
      </c>
      <c r="D210" s="458">
        <f>'СТРОИТЕЛЬНОЕ ОБОРУДОВАНИЕ'!D7</f>
        <v>120</v>
      </c>
      <c r="E210" s="459">
        <f>'СТРОИТЕЛЬНОЕ ОБОРУДОВАНИЕ'!E7</f>
        <v>102</v>
      </c>
      <c r="F210" s="442"/>
    </row>
    <row r="211">
      <c r="A211" s="466">
        <f>'СТРОИТЕЛЬНОЕ ОБОРУДОВАНИЕ'!A8</f>
        <v>3741</v>
      </c>
      <c r="B211" s="456" t="str">
        <f>'СТРОИТЕЛЬНОЕ ОБОРУДОВАНИЕ'!B8</f>
        <v>Вал для вибратора 1,2 м с булавой 35мм</v>
      </c>
      <c r="C211" s="468" t="str">
        <f>'СТРОИТЕЛЬНОЕ ОБОРУДОВАНИЕ'!C8</f>
        <v>-</v>
      </c>
      <c r="D211" s="458">
        <f>'СТРОИТЕЛЬНОЕ ОБОРУДОВАНИЕ'!D8</f>
        <v>85</v>
      </c>
      <c r="E211" s="459">
        <f>'СТРОИТЕЛЬНОЕ ОБОРУДОВАНИЕ'!E8</f>
        <v>72.25</v>
      </c>
      <c r="F211" s="442"/>
    </row>
    <row r="212">
      <c r="A212" s="466">
        <f>'СТРОИТЕЛЬНОЕ ОБОРУДОВАНИЕ'!A9</f>
        <v>3742</v>
      </c>
      <c r="B212" s="456" t="str">
        <f>'СТРОИТЕЛЬНОЕ ОБОРУДОВАНИЕ'!B9</f>
        <v>Вал для вибратора 1,5 м с булавой 35мм</v>
      </c>
      <c r="C212" s="457" t="str">
        <f>'СТРОИТЕЛЬНОЕ ОБОРУДОВАНИЕ'!C9</f>
        <v>-</v>
      </c>
      <c r="D212" s="458">
        <f>'СТРОИТЕЛЬНОЕ ОБОРУДОВАНИЕ'!D9</f>
        <v>96</v>
      </c>
      <c r="E212" s="459">
        <f>'СТРОИТЕЛЬНОЕ ОБОРУДОВАНИЕ'!E9</f>
        <v>81.6</v>
      </c>
      <c r="F212" s="442"/>
    </row>
    <row r="213">
      <c r="A213" s="466">
        <f>'СТРОИТЕЛЬНОЕ ОБОРУДОВАНИЕ'!A10</f>
        <v>3743</v>
      </c>
      <c r="B213" s="456" t="str">
        <f>'СТРОИТЕЛЬНОЕ ОБОРУДОВАНИЕ'!B10</f>
        <v>Вал для вибратора 2,0 м с булавой 35мм</v>
      </c>
      <c r="C213" s="457" t="str">
        <f>'СТРОИТЕЛЬНОЕ ОБОРУДОВАНИЕ'!C10</f>
        <v>-</v>
      </c>
      <c r="D213" s="458">
        <f>'СТРОИТЕЛЬНОЕ ОБОРУДОВАНИЕ'!D10</f>
        <v>107</v>
      </c>
      <c r="E213" s="459">
        <f>'СТРОИТЕЛЬНОЕ ОБОРУДОВАНИЕ'!E10</f>
        <v>90.95</v>
      </c>
      <c r="F213" s="442"/>
    </row>
    <row r="214">
      <c r="A214" s="259">
        <f>'СТРОИТЕЛЬНОЕ ОБОРУДОВАНИЕ'!A11</f>
        <v>3</v>
      </c>
      <c r="B214" s="261" t="str">
        <f>'СТРОИТЕЛЬНОЕ ОБОРУДОВАНИЕ'!B11</f>
        <v>ВИБРОПЛИТА</v>
      </c>
      <c r="C214" s="263" t="str">
        <f>'СТРОИТЕЛЬНОЕ ОБОРУДОВАНИЕ'!C11</f>
        <v/>
      </c>
      <c r="D214" s="265" t="str">
        <f>'СТРОИТЕЛЬНОЕ ОБОРУДОВАНИЕ'!D11</f>
        <v/>
      </c>
      <c r="E214" s="269" t="str">
        <f>'СТРОИТЕЛЬНОЕ ОБОРУДОВАНИЕ'!E11</f>
        <v/>
      </c>
      <c r="F214" s="269"/>
    </row>
    <row r="215">
      <c r="A215" s="469">
        <f>'СТРОИТЕЛЬНОЕ ОБОРУДОВАНИЕ'!A12</f>
        <v>2889</v>
      </c>
      <c r="B215" s="315" t="str">
        <f>'СТРОИТЕЛЬНОЕ ОБОРУДОВАНИЕ'!B12</f>
        <v>Виброплита VEKTOR VPG-50A (двиг. Loncin), колеса</v>
      </c>
      <c r="C215" s="316" t="str">
        <f>'СТРОИТЕЛЬНОЕ ОБОРУДОВАНИЕ'!C12</f>
        <v>50 кг</v>
      </c>
      <c r="D215" s="289">
        <f>'СТРОИТЕЛЬНОЕ ОБОРУДОВАНИЕ'!D12</f>
        <v>872</v>
      </c>
      <c r="E215" s="291">
        <f>'СТРОИТЕЛЬНОЕ ОБОРУДОВАНИЕ'!E12</f>
        <v>741.2</v>
      </c>
      <c r="F215" s="291"/>
    </row>
    <row r="216">
      <c r="A216" s="469">
        <f>'СТРОИТЕЛЬНОЕ ОБОРУДОВАНИЕ'!A13</f>
        <v>3068</v>
      </c>
      <c r="B216" s="315" t="str">
        <f>'СТРОИТЕЛЬНОЕ ОБОРУДОВАНИЕ'!B13</f>
        <v>Виброплита TEKPAC MS60-4 (Honda GX160)</v>
      </c>
      <c r="C216" s="287" t="str">
        <f>'СТРОИТЕЛЬНОЕ ОБОРУДОВАНИЕ'!C13</f>
        <v>58 кг</v>
      </c>
      <c r="D216" s="289">
        <f>'СТРОИТЕЛЬНОЕ ОБОРУДОВАНИЕ'!D13</f>
        <v>1473</v>
      </c>
      <c r="E216" s="291">
        <f>'СТРОИТЕЛЬНОЕ ОБОРУДОВАНИЕ'!E13</f>
        <v>1252.05</v>
      </c>
      <c r="F216" s="291"/>
    </row>
    <row r="217">
      <c r="A217" s="469" t="str">
        <f>'СТРОИТЕЛЬНОЕ ОБОРУДОВАНИЕ'!A14</f>
        <v/>
      </c>
      <c r="B217" s="333" t="str">
        <f>'СТРОИТЕЛЬНОЕ ОБОРУДОВАНИЕ'!B14</f>
        <v>Опции для плиты MS60-4:</v>
      </c>
      <c r="C217" s="287" t="str">
        <f>'СТРОИТЕЛЬНОЕ ОБОРУДОВАНИЕ'!C14</f>
        <v>-</v>
      </c>
      <c r="D217" s="289" t="str">
        <f>'СТРОИТЕЛЬНОЕ ОБОРУДОВАНИЕ'!D14</f>
        <v/>
      </c>
      <c r="E217" s="335" t="str">
        <f>'СТРОИТЕЛЬНОЕ ОБОРУДОВАНИЕ'!E14</f>
        <v/>
      </c>
      <c r="F217" s="335"/>
    </row>
    <row r="218">
      <c r="A218" s="469">
        <f>'СТРОИТЕЛЬНОЕ ОБОРУДОВАНИЕ'!A15</f>
        <v>4132</v>
      </c>
      <c r="B218" s="361" t="str">
        <f>'СТРОИТЕЛЬНОЕ ОБОРУДОВАНИЕ'!B15</f>
        <v>Бак для воды 60</v>
      </c>
      <c r="C218" s="287" t="str">
        <f>'СТРОИТЕЛЬНОЕ ОБОРУДОВАНИЕ'!C15</f>
        <v>-</v>
      </c>
      <c r="D218" s="289">
        <f>'СТРОИТЕЛЬНОЕ ОБОРУДОВАНИЕ'!D15</f>
        <v>61</v>
      </c>
      <c r="E218" s="342">
        <f>'СТРОИТЕЛЬНОЕ ОБОРУДОВАНИЕ'!E15</f>
        <v>51.85</v>
      </c>
      <c r="F218" s="342"/>
    </row>
    <row r="219">
      <c r="A219" s="469">
        <f>'СТРОИТЕЛЬНОЕ ОБОРУДОВАНИЕ'!A16</f>
        <v>4133</v>
      </c>
      <c r="B219" s="361" t="str">
        <f>'СТРОИТЕЛЬНОЕ ОБОРУДОВАНИЕ'!B16</f>
        <v>Колеса MS60</v>
      </c>
      <c r="C219" s="287" t="str">
        <f>'СТРОИТЕЛЬНОЕ ОБОРУДОВАНИЕ'!C16</f>
        <v>-</v>
      </c>
      <c r="D219" s="289">
        <f>'СТРОИТЕЛЬНОЕ ОБОРУДОВАНИЕ'!D16</f>
        <v>27</v>
      </c>
      <c r="E219" s="342">
        <f>'СТРОИТЕЛЬНОЕ ОБОРУДОВАНИЕ'!E16</f>
        <v>22.95</v>
      </c>
      <c r="F219" s="342"/>
    </row>
    <row r="220">
      <c r="A220" s="469">
        <f>'СТРОИТЕЛЬНОЕ ОБОРУДОВАНИЕ'!A17</f>
        <v>4139</v>
      </c>
      <c r="B220" s="361" t="str">
        <f>'СТРОИТЕЛЬНОЕ ОБОРУДОВАНИЕ'!B17</f>
        <v>Резиновый коврик MS60</v>
      </c>
      <c r="C220" s="287" t="str">
        <f>'СТРОИТЕЛЬНОЕ ОБОРУДОВАНИЕ'!C17</f>
        <v>-</v>
      </c>
      <c r="D220" s="289">
        <f>'СТРОИТЕЛЬНОЕ ОБОРУДОВАНИЕ'!D17</f>
        <v>94</v>
      </c>
      <c r="E220" s="291">
        <f>'СТРОИТЕЛЬНОЕ ОБОРУДОВАНИЕ'!E17</f>
        <v>79.9</v>
      </c>
      <c r="F220" s="291"/>
    </row>
    <row r="221">
      <c r="A221" s="469">
        <f>'СТРОИТЕЛЬНОЕ ОБОРУДОВАНИЕ'!A18</f>
        <v>2759</v>
      </c>
      <c r="B221" s="361" t="str">
        <f>'СТРОИТЕЛЬНОЕ ОБОРУДОВАНИЕ'!B18</f>
        <v>Резиновая пластина 350х550</v>
      </c>
      <c r="C221" s="287" t="str">
        <f>'СТРОИТЕЛЬНОЕ ОБОРУДОВАНИЕ'!C18</f>
        <v>-</v>
      </c>
      <c r="D221" s="289">
        <f>'СТРОИТЕЛЬНОЕ ОБОРУДОВАНИЕ'!D18</f>
        <v>62</v>
      </c>
      <c r="E221" s="342">
        <f>'СТРОИТЕЛЬНОЕ ОБОРУДОВАНИЕ'!E18</f>
        <v>52.7</v>
      </c>
      <c r="F221" s="342"/>
    </row>
    <row r="222">
      <c r="A222" s="469">
        <f>'СТРОИТЕЛЬНОЕ ОБОРУДОВАНИЕ'!A19</f>
        <v>4156</v>
      </c>
      <c r="B222" s="315" t="str">
        <f>'СТРОИТЕЛЬНОЕ ОБОРУДОВАНИЕ'!B19</f>
        <v>Виброплита VEKTOR VPG-90B (двигатель Lifan, бак, колеса)</v>
      </c>
      <c r="C222" s="287" t="str">
        <f>'СТРОИТЕЛЬНОЕ ОБОРУДОВАНИЕ'!C19</f>
        <v>90 кг</v>
      </c>
      <c r="D222" s="289">
        <f>'СТРОИТЕЛЬНОЕ ОБОРУДОВАНИЕ'!D19</f>
        <v>1248</v>
      </c>
      <c r="E222" s="291">
        <f>'СТРОИТЕЛЬНОЕ ОБОРУДОВАНИЕ'!E19</f>
        <v>1060.8</v>
      </c>
      <c r="F222" s="291"/>
    </row>
    <row r="223">
      <c r="A223" s="469">
        <f>'СТРОИТЕЛЬНОЕ ОБОРУДОВАНИЕ'!A20</f>
        <v>2760</v>
      </c>
      <c r="B223" s="361" t="str">
        <f>'СТРОИТЕЛЬНОЕ ОБОРУДОВАНИЕ'!B20</f>
        <v>Резиновая пластина 600х500</v>
      </c>
      <c r="C223" s="287" t="str">
        <f>'СТРОИТЕЛЬНОЕ ОБОРУДОВАНИЕ'!C20</f>
        <v>60х50 см</v>
      </c>
      <c r="D223" s="289">
        <f>'СТРОИТЕЛЬНОЕ ОБОРУДОВАНИЕ'!D20</f>
        <v>78</v>
      </c>
      <c r="E223" s="342">
        <f>'СТРОИТЕЛЬНОЕ ОБОРУДОВАНИЕ'!E20</f>
        <v>66.3</v>
      </c>
      <c r="F223" s="342"/>
    </row>
    <row r="224">
      <c r="A224" s="469">
        <f>'СТРОИТЕЛЬНОЕ ОБОРУДОВАНИЕ'!A21</f>
        <v>4066</v>
      </c>
      <c r="B224" s="315" t="str">
        <f>'СТРОИТЕЛЬНОЕ ОБОРУДОВАНИЕ'!B21</f>
        <v>Виброплита поступательного движения GROST РС-2248Н</v>
      </c>
      <c r="C224" s="287" t="str">
        <f>'СТРОИТЕЛЬНОЕ ОБОРУДОВАНИЕ'!C21</f>
        <v>120 кг</v>
      </c>
      <c r="D224" s="289">
        <f>'СТРОИТЕЛЬНОЕ ОБОРУДОВАНИЕ'!D21</f>
        <v>2521</v>
      </c>
      <c r="E224" s="342">
        <f>'СТРОИТЕЛЬНОЕ ОБОРУДОВАНИЕ'!E21</f>
        <v>2142.85</v>
      </c>
      <c r="F224" s="342"/>
    </row>
    <row r="225">
      <c r="A225" s="469">
        <f>'СТРОИТЕЛЬНОЕ ОБОРУДОВАНИЕ'!A22</f>
        <v>4144</v>
      </c>
      <c r="B225" s="315" t="str">
        <f>'СТРОИТЕЛЬНОЕ ОБОРУДОВАНИЕ'!B22</f>
        <v>Реверсивная виброплита TP5030-4(Хонда GX270)</v>
      </c>
      <c r="C225" s="287" t="str">
        <f>'СТРОИТЕЛЬНОЕ ОБОРУДОВАНИЕ'!C22</f>
        <v>165 кг</v>
      </c>
      <c r="D225" s="289">
        <f>'СТРОИТЕЛЬНОЕ ОБОРУДОВАНИЕ'!D22</f>
        <v>4742</v>
      </c>
      <c r="E225" s="342">
        <f>'СТРОИТЕЛЬНОЕ ОБОРУДОВАНИЕ'!E22</f>
        <v>4030.7</v>
      </c>
      <c r="F225" s="342"/>
    </row>
    <row r="226">
      <c r="A226" s="469">
        <f>'СТРОИТЕЛЬНОЕ ОБОРУДОВАНИЕ'!A23</f>
        <v>4530</v>
      </c>
      <c r="B226" s="315" t="str">
        <f>'СТРОИТЕЛЬНОЕ ОБОРУДОВАНИЕ'!B23</f>
        <v>Виброплита реверсивная GROST PCR-4048CH - под заказ</v>
      </c>
      <c r="C226" s="287" t="str">
        <f>'СТРОИТЕЛЬНОЕ ОБОРУДОВАНИЕ'!C23</f>
        <v>244 кг</v>
      </c>
      <c r="D226" s="289">
        <f>'СТРОИТЕЛЬНОЕ ОБОРУДОВАНИЕ'!D23</f>
        <v>6206</v>
      </c>
      <c r="E226" s="342">
        <f>'СТРОИТЕЛЬНОЕ ОБОРУДОВАНИЕ'!E23</f>
        <v>5275.1</v>
      </c>
      <c r="F226" s="342"/>
    </row>
    <row r="227">
      <c r="A227" s="469">
        <f>'СТРОИТЕЛЬНОЕ ОБОРУДОВАНИЕ'!A24</f>
        <v>4532</v>
      </c>
      <c r="B227" s="315" t="str">
        <f>'СТРОИТЕЛЬНОЕ ОБОРУДОВАНИЕ'!B24</f>
        <v>Виброплита реверсивная Masalta MS330-4 - под заказ</v>
      </c>
      <c r="C227" s="287" t="str">
        <f>'СТРОИТЕЛЬНОЕ ОБОРУДОВАНИЕ'!C24</f>
        <v>330 кг</v>
      </c>
      <c r="D227" s="289">
        <f>'СТРОИТЕЛЬНОЕ ОБОРУДОВАНИЕ'!D24</f>
        <v>7948</v>
      </c>
      <c r="E227" s="342">
        <f>'СТРОИТЕЛЬНОЕ ОБОРУДОВАНИЕ'!E24</f>
        <v>6755.8</v>
      </c>
      <c r="F227" s="342"/>
    </row>
    <row r="228">
      <c r="A228" s="259">
        <f>'СТРОИТЕЛЬНОЕ ОБОРУДОВАНИЕ'!A25</f>
        <v>4</v>
      </c>
      <c r="B228" s="261" t="str">
        <f>'СТРОИТЕЛЬНОЕ ОБОРУДОВАНИЕ'!B25</f>
        <v>ВИБРОРЕЙКА</v>
      </c>
      <c r="C228" s="263" t="str">
        <f>'СТРОИТЕЛЬНОЕ ОБОРУДОВАНИЕ'!C25</f>
        <v/>
      </c>
      <c r="D228" s="265" t="str">
        <f>'СТРОИТЕЛЬНОЕ ОБОРУДОВАНИЕ'!D25</f>
        <v/>
      </c>
      <c r="E228" s="269" t="str">
        <f>'СТРОИТЕЛЬНОЕ ОБОРУДОВАНИЕ'!E25</f>
        <v/>
      </c>
      <c r="F228" s="269"/>
    </row>
    <row r="229">
      <c r="A229" s="469">
        <f>'СТРОИТЕЛЬНОЕ ОБОРУДОВАНИЕ'!A26</f>
        <v>3674</v>
      </c>
      <c r="B229" s="315" t="str">
        <f>'СТРОИТЕЛЬНОЕ ОБОРУДОВАНИЕ'!B26</f>
        <v>Виброрейка GROST QVRM</v>
      </c>
      <c r="C229" s="287" t="str">
        <f>'СТРОИТЕЛЬНОЕ ОБОРУДОВАНИЕ'!C26</f>
        <v>бенз. двиг. 1,4 л.с.</v>
      </c>
      <c r="D229" s="289">
        <f>'СТРОИТЕЛЬНОЕ ОБОРУДОВАНИЕ'!D26</f>
        <v>1273</v>
      </c>
      <c r="E229" s="342">
        <f>'СТРОИТЕЛЬНОЕ ОБОРУДОВАНИЕ'!E26</f>
        <v>1082.05</v>
      </c>
      <c r="F229" s="342"/>
    </row>
    <row r="230">
      <c r="A230" s="469" t="str">
        <f>'СТРОИТЕЛЬНОЕ ОБОРУДОВАНИЕ'!A27</f>
        <v/>
      </c>
      <c r="B230" s="361" t="str">
        <f>'СТРОИТЕЛЬНОЕ ОБОРУДОВАНИЕ'!B27</f>
        <v>Выравнивающий профиль 1,8 м для QVRM</v>
      </c>
      <c r="C230" s="287" t="str">
        <f>'СТРОИТЕЛЬНОЕ ОБОРУДОВАНИЕ'!C27</f>
        <v>алюмин., 1,8 м</v>
      </c>
      <c r="D230" s="289">
        <f>'СТРОИТЕЛЬНОЕ ОБОРУДОВАНИЕ'!D27</f>
        <v>225</v>
      </c>
      <c r="E230" s="342">
        <f>'СТРОИТЕЛЬНОЕ ОБОРУДОВАНИЕ'!E27</f>
        <v>191.25</v>
      </c>
      <c r="F230" s="342"/>
    </row>
    <row r="231">
      <c r="A231" s="469">
        <f>'СТРОИТЕЛЬНОЕ ОБОРУДОВАНИЕ'!A28</f>
        <v>2648</v>
      </c>
      <c r="B231" s="361" t="str">
        <f>'СТРОИТЕЛЬНОЕ ОБОРУДОВАНИЕ'!B28</f>
        <v>Выравнивающий профиль 3 м для QVRM</v>
      </c>
      <c r="C231" s="287" t="str">
        <f>'СТРОИТЕЛЬНОЕ ОБОРУДОВАНИЕ'!C28</f>
        <v>алюмин., 3 м</v>
      </c>
      <c r="D231" s="289">
        <f>'СТРОИТЕЛЬНОЕ ОБОРУДОВАНИЕ'!D28</f>
        <v>380</v>
      </c>
      <c r="E231" s="342">
        <f>'СТРОИТЕЛЬНОЕ ОБОРУДОВАНИЕ'!E28</f>
        <v>323</v>
      </c>
      <c r="F231" s="342"/>
    </row>
    <row r="232">
      <c r="A232" s="469">
        <f>'СТРОИТЕЛЬНОЕ ОБОРУДОВАНИЕ'!A29</f>
        <v>2885</v>
      </c>
      <c r="B232" s="361" t="str">
        <f>'СТРОИТЕЛЬНОЕ ОБОРУДОВАНИЕ'!B29</f>
        <v>Выравнивающий профиль 4,3 м для QVRM</v>
      </c>
      <c r="C232" s="287" t="str">
        <f>'СТРОИТЕЛЬНОЕ ОБОРУДОВАНИЕ'!C29</f>
        <v>алюмин., 4.3 м</v>
      </c>
      <c r="D232" s="289">
        <f>'СТРОИТЕЛЬНОЕ ОБОРУДОВАНИЕ'!D29</f>
        <v>544</v>
      </c>
      <c r="E232" s="342">
        <f>'СТРОИТЕЛЬНОЕ ОБОРУДОВАНИЕ'!E29</f>
        <v>462.4</v>
      </c>
      <c r="F232" s="342"/>
    </row>
    <row r="233">
      <c r="A233" s="469">
        <f>'СТРОИТЕЛЬНОЕ ОБОРУДОВАНИЕ'!A30</f>
        <v>2918</v>
      </c>
      <c r="B233" s="361" t="str">
        <f>'СТРОИТЕЛЬНОЕ ОБОРУДОВАНИЕ'!B30</f>
        <v>Рейка выравнивающая 2,5 м VSG-2.5</v>
      </c>
      <c r="C233" s="287" t="str">
        <f>'СТРОИТЕЛЬНОЕ ОБОРУДОВАНИЕ'!C30</f>
        <v>алюмин., 2.5м</v>
      </c>
      <c r="D233" s="289">
        <f>'СТРОИТЕЛЬНОЕ ОБОРУДОВАНИЕ'!D30</f>
        <v>289</v>
      </c>
      <c r="E233" s="291">
        <f>'СТРОИТЕЛЬНОЕ ОБОРУДОВАНИЕ'!E30</f>
        <v>245.65</v>
      </c>
      <c r="F233" s="291"/>
    </row>
    <row r="234">
      <c r="A234" s="469" t="str">
        <f>'СТРОИТЕЛЬНОЕ ОБОРУДОВАНИЕ'!A31</f>
        <v/>
      </c>
      <c r="B234" s="315" t="str">
        <f>'СТРОИТЕЛЬНОЕ ОБОРУДОВАНИЕ'!B31</f>
        <v>Головная секция 3 м виброрейки GROST SVR с двигателем - под заказ</v>
      </c>
      <c r="C234" s="287" t="str">
        <f>'СТРОИТЕЛЬНОЕ ОБОРУДОВАНИЕ'!C31</f>
        <v>Honda GX270</v>
      </c>
      <c r="D234" s="289">
        <f>'СТРОИТЕЛЬНОЕ ОБОРУДОВАНИЕ'!D31</f>
        <v>7150</v>
      </c>
      <c r="E234" s="291">
        <f>'СТРОИТЕЛЬНОЕ ОБОРУДОВАНИЕ'!E31</f>
        <v>6077.5</v>
      </c>
      <c r="F234" s="291"/>
    </row>
    <row r="235">
      <c r="A235" s="469" t="str">
        <f>'СТРОИТЕЛЬНОЕ ОБОРУДОВАНИЕ'!A32</f>
        <v/>
      </c>
      <c r="B235" s="361" t="str">
        <f>'СТРОИТЕЛЬНОЕ ОБОРУДОВАНИЕ'!B32</f>
        <v>Конечная секция 1,5 м виброрейки GROST SVR</v>
      </c>
      <c r="C235" s="287" t="str">
        <f>'СТРОИТЕЛЬНОЕ ОБОРУДОВАНИЕ'!C32</f>
        <v>-</v>
      </c>
      <c r="D235" s="289">
        <f>'СТРОИТЕЛЬНОЕ ОБОРУДОВАНИЕ'!D32</f>
        <v>1891</v>
      </c>
      <c r="E235" s="291">
        <f>'СТРОИТЕЛЬНОЕ ОБОРУДОВАНИЕ'!E32</f>
        <v>1607.35</v>
      </c>
      <c r="F235" s="291"/>
    </row>
    <row r="236">
      <c r="A236" s="469" t="str">
        <f>'СТРОИТЕЛЬНОЕ ОБОРУДОВАНИЕ'!A33</f>
        <v/>
      </c>
      <c r="B236" s="361" t="str">
        <f>'СТРОИТЕЛЬНОЕ ОБОРУДОВАНИЕ'!B33</f>
        <v>Промежуточная секция 1 м виброрейки GROST SVR</v>
      </c>
      <c r="C236" s="287" t="str">
        <f>'СТРОИТЕЛЬНОЕ ОБОРУДОВАНИЕ'!C33</f>
        <v>-</v>
      </c>
      <c r="D236" s="289">
        <f>'СТРОИТЕЛЬНОЕ ОБОРУДОВАНИЕ'!D33</f>
        <v>1071</v>
      </c>
      <c r="E236" s="291">
        <f>'СТРОИТЕЛЬНОЕ ОБОРУДОВАНИЕ'!E33</f>
        <v>910.35</v>
      </c>
      <c r="F236" s="291"/>
    </row>
    <row r="237">
      <c r="A237" s="469" t="str">
        <f>'СТРОИТЕЛЬНОЕ ОБОРУДОВАНИЕ'!A34</f>
        <v/>
      </c>
      <c r="B237" s="361" t="str">
        <f>'СТРОИТЕЛЬНОЕ ОБОРУДОВАНИЕ'!B34</f>
        <v>Промежуточная секция 1,5 м виброрейки GROST SVR</v>
      </c>
      <c r="C237" s="287" t="str">
        <f>'СТРОИТЕЛЬНОЕ ОБОРУДОВАНИЕ'!C34</f>
        <v>-</v>
      </c>
      <c r="D237" s="289">
        <f>'СТРОИТЕЛЬНОЕ ОБОРУДОВАНИЕ'!D34</f>
        <v>1606</v>
      </c>
      <c r="E237" s="291">
        <f>'СТРОИТЕЛЬНОЕ ОБОРУДОВАНИЕ'!E34</f>
        <v>1365.1</v>
      </c>
      <c r="F237" s="291"/>
    </row>
    <row r="238">
      <c r="A238" s="259">
        <f>'СТРОИТЕЛЬНОЕ ОБОРУДОВАНИЕ'!A35</f>
        <v>5</v>
      </c>
      <c r="B238" s="261" t="str">
        <f>'СТРОИТЕЛЬНОЕ ОБОРУДОВАНИЕ'!B35</f>
        <v>ВИБРОТРАМБОВКА</v>
      </c>
      <c r="C238" s="263" t="str">
        <f>'СТРОИТЕЛЬНОЕ ОБОРУДОВАНИЕ'!C35</f>
        <v/>
      </c>
      <c r="D238" s="265" t="str">
        <f>'СТРОИТЕЛЬНОЕ ОБОРУДОВАНИЕ'!D35</f>
        <v/>
      </c>
      <c r="E238" s="269" t="str">
        <f>'СТРОИТЕЛЬНОЕ ОБОРУДОВАНИЕ'!E35</f>
        <v/>
      </c>
      <c r="F238" s="269"/>
    </row>
    <row r="239">
      <c r="A239" s="469">
        <f>'СТРОИТЕЛЬНОЕ ОБОРУДОВАНИЕ'!A36</f>
        <v>4158</v>
      </c>
      <c r="B239" s="363" t="str">
        <f>'СТРОИТЕЛЬНОЕ ОБОРУДОВАНИЕ'!B36</f>
        <v>Вибротрамбовка MR68H с Honda GX100 бензиновый двигатель</v>
      </c>
      <c r="C239" s="287" t="str">
        <f>'СТРОИТЕЛЬНОЕ ОБОРУДОВАНИЕ'!C36</f>
        <v>69 кг</v>
      </c>
      <c r="D239" s="289" t="str">
        <f>'СТРОИТЕЛЬНОЕ ОБОРУДОВАНИЕ'!D36</f>
        <v>#VALUE!</v>
      </c>
      <c r="E239" s="342" t="str">
        <f>'СТРОИТЕЛЬНОЕ ОБОРУДОВАНИЕ'!E36</f>
        <v>#VALUE!</v>
      </c>
      <c r="F239" s="342"/>
    </row>
    <row r="240">
      <c r="A240" s="469">
        <f>'СТРОИТЕЛЬНОЕ ОБОРУДОВАНИЕ'!A37</f>
        <v>4159</v>
      </c>
      <c r="B240" s="363" t="str">
        <f>'СТРОИТЕЛЬНОЕ ОБОРУДОВАНИЕ'!B37</f>
        <v>Вибротрамбовка MR75H с Honda GX120 бензиновый двигатель</v>
      </c>
      <c r="C240" s="287" t="str">
        <f>'СТРОИТЕЛЬНОЕ ОБОРУДОВАНИЕ'!C37</f>
        <v>75 кг</v>
      </c>
      <c r="D240" s="289">
        <f>'СТРОИТЕЛЬНОЕ ОБОРУДОВАНИЕ'!D37</f>
        <v>4034</v>
      </c>
      <c r="E240" s="342">
        <f>'СТРОИТЕЛЬНОЕ ОБОРУДОВАНИЕ'!E37</f>
        <v>3428.9</v>
      </c>
      <c r="F240" s="342"/>
    </row>
    <row r="241">
      <c r="A241" s="259">
        <f>'СТРОИТЕЛЬНОЕ ОБОРУДОВАНИЕ'!A38</f>
        <v>6</v>
      </c>
      <c r="B241" s="261" t="str">
        <f>'СТРОИТЕЛЬНОЕ ОБОРУДОВАНИЕ'!B38</f>
        <v>ЗАТИРОЧНАЯ МАШИНА</v>
      </c>
      <c r="C241" s="263" t="str">
        <f>'СТРОИТЕЛЬНОЕ ОБОРУДОВАНИЕ'!C38</f>
        <v/>
      </c>
      <c r="D241" s="265" t="str">
        <f>'СТРОИТЕЛЬНОЕ ОБОРУДОВАНИЕ'!D38</f>
        <v/>
      </c>
      <c r="E241" s="269" t="str">
        <f>'СТРОИТЕЛЬНОЕ ОБОРУДОВАНИЕ'!E38</f>
        <v/>
      </c>
      <c r="F241" s="269"/>
    </row>
    <row r="242">
      <c r="A242" s="469">
        <f>'СТРОИТЕЛЬНОЕ ОБОРУДОВАНИЕ'!A39</f>
        <v>2886</v>
      </c>
      <c r="B242" s="315" t="str">
        <f>'СТРОИТЕЛЬНОЕ ОБОРУДОВАНИЕ'!B39</f>
        <v>Заглаживающая машина для бетона VEKTOR VSCG-600 (GX-160) </v>
      </c>
      <c r="C242" s="287" t="str">
        <f>'СТРОИТЕЛЬНОЕ ОБОРУДОВАНИЕ'!C39</f>
        <v>ф600 мм</v>
      </c>
      <c r="D242" s="289">
        <f>'СТРОИТЕЛЬНОЕ ОБОРУДОВАНИЕ'!D39</f>
        <v>1786</v>
      </c>
      <c r="E242" s="291">
        <f>'СТРОИТЕЛЬНОЕ ОБОРУДОВАНИЕ'!E39</f>
        <v>1518.1</v>
      </c>
      <c r="F242" s="291"/>
    </row>
    <row r="243">
      <c r="A243" s="469" t="str">
        <f>'СТРОИТЕЛЬНОЕ ОБОРУДОВАНИЕ'!A40</f>
        <v/>
      </c>
      <c r="B243" s="333" t="str">
        <f>'СТРОИТЕЛЬНОЕ ОБОРУДОВАНИЕ'!B40</f>
        <v>Расходные материалы:</v>
      </c>
      <c r="C243" s="316" t="str">
        <f>'СТРОИТЕЛЬНОЕ ОБОРУДОВАНИЕ'!C40</f>
        <v>-</v>
      </c>
      <c r="D243" s="289" t="str">
        <f>'СТРОИТЕЛЬНОЕ ОБОРУДОВАНИЕ'!D40</f>
        <v/>
      </c>
      <c r="E243" s="291" t="str">
        <f>'СТРОИТЕЛЬНОЕ ОБОРУДОВАНИЕ'!E40</f>
        <v/>
      </c>
      <c r="F243" s="291"/>
    </row>
    <row r="244">
      <c r="A244" s="469">
        <f>'СТРОИТЕЛЬНОЕ ОБОРУДОВАНИЕ'!A41</f>
        <v>2887</v>
      </c>
      <c r="B244" s="361" t="str">
        <f>'СТРОИТЕЛЬНОЕ ОБОРУДОВАНИЕ'!B41</f>
        <v>Диск для заглаживающей машины VEKTOR VSCG-600</v>
      </c>
      <c r="C244" s="287" t="str">
        <f>'СТРОИТЕЛЬНОЕ ОБОРУДОВАНИЕ'!C41</f>
        <v>ф600 мм</v>
      </c>
      <c r="D244" s="289">
        <f>'СТРОИТЕЛЬНОЕ ОБОРУДОВАНИЕ'!D41</f>
        <v>104</v>
      </c>
      <c r="E244" s="342">
        <f>'СТРОИТЕЛЬНОЕ ОБОРУДОВАНИЕ'!E41</f>
        <v>88.4</v>
      </c>
      <c r="F244" s="342"/>
    </row>
    <row r="245">
      <c r="A245" s="469">
        <f>'СТРОИТЕЛЬНОЕ ОБОРУДОВАНИЕ'!A42</f>
        <v>2888</v>
      </c>
      <c r="B245" s="365" t="str">
        <f>'СТРОИТЕЛЬНОЕ ОБОРУДОВАНИЕ'!B42</f>
        <v>Нож для заглаживающей машины VEKTOR VSCG-600</v>
      </c>
      <c r="C245" s="287" t="str">
        <f>'СТРОИТЕЛЬНОЕ ОБОРУДОВАНИЕ'!C42</f>
        <v>комплект из 4 лопастей</v>
      </c>
      <c r="D245" s="289">
        <f>'СТРОИТЕЛЬНОЕ ОБОРУДОВАНИЕ'!D42</f>
        <v>64</v>
      </c>
      <c r="E245" s="291">
        <f>'СТРОИТЕЛЬНОЕ ОБОРУДОВАНИЕ'!E42</f>
        <v>54.4</v>
      </c>
      <c r="F245" s="291"/>
    </row>
    <row r="246">
      <c r="A246" s="469">
        <f>'СТРОИТЕЛЬНОЕ ОБОРУДОВАНИЕ'!A43</f>
        <v>3737</v>
      </c>
      <c r="B246" s="315" t="str">
        <f>'СТРОИТЕЛЬНОЕ ОБОРУДОВАНИЕ'!B43</f>
        <v>Заглаживающая машина VEKTOR  VSCG-1000 (GX-160)</v>
      </c>
      <c r="C246" s="287" t="str">
        <f>'СТРОИТЕЛЬНОЕ ОБОРУДОВАНИЕ'!C43</f>
        <v>ф1000 (и ф900) мм</v>
      </c>
      <c r="D246" s="289">
        <f>'СТРОИТЕЛЬНОЕ ОБОРУДОВАНИЕ'!D43</f>
        <v>1827</v>
      </c>
      <c r="E246" s="291">
        <f>'СТРОИТЕЛЬНОЕ ОБОРУДОВАНИЕ'!E43</f>
        <v>1552.95</v>
      </c>
      <c r="F246" s="291"/>
    </row>
    <row r="247">
      <c r="A247" s="469" t="str">
        <f>'СТРОИТЕЛЬНОЕ ОБОРУДОВАНИЕ'!A44</f>
        <v/>
      </c>
      <c r="B247" s="333" t="str">
        <f>'СТРОИТЕЛЬНОЕ ОБОРУДОВАНИЕ'!B44</f>
        <v>Расходные материалы:</v>
      </c>
      <c r="C247" s="316" t="str">
        <f>'СТРОИТЕЛЬНОЕ ОБОРУДОВАНИЕ'!C44</f>
        <v>-</v>
      </c>
      <c r="D247" s="289" t="str">
        <f>'СТРОИТЕЛЬНОЕ ОБОРУДОВАНИЕ'!D44</f>
        <v/>
      </c>
      <c r="E247" s="291" t="str">
        <f>'СТРОИТЕЛЬНОЕ ОБОРУДОВАНИЕ'!E44</f>
        <v/>
      </c>
      <c r="F247" s="291"/>
    </row>
    <row r="248">
      <c r="A248" s="469">
        <f>'СТРОИТЕЛЬНОЕ ОБОРУДОВАНИЕ'!A45</f>
        <v>2135</v>
      </c>
      <c r="B248" s="361" t="str">
        <f>'СТРОИТЕЛЬНОЕ ОБОРУДОВАНИЕ'!B45</f>
        <v>Затирочный диск d900</v>
      </c>
      <c r="C248" s="287" t="str">
        <f>'СТРОИТЕЛЬНОЕ ОБОРУДОВАНИЕ'!C45</f>
        <v>ф900 мм</v>
      </c>
      <c r="D248" s="289">
        <f>'СТРОИТЕЛЬНОЕ ОБОРУДОВАНИЕ'!D45</f>
        <v>171</v>
      </c>
      <c r="E248" s="291">
        <f>'СТРОИТЕЛЬНОЕ ОБОРУДОВАНИЕ'!E45</f>
        <v>145.35</v>
      </c>
      <c r="F248" s="291"/>
    </row>
    <row r="249">
      <c r="A249" s="469">
        <f>'СТРОИТЕЛЬНОЕ ОБОРУДОВАНИЕ'!A46</f>
        <v>4168</v>
      </c>
      <c r="B249" s="361" t="str">
        <f>'СТРОИТЕЛЬНОЕ ОБОРУДОВАНИЕ'!B46</f>
        <v>Нож для шлифовальных машин d900 M8</v>
      </c>
      <c r="C249" s="287" t="str">
        <f>'СТРОИТЕЛЬНОЕ ОБОРУДОВАНИЕ'!C46</f>
        <v>комплект из 4 лопастей</v>
      </c>
      <c r="D249" s="289">
        <f>'СТРОИТЕЛЬНОЕ ОБОРУДОВАНИЕ'!D46</f>
        <v>103</v>
      </c>
      <c r="E249" s="342">
        <f>'СТРОИТЕЛЬНОЕ ОБОРУДОВАНИЕ'!E46</f>
        <v>87.55</v>
      </c>
      <c r="F249" s="342"/>
    </row>
    <row r="250">
      <c r="A250" s="469" t="str">
        <f>'СТРОИТЕЛЬНОЕ ОБОРУДОВАНИЕ'!A47</f>
        <v/>
      </c>
      <c r="B250" s="365" t="str">
        <f>'СТРОИТЕЛЬНОЕ ОБОРУДОВАНИЕ'!B47</f>
        <v>Затирочный диск d750</v>
      </c>
      <c r="C250" s="287" t="str">
        <f>'СТРОИТЕЛЬНОЕ ОБОРУДОВАНИЕ'!C47</f>
        <v>ф750 мм</v>
      </c>
      <c r="D250" s="289">
        <f>'СТРОИТЕЛЬНОЕ ОБОРУДОВАНИЕ'!D47</f>
        <v>145</v>
      </c>
      <c r="E250" s="342">
        <f>'СТРОИТЕЛЬНОЕ ОБОРУДОВАНИЕ'!E47</f>
        <v>124.7</v>
      </c>
      <c r="F250" s="342"/>
    </row>
    <row r="251">
      <c r="A251" s="469" t="str">
        <f>'СТРОИТЕЛЬНОЕ ОБОРУДОВАНИЕ'!A48</f>
        <v/>
      </c>
      <c r="B251" s="365" t="str">
        <f>'СТРОИТЕЛЬНОЕ ОБОРУДОВАНИЕ'!B48</f>
        <v>Нож для шлифовальных машин d750</v>
      </c>
      <c r="C251" s="287" t="str">
        <f>'СТРОИТЕЛЬНОЕ ОБОРУДОВАНИЕ'!C48</f>
        <v>комплект из 4 лопастей</v>
      </c>
      <c r="D251" s="289">
        <f>'СТРОИТЕЛЬНОЕ ОБОРУДОВАНИЕ'!D48</f>
        <v>84</v>
      </c>
      <c r="E251" s="342">
        <f>'СТРОИТЕЛЬНОЕ ОБОРУДОВАНИЕ'!E48</f>
        <v>72.24</v>
      </c>
      <c r="F251" s="342"/>
    </row>
    <row r="252">
      <c r="A252" s="259">
        <f>'СТРОИТЕЛЬНОЕ ОБОРУДОВАНИЕ'!A49</f>
        <v>7</v>
      </c>
      <c r="B252" s="261" t="str">
        <f>'СТРОИТЕЛЬНОЕ ОБОРУДОВАНИЕ'!B49</f>
        <v>МОТОПОМПА</v>
      </c>
      <c r="C252" s="263" t="str">
        <f>'СТРОИТЕЛЬНОЕ ОБОРУДОВАНИЕ'!C49</f>
        <v/>
      </c>
      <c r="D252" s="265" t="str">
        <f>'СТРОИТЕЛЬНОЕ ОБОРУДОВАНИЕ'!D49</f>
        <v/>
      </c>
      <c r="E252" s="269" t="str">
        <f>'СТРОИТЕЛЬНОЕ ОБОРУДОВАНИЕ'!E49</f>
        <v/>
      </c>
      <c r="F252" s="269"/>
    </row>
    <row r="253">
      <c r="A253" s="469">
        <f>'СТРОИТЕЛЬНОЕ ОБОРУДОВАНИЕ'!A50</f>
        <v>2595</v>
      </c>
      <c r="B253" s="363" t="str">
        <f>'СТРОИТЕЛЬНОЕ ОБОРУДОВАНИЕ'!B50</f>
        <v>Мотопомпа бензиновая Koshin SEH-50X - чист.вода</v>
      </c>
      <c r="C253" s="287" t="str">
        <f>'СТРОИТЕЛЬНОЕ ОБОРУДОВАНИЕ'!C50</f>
        <v>640 л/мин, ф50мм, 21кг</v>
      </c>
      <c r="D253" s="289">
        <f>'СТРОИТЕЛЬНОЕ ОБОРУДОВАНИЕ'!D50</f>
        <v>1014</v>
      </c>
      <c r="E253" s="291">
        <f>'СТРОИТЕЛЬНОЕ ОБОРУДОВАНИЕ'!E50</f>
        <v>861.9</v>
      </c>
      <c r="F253" s="291"/>
    </row>
    <row r="254">
      <c r="A254" s="469">
        <f>'СТРОИТЕЛЬНОЕ ОБОРУДОВАНИЕ'!A51</f>
        <v>2598</v>
      </c>
      <c r="B254" s="367" t="str">
        <f>'СТРОИТЕЛЬНОЕ ОБОРУДОВАНИЕ'!B51</f>
        <v>Грязевая мотопомпа бензиновая KOSHIN KTH-50X - сильн.загрязн.вода</v>
      </c>
      <c r="C254" s="287" t="str">
        <f>'СТРОИТЕЛЬНОЕ ОБОРУДОВАНИЕ'!C51</f>
        <v>700 л/мин, ф50мм, 47кг</v>
      </c>
      <c r="D254" s="289">
        <f>'СТРОИТЕЛЬНОЕ ОБОРУДОВАНИЕ'!D51</f>
        <v>2922</v>
      </c>
      <c r="E254" s="291">
        <f>'СТРОИТЕЛЬНОЕ ОБОРУДОВАНИЕ'!E51</f>
        <v>2483.7</v>
      </c>
      <c r="F254" s="291"/>
    </row>
    <row r="255">
      <c r="A255" s="469">
        <f>'СТРОИТЕЛЬНОЕ ОБОРУДОВАНИЕ'!A52</f>
        <v>2271</v>
      </c>
      <c r="B255" s="363" t="str">
        <f>'СТРОИТЕЛЬНОЕ ОБОРУДОВАНИЕ'!B52</f>
        <v>Грязевая мотопомпа бензиновая KOSHIN KTH-80X - сильн.загрязн.вода</v>
      </c>
      <c r="C255" s="287" t="str">
        <f>'СТРОИТЕЛЬНОЕ ОБОРУДОВАНИЕ'!C52</f>
        <v>1340 л/мин, ф80, 59кг</v>
      </c>
      <c r="D255" s="289">
        <f>'СТРОИТЕЛЬНОЕ ОБОРУДОВАНИЕ'!D52</f>
        <v>3713</v>
      </c>
      <c r="E255" s="368">
        <f>'СТРОИТЕЛЬНОЕ ОБОРУДОВАНИЕ'!E52</f>
        <v>3156.05</v>
      </c>
      <c r="F255" s="368"/>
    </row>
    <row r="256">
      <c r="A256" s="469">
        <f>'СТРОИТЕЛЬНОЕ ОБОРУДОВАНИЕ'!A53</f>
        <v>4533</v>
      </c>
      <c r="B256" s="363" t="str">
        <f>'СТРОИТЕЛЬНОЕ ОБОРУДОВАНИЕ'!B53</f>
        <v>Грязевая мотопомпа бензиновая KOSHIN KTH-100X - сильн.загрязн.вода - под заказ</v>
      </c>
      <c r="C256" s="287" t="str">
        <f>'СТРОИТЕЛЬНОЕ ОБОРУДОВАНИЕ'!C53</f>
        <v>1600 л/мин, ф100, 85кг</v>
      </c>
      <c r="D256" s="289">
        <f>'СТРОИТЕЛЬНОЕ ОБОРУДОВАНИЕ'!D53</f>
        <v>5246</v>
      </c>
      <c r="E256" s="368">
        <f>'СТРОИТЕЛЬНОЕ ОБОРУДОВАНИЕ'!E53</f>
        <v>4459.1</v>
      </c>
      <c r="F256" s="368"/>
    </row>
    <row r="257">
      <c r="A257" s="259">
        <f>'СТРОИТЕЛЬНОЕ ОБОРУДОВАНИЕ'!A54</f>
        <v>8</v>
      </c>
      <c r="B257" s="261" t="str">
        <f>'СТРОИТЕЛЬНОЕ ОБОРУДОВАНИЕ'!B54</f>
        <v>НАРЕЗЧИК ШВОВ</v>
      </c>
      <c r="C257" s="263" t="str">
        <f>'СТРОИТЕЛЬНОЕ ОБОРУДОВАНИЕ'!C54</f>
        <v/>
      </c>
      <c r="D257" s="265" t="str">
        <f>'СТРОИТЕЛЬНОЕ ОБОРУДОВАНИЕ'!D54</f>
        <v/>
      </c>
      <c r="E257" s="269" t="str">
        <f>'СТРОИТЕЛЬНОЕ ОБОРУДОВАНИЕ'!E54</f>
        <v/>
      </c>
      <c r="F257" s="269"/>
    </row>
    <row r="258">
      <c r="A258" s="469">
        <f>'СТРОИТЕЛЬНОЕ ОБОРУДОВАНИЕ'!A55</f>
        <v>2689</v>
      </c>
      <c r="B258" s="363" t="str">
        <f>'СТРОИТЕЛЬНОЕ ОБОРУДОВАНИЕ'!B55</f>
        <v>Нарезчик швов MF20-4 без диска (Хонда GX390)</v>
      </c>
      <c r="C258" s="287" t="str">
        <f>'СТРОИТЕЛЬНОЕ ОБОРУДОВАНИЕ'!C55</f>
        <v>ф500 мм, 195 кг</v>
      </c>
      <c r="D258" s="289">
        <f>'СТРОИТЕЛЬНОЕ ОБОРУДОВАНИЕ'!D55</f>
        <v>3472</v>
      </c>
      <c r="E258" s="291">
        <f>'СТРОИТЕЛЬНОЕ ОБОРУДОВАНИЕ'!E55</f>
        <v>2951.2</v>
      </c>
      <c r="F258" s="291"/>
    </row>
    <row r="259">
      <c r="A259" s="259">
        <f>'СТРОИТЕЛЬНОЕ ОБОРУДОВАНИЕ'!A56</f>
        <v>9</v>
      </c>
      <c r="B259" s="261" t="str">
        <f>'СТРОИТЕЛЬНОЕ ОБОРУДОВАНИЕ'!B56</f>
        <v>ПАРКЕТО-ШЛИФОВАЛЬНАЯ МАШИНА</v>
      </c>
      <c r="C259" s="263" t="str">
        <f>'СТРОИТЕЛЬНОЕ ОБОРУДОВАНИЕ'!C56</f>
        <v/>
      </c>
      <c r="D259" s="265" t="str">
        <f>'СТРОИТЕЛЬНОЕ ОБОРУДОВАНИЕ'!D56</f>
        <v/>
      </c>
      <c r="E259" s="269" t="str">
        <f>'СТРОИТЕЛЬНОЕ ОБОРУДОВАНИЕ'!E56</f>
        <v/>
      </c>
      <c r="F259" s="269"/>
    </row>
    <row r="260">
      <c r="A260" s="469">
        <f>'СТРОИТЕЛЬНОЕ ОБОРУДОВАНИЕ'!A57</f>
        <v>4241</v>
      </c>
      <c r="B260" s="363" t="str">
        <f>'СТРОИТЕЛЬНОЕ ОБОРУДОВАНИЕ'!B57</f>
        <v>Паркето-шлифовальная машина LEVEL</v>
      </c>
      <c r="C260" s="287" t="str">
        <f>'СТРОИТЕЛЬНОЕ ОБОРУДОВАНИЕ'!C57</f>
        <v>-</v>
      </c>
      <c r="D260" s="289">
        <f>'СТРОИТЕЛЬНОЕ ОБОРУДОВАНИЕ'!D57</f>
        <v>3345</v>
      </c>
      <c r="E260" s="291">
        <f>'СТРОИТЕЛЬНОЕ ОБОРУДОВАНИЕ'!E57</f>
        <v>2843.25</v>
      </c>
      <c r="F260" s="291"/>
    </row>
    <row r="261">
      <c r="A261" s="259">
        <f>'СТРОИТЕЛЬНОЕ ОБОРУДОВАНИЕ'!A58</f>
        <v>10</v>
      </c>
      <c r="B261" s="470" t="str">
        <f>'СТРОИТЕЛЬНОЕ ОБОРУДОВАНИЕ'!B58</f>
        <v>СТАНКИ ДЛЯ ГИБКИ И РЕЗКИ АРМАТУРЫ - ПОД ЗАКАЗ</v>
      </c>
      <c r="C261" s="263"/>
      <c r="D261" s="265" t="str">
        <f>'СТРОИТЕЛЬНОЕ ОБОРУДОВАНИЕ'!D58</f>
        <v/>
      </c>
      <c r="E261" s="269" t="str">
        <f>'СТРОИТЕЛЬНОЕ ОБОРУДОВАНИЕ'!E58</f>
        <v/>
      </c>
      <c r="F261" s="269"/>
    </row>
    <row r="262">
      <c r="A262" s="469">
        <f>'СТРОИТЕЛЬНОЕ ОБОРУДОВАНИЕ'!A59</f>
        <v>4238</v>
      </c>
      <c r="B262" s="363" t="str">
        <f>'СТРОИТЕЛЬНОЕ ОБОРУДОВАНИЕ'!B59</f>
        <v>Станок для гибки арматуры GW-40</v>
      </c>
      <c r="C262" s="287" t="str">
        <f>'СТРОИТЕЛЬНОЕ ОБОРУДОВАНИЕ'!C59</f>
        <v>3 кВт, max 40мм, 272 кг, пневмопедали</v>
      </c>
      <c r="D262" s="289">
        <f>'СТРОИТЕЛЬНОЕ ОБОРУДОВАНИЕ'!D59</f>
        <v>2908</v>
      </c>
      <c r="E262" s="291">
        <f>'СТРОИТЕЛЬНОЕ ОБОРУДОВАНИЕ'!E59</f>
        <v>2471.8</v>
      </c>
      <c r="F262" s="291"/>
    </row>
    <row r="263">
      <c r="A263" s="469">
        <f>'СТРОИТЕЛЬНОЕ ОБОРУДОВАНИЕ'!A60</f>
        <v>4534</v>
      </c>
      <c r="B263" s="363" t="str">
        <f>'СТРОИТЕЛЬНОЕ ОБОРУДОВАНИЕ'!B60</f>
        <v>Станок для гибки арматуры GW-50</v>
      </c>
      <c r="C263" s="287" t="str">
        <f>'СТРОИТЕЛЬНОЕ ОБОРУДОВАНИЕ'!C60</f>
        <v>4 кВт, max 50мм, 368 кг, пневмопедали</v>
      </c>
      <c r="D263" s="289">
        <f>'СТРОИТЕЛЬНОЕ ОБОРУДОВАНИЕ'!D60</f>
        <v>4057</v>
      </c>
      <c r="E263" s="291">
        <f>'СТРОИТЕЛЬНОЕ ОБОРУДОВАНИЕ'!E60</f>
        <v>3448.45</v>
      </c>
      <c r="F263" s="291"/>
    </row>
    <row r="264">
      <c r="A264" s="469">
        <f>'СТРОИТЕЛЬНОЕ ОБОРУДОВАНИЕ'!A61</f>
        <v>4535</v>
      </c>
      <c r="B264" s="363" t="str">
        <f>'СТРОИТЕЛЬНОЕ ОБОРУДОВАНИЕ'!B61</f>
        <v>Станок для резки арматуры GQ-40</v>
      </c>
      <c r="C264" s="287" t="str">
        <f>'СТРОИТЕЛЬНОЕ ОБОРУДОВАНИЕ'!C61</f>
        <v>3 кВт, max 40мм, 380 кг</v>
      </c>
      <c r="D264" s="289">
        <f>'СТРОИТЕЛЬНОЕ ОБОРУДОВАНИЕ'!D61</f>
        <v>3636</v>
      </c>
      <c r="E264" s="291">
        <f>'СТРОИТЕЛЬНОЕ ОБОРУДОВАНИЕ'!E61</f>
        <v>3090.6</v>
      </c>
      <c r="F264" s="291"/>
    </row>
    <row r="265">
      <c r="A265" s="469">
        <f>'СТРОИТЕЛЬНОЕ ОБОРУДОВАНИЕ'!A62</f>
        <v>4536</v>
      </c>
      <c r="B265" s="363" t="str">
        <f>'СТРОИТЕЛЬНОЕ ОБОРУДОВАНИЕ'!B62</f>
        <v>Станок для резки арматуры GQ-50</v>
      </c>
      <c r="C265" s="287" t="str">
        <f>'СТРОИТЕЛЬНОЕ ОБОРУДОВАНИЕ'!C62</f>
        <v>4 кВт, max 50мм, 525 кг,</v>
      </c>
      <c r="D265" s="289">
        <f>'СТРОИТЕЛЬНОЕ ОБОРУДОВАНИЕ'!D62</f>
        <v>4708</v>
      </c>
      <c r="E265" s="291">
        <f>'СТРОИТЕЛЬНОЕ ОБОРУДОВАНИЕ'!E62</f>
        <v>4001.8</v>
      </c>
      <c r="F265" s="291"/>
    </row>
    <row r="266">
      <c r="A266" s="259">
        <f>'СТРОИТЕЛЬНОЕ ОБОРУДОВАНИЕ'!A63</f>
        <v>11</v>
      </c>
      <c r="B266" s="261" t="str">
        <f>'СТРОИТЕЛЬНОЕ ОБОРУДОВАНИЕ'!B63</f>
        <v>СТАНЦИИ ПРОГРЕВА БЕТОНА - ПОД ЗАКАЗ</v>
      </c>
      <c r="C266" s="263" t="str">
        <f>'СТРОИТЕЛЬНОЕ ОБОРУДОВАНИЕ'!C63</f>
        <v/>
      </c>
      <c r="D266" s="265" t="str">
        <f>'СТРОИТЕЛЬНОЕ ОБОРУДОВАНИЕ'!D63</f>
        <v/>
      </c>
      <c r="E266" s="269" t="str">
        <f>'СТРОИТЕЛЬНОЕ ОБОРУДОВАНИЕ'!E63</f>
        <v/>
      </c>
      <c r="F266" s="269"/>
    </row>
    <row r="267">
      <c r="A267" s="471" t="str">
        <f>'СТРОИТЕЛЬНОЕ ОБОРУДОВАНИЕ'!A64</f>
        <v/>
      </c>
      <c r="B267" s="363" t="str">
        <f>'СТРОИТЕЛЬНОЕ ОБОРУДОВАНИЕ'!B64</f>
        <v>Трансформатор для подогрева бетона ТСДЗ - 63М/0.38 УЗ - без автомат.</v>
      </c>
      <c r="C267" s="287" t="str">
        <f>'СТРОИТЕЛЬНОЕ ОБОРУДОВАНИЕ'!C64</f>
        <v>63 кВА, 63/70/80 В, 278 кг</v>
      </c>
      <c r="D267" s="289">
        <f>'СТРОИТЕЛЬНОЕ ОБОРУДОВАНИЕ'!D64</f>
        <v>3299</v>
      </c>
      <c r="E267" s="368">
        <f>'СТРОИТЕЛЬНОЕ ОБОРУДОВАНИЕ'!E64</f>
        <v>2804.15</v>
      </c>
      <c r="F267" s="368"/>
    </row>
    <row r="268">
      <c r="A268" s="471" t="str">
        <f>'СТРОИТЕЛЬНОЕ ОБОРУДОВАНИЕ'!A65</f>
        <v/>
      </c>
      <c r="B268" s="363" t="str">
        <f>'СТРОИТЕЛЬНОЕ ОБОРУДОВАНИЕ'!B65</f>
        <v>Трансформатор для подогрева бетона ТСДЗ - 80М/0.38 УЗ - без автомат.</v>
      </c>
      <c r="C268" s="287" t="str">
        <f>'СТРОИТЕЛЬНОЕ ОБОРУДОВАНИЕ'!C65</f>
        <v>80 кВА, 45/55/75 В, 316 кг</v>
      </c>
      <c r="D268" s="289">
        <f>'СТРОИТЕЛЬНОЕ ОБОРУДОВАНИЕ'!D65</f>
        <v>3749</v>
      </c>
      <c r="E268" s="368">
        <f>'СТРОИТЕЛЬНОЕ ОБОРУДОВАНИЕ'!E65</f>
        <v>3186.65</v>
      </c>
      <c r="F268" s="368"/>
    </row>
    <row r="269">
      <c r="A269" s="471" t="str">
        <f>'СТРОИТЕЛЬНОЕ ОБОРУДОВАНИЕ'!A66</f>
        <v/>
      </c>
      <c r="B269" s="363" t="str">
        <f>'СТРОИТЕЛЬНОЕ ОБОРУДОВАНИЕ'!B66</f>
        <v>Трансформатор для подогрева бетона ТСДЗ - 63/0.38 УЗ</v>
      </c>
      <c r="C269" s="287" t="str">
        <f>'СТРОИТЕЛЬНОЕ ОБОРУДОВАНИЕ'!C66</f>
        <v>63 кВА, 63/70/80 В, 310 кг</v>
      </c>
      <c r="D269" s="289">
        <f>'СТРОИТЕЛЬНОЕ ОБОРУДОВАНИЕ'!D66</f>
        <v>3419</v>
      </c>
      <c r="E269" s="368">
        <f>'СТРОИТЕЛЬНОЕ ОБОРУДОВАНИЕ'!E66</f>
        <v>2906.15</v>
      </c>
      <c r="F269" s="368"/>
    </row>
    <row r="270">
      <c r="A270" s="471" t="str">
        <f>'СТРОИТЕЛЬНОЕ ОБОРУДОВАНИЕ'!A67</f>
        <v/>
      </c>
      <c r="B270" s="363" t="str">
        <f>'СТРОИТЕЛЬНОЕ ОБОРУДОВАНИЕ'!B67</f>
        <v>Трансформатор для подогрева бетона ТСДЗ - 80/0.38 УЗ</v>
      </c>
      <c r="C270" s="287" t="str">
        <f>'СТРОИТЕЛЬНОЕ ОБОРУДОВАНИЕ'!C67</f>
        <v>80 кВА, 45/55/75 В, 340кг</v>
      </c>
      <c r="D270" s="289">
        <f>'СТРОИТЕЛЬНОЕ ОБОРУДОВАНИЕ'!D67</f>
        <v>3838</v>
      </c>
      <c r="E270" s="368">
        <f>'СТРОИТЕЛЬНОЕ ОБОРУДОВАНИЕ'!E67</f>
        <v>3262.3</v>
      </c>
      <c r="F270" s="368"/>
    </row>
    <row r="271">
      <c r="A271" s="259">
        <f>'СТРОИТЕЛЬНОЕ ОБОРУДОВАНИЕ'!A68</f>
        <v>12</v>
      </c>
      <c r="B271" s="261" t="str">
        <f>'СТРОИТЕЛЬНОЕ ОБОРУДОВАНИЕ'!B68</f>
        <v>ТЕПЛОВЫЕ ПУШКИ</v>
      </c>
      <c r="C271" s="263" t="str">
        <f>'СТРОИТЕЛЬНОЕ ОБОРУДОВАНИЕ'!C68</f>
        <v/>
      </c>
      <c r="D271" s="265" t="str">
        <f>'СТРОИТЕЛЬНОЕ ОБОРУДОВАНИЕ'!D68</f>
        <v/>
      </c>
      <c r="E271" s="269" t="str">
        <f>'СТРОИТЕЛЬНОЕ ОБОРУДОВАНИЕ'!E68</f>
        <v/>
      </c>
      <c r="F271" s="269"/>
    </row>
    <row r="272">
      <c r="A272" s="469">
        <f>'СТРОИТЕЛЬНОЕ ОБОРУДОВАНИЕ'!A69</f>
        <v>4822</v>
      </c>
      <c r="B272" s="363" t="str">
        <f>'СТРОИТЕЛЬНОЕ ОБОРУДОВАНИЕ'!B69</f>
        <v>Стационарный жидкотопливный нагреватель MASTER WA 33 C</v>
      </c>
      <c r="C272" s="287" t="str">
        <f>'СТРОИТЕЛЬНОЕ ОБОРУДОВАНИЕ'!C69</f>
        <v>мощность 17-33 кВт</v>
      </c>
      <c r="D272" s="289">
        <f>'СТРОИТЕЛЬНОЕ ОБОРУДОВАНИЕ'!D69</f>
        <v>5000</v>
      </c>
      <c r="E272" s="291">
        <f>'СТРОИТЕЛЬНОЕ ОБОРУДОВАНИЕ'!E69</f>
        <v>4250</v>
      </c>
      <c r="F272" s="291"/>
    </row>
    <row r="273">
      <c r="A273" s="469">
        <f>'СТРОИТЕЛЬНОЕ ОБОРУДОВАНИЕ'!A70</f>
        <v>4068</v>
      </c>
      <c r="B273" s="363" t="str">
        <f>'СТРОИТЕЛЬНОЕ ОБОРУДОВАНИЕ'!B70</f>
        <v>Тепловая пушка газовая LXG 15M</v>
      </c>
      <c r="C273" s="287" t="str">
        <f>'СТРОИТЕЛЬНОЕ ОБОРУДОВАНИЕ'!C70</f>
        <v>мощность 15кВт</v>
      </c>
      <c r="D273" s="289">
        <f>'СТРОИТЕЛЬНОЕ ОБОРУДОВАНИЕ'!D70</f>
        <v>195</v>
      </c>
      <c r="E273" s="291">
        <f>'СТРОИТЕЛЬНОЕ ОБОРУДОВАНИЕ'!E70</f>
        <v>195</v>
      </c>
      <c r="F273" s="291"/>
    </row>
    <row r="274">
      <c r="A274" s="469">
        <f>'СТРОИТЕЛЬНОЕ ОБОРУДОВАНИЕ'!A71</f>
        <v>4069</v>
      </c>
      <c r="B274" s="363" t="str">
        <f>'СТРОИТЕЛЬНОЕ ОБОРУДОВАНИЕ'!B71</f>
        <v>Тепловая пушка газовая LXG 30M</v>
      </c>
      <c r="C274" s="287" t="str">
        <f>'СТРОИТЕЛЬНОЕ ОБОРУДОВАНИЕ'!C71</f>
        <v>мощность 30кВт</v>
      </c>
      <c r="D274" s="289">
        <f>'СТРОИТЕЛЬНОЕ ОБОРУДОВАНИЕ'!D71</f>
        <v>230</v>
      </c>
      <c r="E274" s="368">
        <f>'СТРОИТЕЛЬНОЕ ОБОРУДОВАНИЕ'!E71</f>
        <v>230</v>
      </c>
      <c r="F274" s="368"/>
    </row>
    <row r="275">
      <c r="A275" s="469">
        <f>'СТРОИТЕЛЬНОЕ ОБОРУДОВАНИЕ'!A72</f>
        <v>4070</v>
      </c>
      <c r="B275" s="363" t="str">
        <f>'СТРОИТЕЛЬНОЕ ОБОРУДОВАНИЕ'!B72</f>
        <v>Электрическая тепловая пушка LXDY5</v>
      </c>
      <c r="C275" s="287" t="str">
        <f>'СТРОИТЕЛЬНОЕ ОБОРУДОВАНИЕ'!C72</f>
        <v>400В, мощность 5кВт</v>
      </c>
      <c r="D275" s="289">
        <f>'СТРОИТЕЛЬНОЕ ОБОРУДОВАНИЕ'!D72</f>
        <v>90</v>
      </c>
      <c r="E275" s="368">
        <f>'СТРОИТЕЛЬНОЕ ОБОРУДОВАНИЕ'!E72</f>
        <v>90</v>
      </c>
      <c r="F275" s="368"/>
    </row>
    <row r="276">
      <c r="A276" s="469">
        <f>'СТРОИТЕЛЬНОЕ ОБОРУДОВАНИЕ'!A73</f>
        <v>4071</v>
      </c>
      <c r="B276" s="363" t="str">
        <f>'СТРОИТЕЛЬНОЕ ОБОРУДОВАНИЕ'!B73</f>
        <v>Электрическая тепловая пушка LXDY9</v>
      </c>
      <c r="C276" s="287" t="str">
        <f>'СТРОИТЕЛЬНОЕ ОБОРУДОВАНИЕ'!C73</f>
        <v>400В, мощность 9кВт</v>
      </c>
      <c r="D276" s="289">
        <f>'СТРОИТЕЛЬНОЕ ОБОРУДОВАНИЕ'!D73</f>
        <v>125</v>
      </c>
      <c r="E276" s="368">
        <f>'СТРОИТЕЛЬНОЕ ОБОРУДОВАНИЕ'!E73</f>
        <v>125</v>
      </c>
      <c r="F276" s="368"/>
    </row>
    <row r="277">
      <c r="A277" s="472">
        <f>'СТРОИТЕЛЬНОЕ ОБОРУДОВАНИЕ'!A74</f>
        <v>4072</v>
      </c>
      <c r="B277" s="473" t="str">
        <f>'СТРОИТЕЛЬНОЕ ОБОРУДОВАНИЕ'!B74</f>
        <v>Электрическая тепловая пушка LXF18</v>
      </c>
      <c r="C277" s="474" t="str">
        <f>'СТРОИТЕЛЬНОЕ ОБОРУДОВАНИЕ'!C74</f>
        <v>400В, мощность 18кВт</v>
      </c>
      <c r="D277" s="475">
        <f>'СТРОИТЕЛЬНОЕ ОБОРУДОВАНИЕ'!D74</f>
        <v>240</v>
      </c>
      <c r="E277" s="476">
        <f>'СТРОИТЕЛЬНОЕ ОБОРУДОВАНИЕ'!E74</f>
        <v>240</v>
      </c>
      <c r="F277" s="368"/>
    </row>
    <row r="278">
      <c r="A278" s="477"/>
      <c r="B278" s="367"/>
      <c r="C278" s="478"/>
      <c r="D278" s="479"/>
      <c r="E278" s="480"/>
      <c r="F278" s="481"/>
    </row>
    <row r="279">
      <c r="A279" s="477"/>
      <c r="B279" s="367"/>
      <c r="C279" s="478"/>
      <c r="D279" s="479"/>
      <c r="E279" s="480"/>
      <c r="F279" s="481"/>
    </row>
    <row r="280">
      <c r="A280" s="477"/>
      <c r="B280" s="367"/>
      <c r="C280" s="478"/>
      <c r="D280" s="479"/>
      <c r="E280" s="480"/>
      <c r="F280" s="481"/>
    </row>
    <row r="281">
      <c r="A281" s="477"/>
      <c r="B281" s="367"/>
      <c r="C281" s="478"/>
      <c r="D281" s="479"/>
      <c r="E281" s="480"/>
      <c r="F281" s="481"/>
    </row>
    <row r="282">
      <c r="A282" s="477"/>
      <c r="B282" s="367"/>
      <c r="C282" s="478"/>
      <c r="D282" s="479"/>
      <c r="E282" s="480"/>
      <c r="F282" s="481"/>
    </row>
    <row r="283">
      <c r="A283" s="477"/>
      <c r="B283" s="367"/>
      <c r="C283" s="478"/>
      <c r="D283" s="479"/>
      <c r="E283" s="480"/>
      <c r="F283" s="482"/>
    </row>
    <row r="284">
      <c r="A284" s="477"/>
      <c r="B284" s="367"/>
      <c r="C284" s="478"/>
      <c r="D284" s="479"/>
      <c r="E284" s="480"/>
      <c r="F284" s="481"/>
    </row>
    <row r="285">
      <c r="A285" s="477"/>
      <c r="B285" s="367"/>
      <c r="C285" s="478"/>
      <c r="D285" s="479"/>
      <c r="E285" s="480"/>
      <c r="F285" s="482"/>
    </row>
    <row r="286">
      <c r="A286" s="483"/>
      <c r="B286" s="484"/>
      <c r="C286" s="485"/>
      <c r="D286" s="486"/>
      <c r="E286" s="487"/>
      <c r="F286" s="481"/>
    </row>
    <row r="287">
      <c r="A287" s="483"/>
      <c r="B287" s="484"/>
      <c r="C287" s="485"/>
      <c r="D287" s="486"/>
      <c r="E287" s="487"/>
      <c r="F287" s="481"/>
    </row>
    <row r="288">
      <c r="A288" s="488"/>
      <c r="B288" s="460"/>
      <c r="C288" s="460"/>
      <c r="D288" s="460"/>
      <c r="E288" s="460"/>
      <c r="F288" s="442"/>
    </row>
    <row r="289">
      <c r="A289" s="489"/>
      <c r="B289" s="442"/>
      <c r="C289" s="442"/>
      <c r="D289" s="442"/>
      <c r="E289" s="442"/>
      <c r="F289" s="442"/>
    </row>
    <row r="290">
      <c r="A290" s="489"/>
      <c r="B290" s="442"/>
      <c r="C290" s="442"/>
      <c r="D290" s="442"/>
      <c r="E290" s="442"/>
      <c r="F290" s="442"/>
    </row>
  </sheetData>
  <mergeCells count="2">
    <mergeCell ref="A4:E4"/>
    <mergeCell ref="A1:E1"/>
  </mergeCells>
  <conditionalFormatting sqref="D214:E285 F214:F277">
    <cfRule type="notContainsText" dxfId="3" priority="1" operator="notContains" text=",">
      <formula>ISERROR(SEARCH((","),(D214)))</formula>
    </cfRule>
  </conditionalFormatting>
  <conditionalFormatting sqref="B1:B3 B103 B116:B117 B119 B121:B142 B144:B164 B166:B186 A188:B203">
    <cfRule type="containsText" dxfId="3" priority="2" operator="containsText" text="нет">
      <formula>NOT(ISERROR(SEARCH(("нет"),(B1))))</formula>
    </cfRule>
  </conditionalFormatting>
  <hyperlinks>
    <hyperlink r:id="rId1" ref="E2"/>
    <hyperlink r:id="rId2" ref="E3"/>
    <hyperlink r:id="rId3" ref="C5"/>
    <hyperlink r:id="rId4" ref="C104"/>
    <hyperlink r:id="rId5" ref="C118"/>
  </hyperlinks>
  <printOptions gridLines="1" horizontalCentered="1"/>
  <pageMargins bottom="0.3500444500889002" footer="0.0" header="0.0" left="0.43338836677673365" right="0.43338836677673365" top="0.3167068834137669"/>
  <pageSetup fitToHeight="0" paperSize="9" cellComments="atEnd" orientation="portrait" pageOrder="overThenDown"/>
  <drawing r:id="rId6"/>
</worksheet>
</file>