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drawings/drawing7.xml" ContentType="application/vnd.openxmlformats-officedocument.drawingml.chartshape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f6173ca0058c6d6/Desktop/Challenge 1/"/>
    </mc:Choice>
  </mc:AlternateContent>
  <xr:revisionPtr revIDLastSave="5" documentId="13_ncr:1_{11330EAD-3D14-4B26-AEDA-E94C49FFA59B}" xr6:coauthVersionLast="47" xr6:coauthVersionMax="47" xr10:uidLastSave="{5FC0C41B-4A0A-4708-8E22-5927717F2CFE}"/>
  <bookViews>
    <workbookView xWindow="1080" yWindow="408" windowWidth="21468" windowHeight="11844" activeTab="1" xr2:uid="{00000000-000D-0000-FFFF-FFFF00000000}"/>
  </bookViews>
  <sheets>
    <sheet name="Theatre Outcomes by Launch Date" sheetId="15" r:id="rId1"/>
    <sheet name="Outcomes Based On Goals" sheetId="16" r:id="rId2"/>
    <sheet name="Kickstarter" sheetId="1" r:id="rId3"/>
    <sheet name="Category Statistics" sheetId="2" r:id="rId4"/>
    <sheet name="Subcategory Statistics" sheetId="3" r:id="rId5"/>
    <sheet name="Outcomes Based On Launch Date" sheetId="4" r:id="rId6"/>
    <sheet name="Edinburgh Research" sheetId="5" r:id="rId7"/>
    <sheet name="Descriptive Statistics" sheetId="8" r:id="rId8"/>
    <sheet name="GB Musical Goal v Pledged" sheetId="14" r:id="rId9"/>
    <sheet name="Successful US Games" sheetId="11" r:id="rId10"/>
  </sheets>
  <definedNames>
    <definedName name="_xlnm._FilterDatabase" localSheetId="2" hidden="1">Kickstarter!$A$1:$T$4119</definedName>
    <definedName name="_xlchart.v1.0" hidden="1">Kickstarter!$D$1</definedName>
    <definedName name="_xlchart.v1.1" hidden="1">Kickstarter!$D$2:$D$1048576</definedName>
    <definedName name="_xlchart.v1.2" hidden="1">Kickstarter!$E$1</definedName>
    <definedName name="_xlchart.v1.3" hidden="1">Kickstarter!$E$2:$E$1048576</definedName>
  </definedNames>
  <calcPr calcId="191029"/>
  <pivotCaches>
    <pivotCache cacheId="0" r:id="rId11"/>
    <pivotCache cacheId="1" r:id="rId12"/>
    <pivotCache cacheId="2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" i="16" l="1"/>
  <c r="H4" i="16"/>
  <c r="H5" i="16"/>
  <c r="H6" i="16"/>
  <c r="H7" i="16"/>
  <c r="H8" i="16"/>
  <c r="H9" i="16"/>
  <c r="H10" i="16"/>
  <c r="H11" i="16"/>
  <c r="H12" i="16"/>
  <c r="H13" i="16"/>
  <c r="H2" i="16"/>
  <c r="G3" i="16"/>
  <c r="G4" i="16"/>
  <c r="G5" i="16"/>
  <c r="G6" i="16"/>
  <c r="G7" i="16"/>
  <c r="G8" i="16"/>
  <c r="G9" i="16"/>
  <c r="G10" i="16"/>
  <c r="G11" i="16"/>
  <c r="G12" i="16"/>
  <c r="G13" i="16"/>
  <c r="G2" i="16"/>
  <c r="F3" i="16"/>
  <c r="F4" i="16"/>
  <c r="F5" i="16"/>
  <c r="F6" i="16"/>
  <c r="F7" i="16"/>
  <c r="F8" i="16"/>
  <c r="F9" i="16"/>
  <c r="F10" i="16"/>
  <c r="F11" i="16"/>
  <c r="F12" i="16"/>
  <c r="F13" i="16"/>
  <c r="F2" i="16"/>
  <c r="E3" i="16"/>
  <c r="E4" i="16"/>
  <c r="E5" i="16"/>
  <c r="E6" i="16"/>
  <c r="E7" i="16"/>
  <c r="E8" i="16"/>
  <c r="E9" i="16"/>
  <c r="E10" i="16"/>
  <c r="E11" i="16"/>
  <c r="E12" i="16"/>
  <c r="E13" i="16"/>
  <c r="E2" i="16"/>
  <c r="D13" i="16"/>
  <c r="D12" i="16"/>
  <c r="D11" i="16"/>
  <c r="D10" i="16"/>
  <c r="D9" i="16"/>
  <c r="D8" i="16"/>
  <c r="D7" i="16"/>
  <c r="D6" i="16"/>
  <c r="D5" i="16"/>
  <c r="D4" i="16"/>
  <c r="D3" i="16"/>
  <c r="D2" i="16"/>
  <c r="C13" i="16"/>
  <c r="C12" i="16"/>
  <c r="C11" i="16"/>
  <c r="C10" i="16"/>
  <c r="C9" i="16"/>
  <c r="C8" i="16"/>
  <c r="C7" i="16"/>
  <c r="C6" i="16"/>
  <c r="B6" i="16"/>
  <c r="C5" i="16"/>
  <c r="B5" i="16"/>
  <c r="C4" i="16"/>
  <c r="B4" i="16"/>
  <c r="C3" i="16"/>
  <c r="B3" i="16"/>
  <c r="C2" i="16"/>
  <c r="B13" i="16"/>
  <c r="B12" i="16"/>
  <c r="B11" i="16"/>
  <c r="B10" i="16"/>
  <c r="B9" i="16"/>
  <c r="B8" i="16"/>
  <c r="B7" i="16"/>
  <c r="B2" i="16"/>
  <c r="C13" i="8"/>
  <c r="C6" i="8"/>
  <c r="C12" i="8"/>
  <c r="C14" i="8" s="1"/>
  <c r="C5" i="8"/>
  <c r="C11" i="8"/>
  <c r="B13" i="8"/>
  <c r="B6" i="8"/>
  <c r="B12" i="8"/>
  <c r="B14" i="8" s="1"/>
  <c r="B5" i="8"/>
  <c r="B11" i="8"/>
  <c r="B4" i="8"/>
  <c r="C4" i="8"/>
  <c r="C10" i="8"/>
  <c r="C9" i="8"/>
  <c r="C2" i="8"/>
  <c r="B10" i="8"/>
  <c r="B3" i="8"/>
  <c r="B9" i="8"/>
  <c r="C3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4116" i="1"/>
  <c r="U4116" i="1" s="1"/>
  <c r="S4117" i="1"/>
  <c r="U4117" i="1" s="1"/>
  <c r="S4118" i="1"/>
  <c r="U4118" i="1" s="1"/>
  <c r="S4119" i="1"/>
  <c r="U4119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2" i="1"/>
  <c r="C7" i="8" l="1"/>
  <c r="B7" i="8"/>
</calcChain>
</file>

<file path=xl/sharedStrings.xml><?xml version="1.0" encoding="utf-8"?>
<sst xmlns="http://schemas.openxmlformats.org/spreadsheetml/2006/main" count="33048" uniqueCount="8418">
  <si>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</si>
  <si>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</si>
  <si>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</si>
  <si>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</si>
  <si>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</si>
  <si>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</si>
  <si>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</si>
  <si>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</si>
  <si>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</si>
  <si>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</si>
  <si>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</si>
  <si>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</si>
  <si>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</si>
  <si>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</si>
  <si>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</si>
  <si>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</si>
  <si>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</si>
  <si>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</si>
  <si>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</si>
  <si>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</si>
  <si>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</si>
  <si>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</si>
  <si>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</si>
  <si>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</si>
  <si>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</si>
  <si>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</si>
  <si>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</si>
  <si>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</si>
  <si>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</si>
  <si>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</si>
  <si>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</si>
  <si>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</si>
  <si>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</si>
  <si>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</si>
  <si>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</si>
  <si>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</si>
  <si>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</si>
  <si>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</si>
  <si>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</si>
  <si>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</si>
  <si>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</si>
  <si>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</si>
  <si>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</si>
  <si>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</si>
  <si>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</si>
  <si>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</si>
  <si>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</si>
  <si>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</si>
  <si>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</si>
  <si>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</si>
  <si>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</si>
  <si>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</si>
  <si>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</si>
  <si>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</si>
  <si>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</si>
  <si>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</si>
  <si>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</si>
  <si>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</si>
  <si>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</si>
  <si>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</si>
  <si>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</si>
  <si>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</si>
  <si>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</si>
  <si>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</si>
  <si>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</si>
  <si>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</si>
  <si>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</si>
  <si>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</si>
  <si>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</si>
  <si>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</si>
  <si>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</si>
  <si>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</si>
  <si>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</si>
  <si>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</si>
  <si>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</si>
  <si>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</si>
  <si>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</si>
  <si>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</si>
  <si>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</si>
  <si>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</si>
  <si>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</si>
  <si>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</si>
  <si>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</si>
  <si>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</si>
  <si>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</si>
  <si>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</si>
  <si>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</si>
  <si>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</si>
  <si>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</si>
  <si>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</si>
  <si>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</si>
  <si>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</si>
  <si>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</si>
  <si>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</si>
  <si>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</si>
  <si>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</si>
  <si>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</si>
  <si>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</si>
  <si>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</si>
  <si>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</si>
  <si>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</si>
  <si>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</si>
  <si>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</si>
  <si>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</si>
  <si>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</si>
  <si>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</si>
  <si>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</si>
  <si>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</si>
  <si>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</si>
  <si>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</si>
  <si>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</si>
  <si>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</si>
  <si>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</si>
  <si>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</si>
  <si>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</si>
  <si>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</si>
  <si>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</si>
  <si>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</si>
  <si>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</si>
  <si>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</si>
  <si>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</si>
  <si>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</si>
  <si>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</si>
  <si>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</si>
  <si>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</si>
  <si>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</si>
  <si>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</si>
  <si>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</si>
  <si>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</si>
  <si>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</si>
  <si>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</si>
  <si>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</si>
  <si>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</si>
  <si>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</si>
  <si>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</si>
  <si>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</si>
  <si>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</si>
  <si>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</si>
  <si>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</si>
  <si>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</si>
  <si>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</si>
  <si>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</si>
  <si>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</si>
  <si>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</si>
  <si>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</si>
  <si>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</si>
  <si>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</si>
  <si>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</si>
  <si>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</si>
  <si>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</si>
  <si>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</si>
  <si>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</si>
  <si>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</si>
  <si>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</si>
  <si>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</si>
  <si>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</si>
  <si>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</si>
  <si>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</si>
  <si>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</si>
  <si>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</si>
  <si>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</si>
  <si>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</si>
  <si>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</si>
  <si>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</si>
  <si>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</si>
  <si>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</si>
  <si>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</si>
  <si>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</si>
  <si>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</si>
  <si>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</si>
  <si>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</si>
  <si>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</si>
  <si>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</si>
  <si>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</si>
  <si>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</si>
  <si>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</si>
  <si>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</si>
  <si>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</si>
  <si>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</si>
  <si>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</si>
  <si>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</si>
  <si>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</si>
  <si>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</si>
  <si>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</si>
  <si>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</si>
  <si>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</si>
  <si>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</si>
  <si>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</si>
  <si>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</si>
  <si>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</si>
  <si>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</si>
  <si>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</si>
  <si>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</si>
  <si>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</si>
  <si>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</si>
  <si>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</si>
  <si>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</si>
  <si>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</si>
  <si>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</si>
  <si>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</si>
  <si>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</si>
  <si>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</si>
  <si>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</si>
  <si>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</si>
  <si>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</si>
  <si>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</si>
  <si>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</si>
  <si>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</si>
  <si>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</si>
  <si>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</si>
  <si>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</si>
  <si>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</si>
  <si>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</si>
  <si>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</si>
  <si>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</si>
  <si>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</si>
  <si>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</si>
  <si>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</si>
  <si>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</si>
  <si>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</si>
  <si>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</si>
  <si>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</si>
  <si>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</si>
  <si>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</si>
  <si>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</si>
  <si>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</si>
  <si>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</si>
  <si>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</si>
  <si>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</si>
  <si>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</si>
  <si>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</si>
  <si>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</si>
  <si>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</si>
  <si>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</si>
  <si>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</si>
  <si>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</si>
  <si>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</si>
  <si>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</si>
  <si>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</si>
  <si>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</si>
  <si>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</si>
  <si>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</si>
  <si>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</si>
  <si>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</si>
  <si>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</si>
  <si>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</si>
  <si>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</si>
  <si>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</si>
  <si>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</si>
  <si>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</si>
  <si>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</si>
  <si>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</si>
  <si>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</si>
  <si>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</si>
  <si>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</si>
  <si>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</si>
  <si>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</si>
  <si>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</si>
  <si>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</si>
  <si>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</si>
  <si>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</si>
  <si>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</si>
  <si>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</si>
  <si>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</si>
  <si>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</si>
  <si>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</si>
  <si>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</si>
  <si>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</si>
  <si>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</si>
  <si>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</si>
  <si>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</si>
  <si>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</si>
  <si>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</si>
  <si>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</si>
  <si>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</si>
  <si>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</si>
  <si>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</si>
  <si>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</si>
  <si>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</si>
  <si>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</si>
  <si>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</si>
  <si>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</si>
  <si>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</si>
  <si>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</si>
  <si>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</si>
  <si>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</si>
  <si>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</si>
  <si>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</si>
  <si>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</si>
  <si>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</si>
  <si>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</si>
  <si>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</si>
  <si>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</si>
  <si>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</si>
  <si>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</si>
  <si>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</si>
  <si>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</si>
  <si>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</si>
  <si>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</si>
  <si>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</si>
  <si>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</si>
  <si>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</si>
  <si>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</si>
  <si>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</si>
  <si>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</si>
  <si>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</si>
  <si>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</si>
  <si>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</si>
  <si>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</si>
  <si>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</si>
  <si>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</si>
  <si>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</si>
  <si>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</si>
  <si>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</si>
  <si>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</si>
  <si>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</si>
  <si>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</si>
  <si>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</si>
  <si>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</si>
  <si>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</si>
  <si>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</si>
  <si>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</si>
  <si>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</si>
  <si>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</si>
  <si>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</si>
  <si>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</si>
  <si>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</si>
  <si>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</si>
  <si>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</si>
  <si>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</si>
  <si>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</si>
  <si>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</si>
  <si>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</si>
  <si>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</si>
  <si>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</si>
  <si>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</si>
  <si>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</si>
  <si>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</si>
  <si>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</si>
  <si>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</si>
  <si>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</si>
  <si>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</si>
  <si>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</si>
  <si>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</si>
  <si>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</si>
  <si>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</si>
  <si>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</si>
  <si>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</si>
  <si>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</si>
  <si>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</si>
  <si>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</si>
  <si>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</si>
  <si>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</si>
  <si>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</si>
  <si>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</si>
  <si>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</si>
  <si>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</si>
  <si>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</si>
  <si>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</si>
  <si>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</si>
  <si>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</si>
  <si>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</si>
  <si>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</si>
  <si>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</si>
  <si>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</si>
  <si>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</si>
  <si>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</si>
  <si>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</si>
  <si>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</si>
  <si>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</si>
  <si>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</si>
  <si>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</si>
  <si>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</si>
  <si>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</si>
  <si>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</si>
  <si>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</si>
  <si>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</si>
  <si>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</si>
  <si>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</si>
  <si>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</si>
  <si>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</si>
  <si>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</si>
  <si>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</si>
  <si>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</si>
  <si>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</si>
  <si>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</si>
  <si>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</si>
  <si>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</si>
  <si>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</si>
  <si>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</si>
  <si>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</si>
  <si>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</si>
  <si>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</si>
  <si>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</si>
  <si>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</si>
  <si>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</si>
  <si>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</si>
  <si>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</si>
  <si>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</si>
  <si>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</si>
  <si>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</si>
  <si>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</si>
  <si>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</si>
  <si>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</si>
  <si>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</si>
  <si>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</si>
  <si>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</si>
  <si>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</si>
  <si>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</si>
  <si>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</si>
  <si>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</si>
  <si>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</si>
  <si>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</si>
  <si>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</si>
  <si>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</si>
  <si>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</si>
  <si>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</si>
  <si>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</si>
  <si>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</si>
  <si>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</si>
  <si>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</si>
  <si>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</si>
  <si>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</si>
  <si>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</si>
  <si>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</si>
  <si>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</si>
  <si>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</si>
  <si>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</si>
  <si>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</si>
  <si>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</si>
  <si>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</si>
  <si>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</si>
  <si>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</si>
  <si>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</si>
  <si>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</si>
  <si>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</si>
  <si>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</si>
  <si>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</si>
  <si>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</si>
  <si>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</si>
  <si>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</si>
  <si>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</si>
  <si>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</si>
  <si>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</si>
  <si>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</si>
  <si>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</si>
  <si>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</si>
  <si>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</si>
  <si>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</si>
  <si>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</si>
  <si>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</si>
  <si>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</si>
  <si>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</si>
  <si>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</si>
  <si>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</si>
  <si>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</si>
  <si>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</si>
  <si>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</si>
  <si>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</si>
  <si>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</si>
  <si>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</si>
  <si>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</si>
  <si>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</si>
  <si>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</si>
  <si>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</si>
  <si>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</si>
  <si>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</si>
  <si>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</si>
  <si>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</si>
  <si>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</si>
  <si>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</si>
  <si>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</si>
  <si>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</si>
  <si>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</si>
  <si>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</si>
  <si>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</si>
  <si>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</si>
  <si>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</si>
  <si>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</si>
  <si>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</si>
  <si>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</si>
  <si>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</si>
  <si>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</si>
  <si>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</si>
  <si>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</si>
  <si>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</si>
  <si>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</si>
  <si>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</si>
  <si>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</si>
  <si>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</si>
  <si>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</si>
  <si>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</si>
  <si>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</si>
  <si>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</si>
  <si>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</si>
  <si>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</si>
  <si>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</si>
  <si>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</si>
  <si>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</si>
  <si>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</si>
  <si>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</si>
  <si>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</si>
  <si>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</si>
  <si>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</si>
  <si>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</si>
  <si>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</si>
  <si>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</si>
  <si>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</si>
  <si>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</si>
  <si>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</si>
  <si>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</si>
  <si>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</si>
  <si>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</si>
  <si>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</si>
  <si>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</si>
  <si>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</si>
  <si>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</si>
  <si>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</si>
  <si>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</si>
  <si>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</si>
  <si>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</si>
  <si>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</si>
  <si>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</si>
  <si>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</si>
  <si>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</si>
  <si>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</si>
  <si>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</si>
  <si>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</si>
  <si>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</si>
  <si>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</si>
  <si>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</si>
  <si>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</si>
  <si>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</si>
  <si>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</si>
  <si>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</si>
  <si>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</si>
  <si>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</si>
  <si>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</si>
  <si>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</si>
  <si>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</si>
  <si>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</si>
  <si>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</si>
  <si>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</si>
  <si>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</si>
  <si>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</si>
  <si>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</si>
  <si>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</si>
  <si>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</si>
  <si>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</si>
  <si>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</si>
  <si>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</si>
  <si>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</si>
  <si>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</si>
  <si>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</si>
  <si>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</si>
  <si>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</si>
  <si>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</si>
  <si>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</si>
  <si>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</si>
  <si>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</si>
  <si>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</si>
  <si>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</si>
  <si>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</si>
  <si>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</si>
  <si>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</si>
  <si>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</si>
  <si>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</si>
  <si>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</si>
  <si>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</si>
  <si>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</si>
  <si>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</si>
  <si>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</si>
  <si>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</si>
  <si>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</si>
  <si>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</si>
  <si>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</si>
  <si>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</si>
  <si>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</si>
  <si>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</si>
  <si>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</si>
  <si>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</si>
  <si>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</si>
  <si>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</si>
  <si>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</si>
  <si>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</si>
  <si>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</si>
  <si>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</si>
  <si>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</si>
  <si>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</si>
  <si>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</si>
  <si>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</si>
  <si>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</si>
  <si>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</si>
  <si>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</si>
  <si>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</si>
  <si>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</si>
  <si>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</si>
  <si>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</si>
  <si>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</si>
  <si>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</si>
  <si>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</si>
  <si>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</si>
  <si>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</si>
  <si>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</si>
  <si>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</si>
  <si>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</si>
  <si>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</si>
  <si>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</si>
  <si>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</si>
  <si>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</si>
  <si>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</si>
  <si>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</si>
  <si>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</si>
  <si>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</si>
  <si>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</si>
  <si>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</si>
  <si>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</si>
  <si>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</si>
  <si>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</si>
  <si>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</si>
  <si>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</si>
  <si>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</si>
  <si>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</si>
  <si>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</si>
  <si>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</si>
  <si>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</si>
  <si>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</si>
  <si>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</si>
  <si>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</si>
  <si>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</si>
  <si>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</si>
  <si>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</si>
  <si>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</si>
  <si>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</si>
  <si>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</si>
  <si>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</si>
  <si>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</si>
  <si>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</si>
  <si>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</si>
  <si>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</si>
  <si>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</si>
  <si>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</si>
  <si>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</si>
  <si>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</si>
  <si>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</si>
  <si>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</si>
  <si>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</si>
  <si>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</si>
  <si>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</si>
  <si>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</si>
  <si>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</si>
  <si>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</si>
  <si>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</si>
  <si>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</si>
  <si>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</si>
  <si>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</si>
  <si>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</si>
  <si>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</si>
  <si>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</si>
  <si>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</si>
  <si>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</si>
  <si>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</si>
  <si>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</si>
  <si>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</si>
  <si>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</si>
  <si>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</si>
  <si>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</si>
  <si>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</si>
  <si>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</si>
  <si>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</si>
  <si>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</si>
  <si>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</si>
  <si>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</si>
  <si>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</si>
  <si>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</si>
  <si>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</si>
  <si>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</si>
  <si>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</si>
  <si>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</si>
  <si>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</si>
  <si>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</si>
  <si>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</si>
  <si>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</si>
  <si>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</si>
  <si>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</si>
  <si>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</si>
  <si>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</si>
  <si>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</si>
  <si>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</si>
  <si>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</si>
  <si>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</si>
  <si>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</si>
  <si>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</si>
  <si>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</si>
  <si>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</si>
  <si>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</si>
  <si>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</si>
  <si>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</si>
  <si>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</si>
  <si>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</si>
  <si>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</si>
  <si>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</si>
  <si>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</si>
  <si>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</si>
  <si>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</si>
  <si>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</si>
  <si>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</si>
  <si>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</si>
  <si>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</si>
  <si>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</si>
  <si>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</si>
  <si>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</si>
  <si>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</si>
  <si>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</si>
  <si>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</si>
  <si>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</si>
  <si>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</si>
  <si>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</si>
  <si>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</si>
  <si>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</si>
  <si>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</si>
  <si>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</si>
  <si>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</si>
  <si>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</si>
  <si>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</si>
  <si>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</si>
  <si>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</si>
  <si>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</si>
  <si>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</si>
  <si>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</si>
  <si>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</si>
  <si>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</si>
  <si>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</si>
  <si>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</si>
  <si>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</si>
  <si>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</si>
  <si>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</si>
  <si>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</si>
  <si>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</si>
  <si>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</si>
  <si>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</si>
  <si>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</si>
  <si>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</si>
  <si>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</si>
  <si>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</si>
  <si>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</si>
  <si>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</si>
  <si>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</si>
  <si>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</si>
  <si>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</si>
  <si>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</si>
  <si>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</si>
  <si>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</si>
  <si>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</si>
  <si>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</si>
  <si>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</si>
  <si>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</si>
  <si>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</si>
  <si>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</si>
  <si>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</si>
  <si>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</si>
  <si>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</si>
  <si>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</si>
  <si>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</si>
  <si>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</si>
  <si>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</si>
  <si>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</si>
  <si>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</si>
  <si>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</si>
  <si>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</si>
  <si>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</si>
  <si>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</si>
  <si>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</si>
  <si>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</si>
  <si>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</si>
  <si>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</si>
  <si>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</si>
  <si>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</si>
  <si>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</si>
  <si>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</si>
  <si>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</si>
  <si>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</si>
  <si>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</si>
  <si>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</si>
  <si>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</si>
  <si>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</si>
  <si>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</si>
  <si>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</si>
  <si>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</si>
  <si>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</si>
  <si>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</si>
  <si>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</si>
  <si>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</si>
  <si>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</si>
  <si>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</si>
  <si>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</si>
  <si>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</si>
  <si>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</si>
  <si>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</si>
  <si>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</si>
  <si>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</si>
  <si>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</si>
  <si>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</si>
  <si>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</si>
  <si>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</si>
  <si>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</si>
  <si>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</si>
  <si>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</si>
  <si>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</si>
  <si>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</si>
  <si>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</si>
  <si>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</si>
  <si>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</si>
  <si>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</si>
  <si>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</si>
  <si>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</si>
  <si>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</si>
  <si>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</si>
  <si>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</si>
  <si>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</si>
  <si>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</si>
  <si>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</si>
  <si>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</si>
  <si>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</si>
  <si>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</si>
  <si>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</si>
  <si>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</si>
  <si>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</si>
  <si>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</si>
  <si>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</si>
  <si>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</si>
  <si>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</si>
  <si>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</si>
  <si>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</si>
  <si>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</si>
  <si>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</si>
  <si>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</si>
  <si>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</si>
  <si>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</si>
  <si>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</si>
  <si>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</si>
  <si>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</si>
  <si>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</si>
  <si>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</si>
  <si>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</si>
  <si>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</si>
  <si>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</si>
  <si>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</si>
  <si>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</si>
  <si>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</si>
  <si>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</si>
  <si>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</si>
  <si>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</si>
  <si>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</si>
  <si>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</si>
  <si>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</si>
  <si>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</si>
  <si>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</si>
  <si>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</si>
  <si>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</si>
  <si>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</si>
  <si>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</si>
  <si>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</si>
  <si>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</si>
  <si>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</si>
  <si>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</si>
  <si>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</si>
  <si>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</si>
  <si>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</si>
  <si>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</si>
  <si>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</si>
  <si>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</si>
  <si>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</si>
  <si>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</si>
  <si>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</si>
  <si>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</si>
  <si>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</si>
  <si>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</si>
  <si>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</si>
  <si>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</si>
  <si>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</si>
  <si>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</si>
  <si>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</si>
  <si>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</si>
  <si>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</si>
  <si>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</si>
  <si>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</si>
  <si>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</si>
  <si>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</si>
  <si>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</si>
  <si>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</si>
  <si>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</si>
  <si>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</si>
  <si>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</si>
  <si>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</si>
  <si>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</si>
  <si>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</si>
  <si>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</si>
  <si>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</si>
  <si>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</si>
  <si>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</si>
  <si>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</si>
  <si>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</si>
  <si>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</si>
  <si>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</si>
  <si>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</si>
  <si>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</si>
  <si>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</si>
  <si>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</si>
  <si>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</si>
  <si>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</si>
  <si>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</si>
  <si>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</si>
  <si>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</si>
  <si>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</si>
  <si>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</si>
  <si>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</si>
  <si>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</si>
  <si>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</si>
  <si>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</si>
  <si>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</si>
  <si>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</si>
  <si>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</si>
  <si>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</si>
  <si>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</si>
  <si>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</si>
  <si>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</si>
  <si>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</si>
  <si>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</si>
  <si>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</si>
  <si>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</si>
  <si>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</si>
  <si>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</si>
  <si>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</si>
  <si>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</si>
  <si>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</si>
  <si>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</si>
  <si>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</si>
  <si>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</si>
  <si>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</si>
  <si>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</si>
  <si>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</si>
  <si>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</si>
  <si>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</si>
  <si>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</si>
  <si>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</si>
  <si>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</si>
  <si>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</si>
  <si>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</si>
  <si>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</si>
  <si>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</si>
  <si>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</si>
  <si>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</si>
  <si>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</si>
  <si>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</si>
  <si>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</si>
  <si>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</si>
  <si>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</si>
  <si>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</si>
  <si>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</si>
  <si>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</si>
  <si>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</si>
  <si>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</si>
  <si>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</si>
  <si>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</si>
  <si>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</si>
  <si>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</si>
  <si>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</si>
  <si>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</si>
  <si>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</si>
  <si>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</si>
  <si>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</si>
  <si>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</si>
  <si>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</si>
  <si>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</si>
  <si>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</si>
  <si>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</si>
  <si>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</si>
  <si>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</si>
  <si>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</si>
  <si>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</si>
  <si>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</si>
  <si>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</si>
  <si>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</si>
  <si>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</si>
  <si>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</si>
  <si>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</si>
  <si>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</si>
  <si>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</si>
  <si>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</si>
  <si>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</si>
  <si>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</si>
  <si>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</si>
  <si>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</si>
  <si>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</si>
  <si>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</si>
  <si>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</si>
  <si>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</si>
  <si>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</si>
  <si>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</si>
  <si>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</si>
  <si>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</si>
  <si>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</si>
  <si>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</si>
  <si>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</si>
  <si>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</si>
  <si>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</si>
  <si>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</si>
  <si>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</si>
  <si>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</si>
  <si>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</si>
  <si>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</si>
  <si>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</si>
  <si>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</si>
  <si>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</si>
  <si>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</si>
  <si>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</si>
  <si>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</si>
  <si>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</si>
  <si>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</si>
  <si>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</si>
  <si>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</si>
  <si>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</si>
  <si>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</si>
  <si>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</si>
  <si>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</si>
  <si>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</si>
  <si>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</si>
  <si>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</si>
  <si>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</si>
  <si>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</si>
  <si>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</si>
  <si>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</si>
  <si>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</si>
  <si>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</si>
  <si>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</si>
  <si>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</si>
  <si>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</si>
  <si>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</si>
  <si>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</si>
  <si>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</si>
  <si>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</si>
  <si>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</si>
  <si>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</si>
  <si>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</si>
  <si>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</si>
  <si>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</si>
  <si>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</si>
  <si>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</si>
  <si>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</si>
  <si>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</si>
  <si>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</si>
  <si>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</si>
  <si>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</si>
  <si>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</si>
  <si>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</si>
  <si>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</si>
  <si>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</si>
  <si>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</si>
  <si>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</si>
  <si>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</si>
  <si>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</si>
  <si>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</si>
  <si>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</si>
  <si>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</si>
  <si>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</si>
  <si>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</si>
  <si>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</si>
  <si>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</si>
  <si>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</si>
  <si>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</si>
  <si>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</si>
  <si>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</si>
  <si>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</si>
  <si>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</si>
  <si>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</si>
  <si>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</si>
  <si>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</si>
  <si>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</si>
  <si>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</si>
  <si>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</si>
  <si>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</si>
  <si>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</si>
  <si>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</si>
  <si>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</si>
  <si>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</si>
  <si>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</si>
  <si>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</si>
  <si>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</si>
  <si>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</si>
  <si>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</si>
  <si>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</si>
  <si>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</si>
  <si>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</si>
  <si>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</si>
  <si>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</si>
  <si>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</si>
  <si>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</si>
  <si>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</si>
  <si>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</si>
  <si>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</si>
  <si>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</si>
  <si>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</si>
  <si>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</si>
  <si>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</si>
  <si>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</si>
  <si>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</si>
  <si>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</si>
  <si>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</si>
  <si>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</si>
  <si>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</si>
  <si>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</si>
  <si>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</si>
  <si>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</si>
  <si>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</si>
  <si>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</si>
  <si>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</si>
  <si>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</si>
  <si>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</si>
  <si>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</si>
  <si>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</si>
  <si>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</si>
  <si>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</si>
  <si>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</si>
  <si>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</si>
  <si>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</si>
  <si>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</si>
  <si>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</si>
  <si>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</si>
  <si>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</si>
  <si>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</si>
  <si>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</si>
  <si>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</si>
  <si>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</si>
  <si>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</si>
  <si>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</si>
  <si>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</si>
  <si>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</si>
  <si>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</si>
  <si>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</si>
  <si>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</si>
  <si>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</si>
  <si>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</si>
  <si>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</si>
  <si>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</si>
  <si>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</si>
  <si>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</si>
  <si>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</si>
  <si>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</si>
  <si>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</si>
  <si>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</si>
  <si>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</si>
  <si>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</si>
  <si>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</si>
  <si>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</si>
  <si>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</si>
  <si>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</si>
  <si>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</si>
  <si>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</si>
  <si>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</si>
  <si>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</si>
  <si>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</si>
  <si>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</si>
  <si>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</si>
  <si>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</si>
  <si>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</si>
  <si>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</si>
  <si>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</si>
  <si>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</si>
  <si>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</si>
  <si>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</si>
  <si>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</si>
  <si>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</si>
  <si>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</si>
  <si>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</si>
  <si>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</si>
  <si>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</si>
  <si>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</si>
  <si>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</si>
  <si>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</si>
  <si>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</si>
  <si>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</si>
  <si>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</si>
  <si>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</si>
  <si>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</si>
  <si>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</si>
  <si>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</si>
  <si>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</si>
  <si>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</si>
  <si>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</si>
  <si>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</si>
  <si>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</si>
  <si>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</si>
  <si>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</si>
  <si>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</si>
  <si>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</si>
  <si>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</si>
  <si>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</si>
  <si>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</si>
  <si>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</si>
  <si>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</si>
  <si>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</si>
  <si>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</si>
  <si>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</si>
  <si>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</si>
  <si>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</si>
  <si>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</si>
  <si>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</si>
  <si>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</si>
  <si>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</si>
  <si>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</si>
  <si>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</si>
  <si>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</si>
  <si>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</si>
  <si>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</si>
  <si>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</si>
  <si>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</si>
  <si>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</si>
  <si>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</si>
  <si>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</si>
  <si>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</si>
  <si>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</si>
  <si>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</si>
  <si>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</si>
  <si>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</si>
  <si>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</si>
  <si>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</si>
  <si>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</si>
  <si>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</si>
  <si>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</si>
  <si>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</si>
  <si>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</si>
  <si>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</si>
  <si>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</si>
  <si>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</si>
  <si>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</si>
  <si>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</si>
  <si>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</si>
  <si>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</si>
  <si>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</si>
  <si>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</si>
  <si>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</si>
  <si>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</si>
  <si>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</si>
  <si>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</si>
  <si>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</si>
  <si>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</si>
  <si>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</si>
  <si>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</si>
  <si>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</si>
  <si>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</si>
  <si>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</si>
  <si>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</si>
  <si>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</si>
  <si>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</si>
  <si>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</si>
  <si>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</si>
  <si>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</si>
  <si>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</si>
  <si>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</si>
  <si>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</si>
  <si>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</si>
  <si>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</si>
  <si>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</si>
  <si>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</si>
  <si>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</si>
  <si>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</si>
  <si>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</si>
  <si>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</si>
  <si>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</si>
  <si>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</si>
  <si>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</si>
  <si>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</si>
  <si>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</si>
  <si>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</si>
  <si>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</si>
  <si>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</si>
  <si>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</si>
  <si>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</si>
  <si>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</si>
  <si>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</si>
  <si>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</si>
  <si>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</si>
  <si>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</si>
  <si>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</si>
  <si>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</si>
  <si>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</si>
  <si>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</si>
  <si>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</si>
  <si>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</si>
  <si>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</si>
  <si>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</si>
  <si>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</si>
  <si>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</si>
  <si>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</si>
  <si>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</si>
  <si>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</si>
  <si>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</si>
  <si>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</si>
  <si>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</si>
  <si>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</si>
  <si>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</si>
  <si>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</si>
  <si>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</si>
  <si>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</si>
  <si>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</si>
  <si>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</si>
  <si>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</si>
  <si>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</si>
  <si>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</si>
  <si>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</si>
  <si>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</si>
  <si>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</si>
  <si>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</si>
  <si>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</si>
  <si>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</si>
  <si>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</si>
  <si>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</si>
  <si>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</si>
  <si>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</si>
  <si>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</si>
  <si>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</si>
  <si>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</si>
  <si>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</si>
  <si>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</si>
  <si>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</si>
  <si>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</si>
  <si>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</si>
  <si>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</si>
  <si>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</si>
  <si>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</si>
  <si>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</si>
  <si>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</si>
  <si>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</si>
  <si>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</si>
  <si>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</si>
  <si>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</si>
  <si>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</si>
  <si>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</si>
  <si>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</si>
  <si>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</si>
  <si>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</si>
  <si>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</si>
  <si>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</si>
  <si>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</si>
  <si>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</si>
  <si>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</si>
  <si>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</si>
  <si>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</si>
  <si>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</si>
  <si>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</si>
  <si>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</si>
  <si>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</si>
  <si>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</si>
  <si>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</si>
  <si>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</si>
  <si>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</si>
  <si>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</si>
  <si>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</si>
  <si>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</si>
  <si>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</si>
  <si>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</si>
  <si>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</si>
  <si>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</si>
  <si>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</si>
  <si>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</si>
  <si>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</si>
  <si>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</si>
  <si>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</si>
  <si>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</si>
  <si>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</si>
  <si>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</si>
  <si>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</si>
  <si>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</si>
  <si>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</si>
  <si>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</si>
  <si>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</si>
  <si>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</si>
  <si>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</si>
  <si>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</si>
  <si>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</si>
  <si>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</si>
  <si>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</si>
  <si>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</si>
  <si>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</si>
  <si>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</si>
  <si>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</si>
  <si>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</si>
  <si>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</si>
  <si>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</si>
  <si>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</si>
  <si>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</si>
  <si>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</si>
  <si>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</si>
  <si>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</si>
  <si>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</si>
  <si>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</si>
  <si>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</si>
  <si>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</si>
  <si>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</si>
  <si>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</si>
  <si>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</si>
  <si>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</si>
  <si>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</si>
  <si>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</si>
  <si>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</si>
  <si>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</si>
  <si>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</si>
  <si>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</si>
  <si>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</si>
  <si>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</si>
  <si>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</si>
  <si>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</si>
  <si>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</si>
  <si>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</si>
  <si>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</si>
  <si>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</si>
  <si>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</si>
  <si>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</si>
  <si>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</si>
  <si>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</si>
  <si>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</si>
  <si>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</si>
  <si>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</si>
  <si>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</si>
  <si>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</si>
  <si>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</si>
  <si>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</si>
  <si>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</si>
  <si>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</si>
  <si>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</si>
  <si>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</si>
  <si>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</si>
  <si>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</si>
  <si>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</si>
  <si>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</si>
  <si>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</si>
  <si>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</si>
  <si>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</si>
  <si>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</si>
  <si>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</si>
  <si>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</si>
  <si>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</si>
  <si>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</si>
  <si>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</si>
  <si>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</si>
  <si>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</si>
  <si>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</si>
  <si>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</si>
  <si>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</si>
  <si>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</si>
  <si>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</si>
  <si>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</si>
  <si>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</si>
  <si>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</si>
  <si>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</si>
  <si>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</si>
  <si>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</si>
  <si>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</si>
  <si>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</si>
  <si>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</si>
  <si>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</si>
  <si>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</si>
  <si>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</si>
  <si>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</si>
  <si>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</si>
  <si>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</si>
  <si>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</si>
  <si>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</si>
  <si>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</si>
  <si>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</si>
  <si>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</si>
  <si>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</si>
  <si>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</si>
  <si>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</si>
  <si>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</si>
  <si>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</si>
  <si>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</si>
  <si>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</si>
  <si>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</si>
  <si>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</si>
  <si>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</si>
  <si>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</si>
  <si>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</si>
  <si>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</si>
  <si>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</si>
  <si>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</si>
  <si>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</si>
  <si>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</si>
  <si>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</si>
  <si>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</si>
  <si>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</si>
  <si>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</si>
  <si>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</si>
  <si>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</si>
  <si>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</si>
  <si>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</si>
  <si>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</si>
  <si>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</si>
  <si>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</si>
  <si>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</si>
  <si>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</si>
  <si>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</si>
  <si>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</si>
  <si>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</si>
  <si>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</si>
  <si>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</si>
  <si>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</si>
  <si>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</si>
  <si>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</si>
  <si>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</si>
  <si>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</si>
  <si>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</si>
  <si>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</si>
  <si>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</si>
  <si>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</si>
  <si>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</si>
  <si>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</si>
  <si>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</si>
  <si>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</si>
  <si>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</si>
  <si>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</si>
  <si>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</si>
  <si>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</si>
  <si>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</si>
  <si>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</si>
  <si>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</si>
  <si>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</si>
  <si>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</si>
  <si>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</si>
  <si>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</si>
  <si>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</si>
  <si>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</si>
  <si>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</si>
  <si>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</si>
  <si>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</si>
  <si>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</si>
  <si>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</si>
  <si>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</si>
  <si>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</si>
  <si>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</si>
  <si>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</si>
  <si>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</si>
  <si>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</si>
  <si>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</si>
  <si>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</si>
  <si>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</si>
  <si>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</si>
  <si>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</si>
  <si>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</si>
  <si>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</si>
  <si>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</si>
  <si>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</si>
  <si>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</si>
  <si>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</si>
  <si>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</si>
  <si>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</si>
  <si>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</si>
  <si>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</si>
  <si>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</si>
  <si>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</si>
  <si>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</si>
  <si>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</si>
  <si>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</si>
  <si>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</si>
  <si>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</si>
  <si>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</si>
  <si>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</si>
  <si>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</si>
  <si>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</si>
  <si>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</si>
  <si>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</si>
  <si>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</si>
  <si>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</si>
  <si>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</si>
  <si>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</si>
  <si>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</si>
  <si>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</si>
  <si>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</si>
  <si>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</si>
  <si>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</si>
  <si>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</si>
  <si>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</si>
  <si>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</si>
  <si>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</si>
  <si>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</si>
  <si>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</si>
  <si>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</si>
  <si>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</si>
  <si>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</si>
  <si>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</si>
  <si>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</si>
  <si>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</si>
  <si>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</si>
  <si>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</si>
  <si>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</si>
  <si>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</si>
  <si>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</si>
  <si>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</si>
  <si>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</si>
  <si>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</si>
  <si>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</si>
  <si>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</si>
  <si>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</si>
  <si>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</si>
  <si>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</si>
  <si>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</si>
  <si>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</si>
  <si>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</si>
  <si>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</si>
  <si>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</si>
  <si>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</si>
  <si>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</si>
  <si>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</si>
  <si>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</si>
  <si>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</si>
  <si>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</si>
  <si>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</si>
  <si>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</si>
  <si>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</si>
  <si>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</si>
  <si>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</si>
  <si>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</si>
  <si>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</si>
  <si>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</si>
  <si>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</si>
  <si>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</si>
  <si>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</si>
  <si>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</si>
  <si>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</si>
  <si>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</si>
  <si>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</si>
  <si>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</si>
  <si>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</si>
  <si>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</si>
  <si>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</si>
  <si>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</si>
  <si>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</si>
  <si>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</si>
  <si>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</si>
  <si>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</si>
  <si>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</si>
  <si>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</si>
  <si>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</si>
  <si>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</si>
  <si>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</si>
  <si>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</si>
  <si>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</si>
  <si>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</si>
  <si>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</si>
  <si>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</si>
  <si>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</si>
  <si>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</si>
  <si>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</si>
  <si>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</si>
  <si>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</si>
  <si>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</si>
  <si>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</si>
  <si>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</si>
  <si>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</si>
  <si>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</si>
  <si>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</si>
  <si>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</si>
  <si>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</si>
  <si>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</si>
  <si>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</si>
  <si>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</si>
  <si>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</si>
  <si>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</si>
  <si>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</si>
  <si>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</si>
  <si>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</si>
  <si>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</si>
  <si>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</si>
  <si>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</si>
  <si>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</si>
  <si>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</si>
  <si>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</si>
  <si>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</si>
  <si>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</si>
  <si>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</si>
  <si>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</si>
  <si>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</si>
  <si>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</si>
  <si>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</si>
  <si>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</si>
  <si>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</si>
  <si>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</si>
  <si>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</si>
  <si>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</si>
  <si>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</si>
  <si>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</si>
  <si>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</si>
  <si>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</si>
  <si>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</si>
  <si>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</si>
  <si>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</si>
  <si>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</si>
  <si>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</si>
  <si>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</si>
  <si>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</si>
  <si>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</si>
  <si>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</si>
  <si>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</si>
  <si>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</si>
  <si>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</si>
  <si>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</si>
  <si>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</si>
  <si>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</si>
  <si>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</si>
  <si>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</si>
  <si>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</si>
  <si>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</si>
  <si>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</si>
  <si>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</si>
  <si>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</si>
  <si>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</si>
  <si>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</si>
  <si>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</si>
  <si>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</si>
  <si>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</si>
  <si>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</si>
  <si>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</si>
  <si>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</si>
  <si>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</si>
  <si>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</si>
  <si>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</si>
  <si>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</si>
  <si>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</si>
  <si>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</si>
  <si>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</si>
  <si>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</si>
  <si>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</si>
  <si>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</si>
  <si>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</si>
  <si>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</si>
  <si>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</si>
  <si>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</si>
  <si>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</si>
  <si>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</si>
  <si>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</si>
  <si>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</si>
  <si>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</si>
  <si>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</si>
  <si>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</si>
  <si>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</si>
  <si>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</si>
  <si>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</si>
  <si>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</si>
  <si>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</si>
  <si>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</si>
  <si>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</si>
  <si>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</si>
  <si>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</si>
  <si>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</si>
  <si>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</si>
  <si>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</si>
  <si>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</si>
  <si>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</si>
  <si>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</si>
  <si>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</si>
  <si>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</si>
  <si>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</si>
  <si>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</si>
  <si>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</si>
  <si>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</si>
  <si>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</si>
  <si>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</si>
  <si>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</si>
  <si>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</si>
  <si>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</si>
  <si>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</si>
  <si>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</si>
  <si>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</si>
  <si>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</si>
  <si>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</si>
  <si>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</si>
  <si>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</si>
  <si>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</si>
  <si>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</si>
  <si>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</si>
  <si>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</si>
  <si>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</si>
  <si>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</si>
  <si>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</si>
  <si>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</si>
  <si>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</si>
  <si>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</si>
  <si>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</si>
  <si>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</si>
  <si>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</si>
  <si>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</si>
  <si>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</si>
  <si>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</si>
  <si>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</si>
  <si>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</si>
  <si>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</si>
  <si>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</si>
  <si>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</si>
  <si>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</si>
  <si>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</si>
  <si>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</si>
  <si>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</si>
  <si>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</si>
  <si>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</si>
  <si>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</si>
  <si>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</si>
  <si>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</si>
  <si>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</si>
  <si>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</si>
  <si>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</si>
  <si>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</si>
  <si>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</si>
  <si>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</si>
  <si>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</si>
  <si>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</si>
  <si>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</si>
  <si>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</si>
  <si>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</si>
  <si>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</si>
  <si>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</si>
  <si>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</si>
  <si>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</si>
  <si>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</si>
  <si>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</si>
  <si>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</si>
  <si>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</si>
  <si>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</si>
  <si>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</si>
  <si>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</si>
  <si>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</si>
  <si>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</si>
  <si>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</si>
  <si>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</si>
  <si>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</si>
  <si>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</si>
  <si>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</si>
  <si>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</si>
  <si>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</si>
  <si>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</si>
  <si>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</si>
  <si>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</si>
  <si>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</si>
  <si>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</si>
  <si>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</si>
  <si>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</si>
  <si>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</si>
  <si>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</si>
  <si>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</si>
  <si>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</si>
  <si>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</si>
  <si>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</si>
  <si>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</si>
  <si>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</si>
  <si>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</si>
  <si>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</si>
  <si>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</si>
  <si>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</si>
  <si>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</si>
  <si>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</si>
  <si>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</si>
  <si>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</si>
  <si>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</si>
  <si>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</si>
  <si>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</si>
  <si>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</si>
  <si>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</si>
  <si>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</si>
  <si>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</si>
  <si>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</si>
  <si>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</si>
  <si>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</si>
  <si>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</si>
  <si>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</si>
  <si>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</si>
  <si>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</si>
  <si>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</si>
  <si>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</si>
  <si>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</si>
  <si>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</si>
  <si>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</si>
  <si>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</si>
  <si>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</si>
  <si>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</si>
  <si>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</si>
  <si>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</si>
  <si>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</si>
  <si>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</si>
  <si>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</si>
  <si>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</si>
  <si>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</si>
  <si>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</si>
  <si>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</si>
  <si>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</si>
  <si>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</si>
  <si>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</si>
  <si>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</si>
  <si>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</si>
  <si>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</si>
  <si>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</si>
  <si>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</si>
  <si>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</si>
  <si>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</si>
  <si>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</si>
  <si>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</si>
  <si>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</si>
  <si>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</si>
  <si>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</si>
  <si>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</si>
  <si>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</si>
  <si>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</si>
  <si>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</si>
  <si>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</si>
  <si>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</si>
  <si>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</si>
  <si>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</si>
  <si>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</si>
  <si>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</si>
  <si>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</si>
  <si>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</si>
  <si>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</si>
  <si>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</si>
  <si>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</si>
  <si>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</si>
  <si>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</si>
  <si>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</si>
  <si>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</si>
  <si>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</si>
  <si>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</si>
  <si>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</si>
  <si>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</si>
  <si>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</si>
  <si>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</si>
  <si>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</si>
  <si>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</si>
  <si>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</si>
  <si>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</si>
  <si>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</si>
  <si>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</si>
  <si>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</si>
  <si>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</si>
  <si>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</si>
  <si>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</si>
  <si>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</si>
  <si>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</si>
  <si>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</si>
  <si>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</si>
  <si>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</si>
  <si>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</si>
  <si>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</si>
  <si>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</si>
  <si>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</si>
  <si>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</si>
  <si>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</si>
  <si>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</si>
  <si>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</si>
  <si>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</si>
  <si>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</si>
  <si>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</si>
  <si>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</si>
  <si>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</si>
  <si>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</si>
  <si>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</si>
  <si>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</si>
  <si>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</si>
  <si>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</si>
  <si>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</si>
  <si>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</si>
  <si>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</si>
  <si>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</si>
  <si>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</si>
  <si>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</si>
  <si>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</si>
  <si>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</si>
  <si>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</si>
  <si>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</si>
  <si>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</si>
  <si>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</si>
  <si>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</si>
  <si>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</si>
  <si>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</si>
  <si>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</si>
  <si>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</si>
  <si>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</si>
  <si>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</si>
  <si>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</si>
  <si>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</si>
  <si>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</si>
  <si>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</si>
  <si>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</si>
  <si>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</si>
  <si>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</si>
  <si>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</si>
  <si>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</si>
  <si>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</si>
  <si>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</si>
  <si>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</si>
  <si>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</si>
  <si>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</si>
  <si>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</si>
  <si>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</si>
  <si>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</si>
  <si>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</si>
  <si>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</si>
  <si>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</si>
  <si>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</si>
  <si>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</si>
  <si>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</si>
  <si>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</si>
  <si>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</si>
  <si>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</si>
  <si>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</si>
  <si>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</si>
  <si>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</si>
  <si>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</si>
  <si>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</si>
  <si>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</si>
  <si>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</si>
  <si>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</si>
  <si>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</si>
  <si>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</si>
  <si>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</si>
  <si>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</si>
  <si>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</si>
  <si>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</si>
  <si>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</si>
  <si>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</si>
  <si>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</si>
  <si>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</si>
  <si>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</si>
  <si>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</si>
  <si>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</si>
  <si>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</si>
  <si>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</si>
  <si>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</si>
  <si>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</si>
  <si>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</si>
  <si>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</si>
  <si>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</si>
  <si>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</si>
  <si>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</si>
  <si>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</si>
  <si>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</si>
  <si>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</si>
  <si>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</si>
  <si>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</si>
  <si>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</si>
  <si>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</si>
  <si>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</si>
  <si>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</si>
  <si>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</si>
  <si>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</si>
  <si>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</si>
  <si>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</si>
  <si>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</si>
  <si>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</si>
  <si>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</si>
  <si>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</si>
  <si>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</si>
  <si>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</si>
  <si>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</si>
  <si>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</si>
  <si>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</si>
  <si>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</si>
  <si>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</si>
  <si>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</si>
  <si>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</si>
  <si>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</si>
  <si>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</si>
  <si>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</si>
  <si>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</si>
  <si>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</si>
  <si>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</si>
  <si>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</si>
  <si>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</si>
  <si>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</si>
  <si>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</si>
  <si>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</si>
  <si>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</si>
  <si>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</si>
  <si>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</si>
  <si>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</si>
  <si>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</si>
  <si>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</si>
  <si>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</si>
  <si>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</si>
  <si>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</si>
  <si>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</si>
  <si>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</si>
  <si>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</si>
  <si>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</si>
  <si>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</si>
  <si>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</si>
  <si>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</si>
  <si>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</si>
  <si>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</si>
  <si>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</si>
  <si>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</si>
  <si>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</si>
  <si>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</si>
  <si>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</si>
  <si>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</si>
  <si>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</si>
  <si>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</si>
  <si>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</si>
  <si>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</si>
  <si>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</si>
  <si>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</si>
  <si>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</si>
  <si>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</si>
  <si>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</si>
  <si>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</si>
  <si>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</si>
  <si>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</si>
  <si>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</si>
  <si>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</si>
  <si>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</si>
  <si>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</si>
  <si>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</si>
  <si>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</si>
  <si>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</si>
  <si>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</si>
  <si>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</si>
  <si>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</si>
  <si>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</si>
  <si>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</si>
  <si>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</si>
  <si>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</si>
  <si>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</si>
  <si>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</si>
  <si>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</si>
  <si>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</si>
  <si>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</si>
  <si>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</si>
  <si>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</si>
  <si>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</si>
  <si>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</si>
  <si>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</si>
  <si>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</si>
  <si>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</si>
  <si>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</si>
  <si>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</si>
  <si>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</si>
  <si>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</si>
  <si>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</si>
  <si>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</si>
  <si>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</si>
  <si>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</si>
  <si>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</si>
  <si>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</si>
  <si>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</si>
  <si>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</si>
  <si>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</si>
  <si>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</si>
  <si>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</si>
  <si>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</si>
  <si>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</si>
  <si>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</si>
  <si>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</si>
  <si>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</si>
  <si>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</si>
  <si>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</si>
  <si>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</si>
  <si>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</si>
  <si>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</si>
  <si>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</si>
  <si>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</si>
  <si>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</si>
  <si>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</si>
  <si>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</si>
  <si>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</si>
  <si>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</si>
  <si>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</si>
  <si>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</si>
  <si>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</si>
  <si>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</si>
  <si>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</si>
  <si>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</si>
  <si>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</si>
  <si>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</si>
  <si>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</si>
  <si>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</si>
  <si>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</si>
  <si>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</si>
  <si>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</si>
  <si>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</si>
  <si>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</si>
  <si>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</si>
  <si>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</si>
  <si>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</si>
  <si>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</si>
  <si>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</si>
  <si>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</si>
  <si>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</si>
  <si>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</si>
  <si>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</si>
  <si>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</si>
  <si>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</si>
  <si>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</si>
  <si>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</si>
  <si>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</si>
  <si>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</si>
  <si>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</si>
  <si>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</si>
  <si>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</si>
  <si>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</si>
  <si>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</si>
  <si>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</si>
  <si>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</si>
  <si>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</si>
  <si>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</si>
  <si>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</si>
  <si>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</si>
  <si>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</si>
  <si>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</si>
  <si>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</si>
  <si>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</si>
  <si>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</si>
  <si>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</si>
  <si>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</si>
  <si>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</si>
  <si>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</si>
  <si>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</si>
  <si>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</si>
  <si>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</si>
  <si>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</si>
  <si>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</si>
  <si>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</si>
  <si>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</si>
  <si>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</si>
  <si>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</si>
  <si>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</si>
  <si>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</si>
  <si>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</si>
  <si>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</si>
  <si>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</si>
  <si>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</si>
  <si>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</si>
  <si>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</si>
  <si>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</si>
  <si>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</si>
  <si>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</si>
  <si>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</si>
  <si>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</si>
  <si>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</si>
  <si>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</si>
  <si>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</si>
  <si>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</si>
  <si>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</si>
  <si>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</si>
  <si>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</si>
  <si>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</si>
  <si>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</si>
  <si>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</si>
  <si>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</si>
  <si>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</si>
  <si>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</si>
  <si>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</si>
  <si>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</si>
  <si>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</si>
  <si>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</si>
  <si>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</si>
  <si>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</si>
  <si>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</si>
  <si>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</si>
  <si>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</si>
  <si>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</si>
  <si>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</si>
  <si>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</si>
  <si>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</si>
  <si>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</si>
  <si>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</si>
  <si>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</si>
  <si>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</si>
  <si>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</si>
  <si>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</si>
  <si>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</si>
  <si>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</si>
  <si>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</si>
  <si>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</si>
  <si>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</si>
  <si>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</si>
  <si>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</si>
  <si>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</si>
  <si>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</si>
  <si>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</si>
  <si>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</si>
  <si>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</si>
  <si>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</si>
  <si>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</si>
  <si>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</si>
  <si>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</si>
  <si>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</si>
  <si>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</si>
  <si>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</si>
  <si>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</si>
  <si>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</si>
  <si>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</si>
  <si>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</si>
  <si>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</si>
  <si>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</si>
  <si>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</si>
  <si>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</si>
  <si>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</si>
  <si>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</si>
  <si>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</si>
  <si>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</si>
  <si>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</si>
  <si>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</si>
  <si>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</si>
  <si>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</si>
  <si>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</si>
  <si>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</si>
  <si>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</si>
  <si>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</si>
  <si>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</si>
  <si>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</si>
  <si>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</si>
  <si>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</si>
  <si>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</si>
  <si>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</si>
  <si>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</si>
  <si>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</si>
  <si>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</si>
  <si>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</si>
  <si>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</si>
  <si>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</si>
  <si>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</si>
  <si>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</si>
  <si>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</si>
  <si>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</si>
  <si>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</si>
  <si>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</si>
  <si>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</si>
  <si>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</si>
  <si>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</si>
  <si>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</si>
  <si>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</si>
  <si>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</si>
  <si>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</si>
  <si>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</si>
  <si>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</si>
  <si>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</si>
  <si>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</si>
  <si>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</si>
  <si>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</si>
  <si>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</si>
  <si>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</si>
  <si>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</si>
  <si>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</si>
  <si>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</si>
  <si>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</si>
  <si>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</si>
  <si>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</si>
  <si>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</si>
  <si>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</si>
  <si>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</si>
  <si>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</si>
  <si>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</si>
  <si>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</si>
  <si>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</si>
  <si>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</si>
  <si>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</si>
  <si>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</si>
  <si>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</si>
  <si>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</si>
  <si>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</si>
  <si>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</si>
  <si>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</si>
  <si>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</si>
  <si>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</si>
  <si>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</si>
  <si>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</si>
  <si>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</si>
  <si>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</si>
  <si>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</si>
  <si>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</si>
  <si>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</si>
  <si>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</si>
  <si>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</si>
  <si>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</si>
  <si>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</si>
  <si>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</si>
  <si>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</si>
  <si>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</si>
  <si>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</si>
  <si>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</si>
  <si>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</si>
  <si>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</si>
  <si>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</si>
  <si>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</si>
  <si>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</si>
  <si>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</si>
  <si>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</si>
  <si>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</si>
  <si>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</si>
  <si>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</si>
  <si>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</si>
  <si>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</si>
  <si>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</si>
  <si>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</si>
  <si>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</si>
  <si>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</si>
  <si>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</si>
  <si>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</si>
  <si>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</si>
  <si>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</si>
  <si>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</si>
  <si>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</si>
  <si>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</si>
  <si>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</si>
  <si>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</si>
  <si>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</si>
  <si>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</si>
  <si>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</si>
  <si>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</si>
  <si>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</si>
  <si>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</si>
  <si>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</si>
  <si>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</si>
  <si>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</si>
  <si>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</si>
  <si>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</si>
  <si>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</si>
  <si>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</si>
  <si>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</si>
  <si>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</si>
  <si>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</si>
  <si>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</si>
  <si>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</si>
  <si>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</si>
  <si>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</si>
  <si>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</si>
  <si>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</si>
  <si>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</si>
  <si>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</si>
  <si>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</si>
  <si>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</si>
  <si>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</si>
  <si>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</si>
  <si>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</si>
  <si>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</si>
  <si>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</si>
  <si>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</si>
  <si>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</si>
  <si>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</si>
  <si>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</si>
  <si>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</si>
  <si>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</si>
  <si>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</si>
  <si>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</si>
  <si>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</si>
  <si>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</si>
  <si>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</si>
  <si>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</si>
  <si>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</si>
  <si>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</si>
  <si>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</si>
  <si>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</si>
  <si>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</si>
  <si>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</si>
  <si>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</si>
  <si>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</si>
  <si>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</si>
  <si>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</si>
  <si>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</si>
  <si>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</si>
  <si>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</si>
  <si>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</si>
  <si>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</si>
  <si>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</si>
  <si>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</si>
  <si>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</si>
  <si>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</si>
  <si>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</si>
  <si>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</si>
  <si>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</si>
  <si>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</si>
  <si>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</si>
  <si>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</si>
  <si>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</si>
  <si>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</si>
  <si>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</si>
  <si>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</si>
  <si>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</si>
  <si>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</si>
  <si>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</si>
  <si>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</si>
  <si>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</si>
  <si>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</si>
  <si>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</si>
  <si>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</si>
  <si>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</si>
  <si>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</si>
  <si>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</si>
  <si>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</si>
  <si>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</si>
  <si>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</si>
  <si>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</si>
  <si>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</si>
  <si>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</si>
  <si>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</si>
  <si>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</si>
  <si>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</si>
  <si>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</si>
  <si>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</si>
  <si>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</si>
  <si>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</si>
  <si>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</si>
  <si>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</si>
  <si>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</si>
  <si>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</si>
  <si>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</si>
  <si>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</si>
  <si>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</si>
  <si>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</si>
  <si>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</si>
  <si>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</si>
  <si>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</si>
  <si>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</si>
  <si>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</si>
  <si>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</si>
  <si>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</si>
  <si>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</si>
  <si>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</si>
  <si>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</si>
  <si>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</si>
  <si>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</si>
  <si>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</si>
  <si>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</si>
  <si>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</si>
  <si>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</si>
  <si>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</si>
  <si>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</si>
  <si>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</si>
  <si>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</si>
  <si>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</si>
  <si>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</si>
  <si>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</si>
  <si>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</si>
  <si>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</si>
  <si>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</si>
  <si>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</si>
  <si>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</si>
  <si>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</si>
  <si>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</si>
  <si>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</si>
  <si>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</si>
  <si>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</si>
  <si>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</si>
  <si>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</si>
  <si>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</si>
  <si>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</si>
  <si>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</si>
  <si>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</si>
  <si>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</si>
  <si>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</si>
  <si>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</si>
  <si>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</si>
  <si>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</si>
  <si>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</si>
  <si>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</si>
  <si>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</si>
  <si>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</si>
  <si>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</si>
  <si>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</si>
  <si>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</si>
  <si>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</si>
  <si>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</si>
  <si>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</si>
  <si>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</si>
  <si>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</si>
  <si>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</si>
  <si>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</si>
  <si>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</si>
  <si>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</si>
  <si>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</si>
  <si>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</si>
  <si>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</si>
  <si>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</si>
  <si>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</si>
  <si>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</si>
  <si>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</si>
  <si>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</si>
  <si>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</si>
  <si>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</si>
  <si>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</si>
  <si>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</si>
  <si>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</si>
  <si>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</si>
  <si>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</si>
  <si>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</si>
  <si>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</si>
  <si>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</si>
  <si>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</si>
  <si>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</si>
  <si>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</si>
  <si>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</si>
  <si>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</si>
  <si>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</si>
  <si>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</si>
  <si>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</si>
  <si>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</si>
  <si>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</si>
  <si>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</si>
  <si>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</si>
  <si>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</si>
  <si>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</si>
  <si>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</si>
  <si>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</si>
  <si>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</si>
  <si>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</si>
  <si>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</si>
  <si>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</si>
  <si>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</si>
  <si>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</si>
  <si>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</si>
  <si>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</si>
  <si>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</si>
  <si>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</si>
  <si>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</si>
  <si>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</si>
  <si>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</si>
  <si>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</si>
  <si>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</si>
  <si>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</si>
  <si>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</si>
  <si>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</si>
  <si>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</si>
  <si>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</si>
  <si>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</si>
  <si>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</si>
  <si>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</si>
  <si>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</si>
  <si>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</si>
  <si>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</si>
  <si>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</si>
  <si>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</si>
  <si>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</si>
  <si>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</si>
  <si>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</si>
  <si>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</si>
  <si>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</si>
  <si>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</si>
  <si>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</si>
  <si>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</si>
  <si>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</si>
  <si>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</si>
  <si>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</si>
  <si>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</si>
  <si>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</si>
  <si>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</si>
  <si>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</si>
  <si>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</si>
  <si>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</si>
  <si>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</si>
  <si>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</si>
  <si>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</si>
  <si>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</si>
  <si>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</si>
  <si>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</si>
  <si>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</si>
  <si>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</si>
  <si>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</si>
  <si>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</si>
  <si>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</si>
  <si>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</si>
  <si>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</si>
  <si>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</si>
  <si>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</si>
  <si>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</si>
  <si>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</si>
  <si>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</si>
  <si>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</si>
  <si>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</si>
  <si>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</si>
  <si>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</si>
  <si>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</si>
  <si>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</si>
  <si>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</si>
  <si>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</si>
  <si>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</si>
  <si>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</si>
  <si>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</si>
  <si>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</si>
  <si>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</si>
  <si>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</si>
  <si>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</si>
  <si>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</si>
  <si>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</si>
  <si>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</si>
  <si>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</si>
  <si>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</si>
  <si>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</si>
  <si>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</si>
  <si>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</si>
  <si>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</si>
  <si>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</si>
  <si>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</si>
  <si>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</si>
  <si>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</si>
  <si>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</si>
  <si>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</si>
  <si>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</si>
  <si>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</si>
  <si>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</si>
  <si>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</si>
  <si>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</si>
  <si>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</si>
  <si>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</si>
  <si>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</si>
  <si>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</si>
  <si>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</si>
  <si>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</si>
  <si>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</si>
  <si>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</si>
  <si>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</si>
  <si>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</si>
  <si>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</si>
  <si>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</si>
  <si>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</si>
  <si>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</si>
  <si>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</si>
  <si>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</si>
  <si>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</si>
  <si>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</si>
  <si>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</si>
  <si>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</si>
  <si>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</si>
  <si>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</si>
  <si>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</si>
  <si>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</si>
  <si>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</si>
  <si>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</si>
  <si>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</si>
  <si>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</si>
  <si>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</si>
  <si>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</si>
  <si>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</si>
  <si>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</si>
  <si>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</si>
  <si>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</si>
  <si>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</si>
  <si>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</si>
  <si>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</si>
  <si>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</si>
  <si>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</si>
  <si>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</si>
  <si>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</si>
  <si>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</si>
  <si>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</si>
  <si>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</si>
  <si>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</si>
  <si>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</si>
  <si>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</si>
  <si>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</si>
  <si>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</si>
  <si>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</si>
  <si>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</si>
  <si>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</si>
  <si>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</si>
  <si>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</si>
  <si>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</si>
  <si>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</si>
  <si>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</si>
  <si>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</si>
  <si>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</si>
  <si>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</si>
  <si>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</si>
  <si>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</si>
  <si>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</si>
  <si>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</si>
  <si>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</si>
  <si>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</si>
  <si>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</si>
  <si>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</si>
  <si>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</si>
  <si>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</si>
  <si>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</si>
  <si>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</si>
  <si>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</si>
  <si>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</si>
  <si>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</si>
  <si>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</si>
  <si>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</si>
  <si>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</si>
  <si>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</si>
  <si>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</si>
  <si>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</si>
  <si>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</si>
  <si>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</si>
  <si>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</si>
  <si>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</si>
  <si>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</si>
  <si>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</si>
  <si>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</si>
  <si>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</si>
  <si>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</si>
  <si>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</si>
  <si>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</si>
  <si>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</si>
  <si>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</si>
  <si>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</si>
  <si>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</si>
  <si>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</si>
  <si>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</si>
  <si>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</si>
  <si>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</si>
  <si>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</si>
  <si>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</si>
  <si>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</si>
  <si>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</si>
  <si>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</si>
  <si>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</si>
  <si>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</si>
  <si>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</si>
  <si>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</si>
  <si>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</si>
  <si>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</si>
  <si>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</si>
  <si>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</si>
  <si>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</si>
  <si>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</si>
  <si>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</si>
  <si>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</si>
  <si>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</si>
  <si>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</si>
  <si>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</si>
  <si>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</si>
  <si>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</si>
  <si>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</si>
  <si>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</si>
  <si>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</si>
  <si>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</si>
  <si>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</si>
  <si>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</si>
  <si>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</si>
  <si>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</si>
  <si>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</si>
  <si>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</si>
  <si>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</si>
  <si>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</si>
  <si>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</si>
  <si>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</si>
  <si>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</si>
  <si>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</si>
  <si>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</si>
  <si>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</si>
  <si>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</si>
  <si>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</si>
  <si>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</si>
  <si>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</si>
  <si>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</si>
  <si>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</si>
  <si>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</si>
  <si>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</si>
  <si>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</si>
  <si>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</si>
  <si>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</si>
  <si>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</si>
  <si>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</si>
  <si>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</si>
  <si>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</si>
  <si>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</si>
  <si>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</si>
  <si>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</si>
  <si>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</si>
  <si>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</si>
  <si>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</si>
  <si>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</si>
  <si>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</si>
  <si>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</si>
  <si>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</si>
  <si>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</si>
  <si>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</si>
  <si>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</si>
  <si>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</si>
  <si>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</si>
  <si>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</si>
  <si>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</si>
  <si>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</si>
  <si>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</si>
  <si>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</si>
  <si>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</si>
  <si>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</si>
  <si>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</si>
  <si>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</si>
  <si>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</si>
  <si>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</si>
  <si>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</si>
  <si>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</si>
  <si>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</si>
  <si>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</si>
  <si>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</si>
  <si>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</si>
  <si>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</si>
  <si>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</si>
  <si>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</si>
  <si>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</si>
  <si>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</si>
  <si>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</si>
  <si>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</si>
  <si>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</si>
  <si>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</si>
  <si>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</si>
  <si>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</si>
  <si>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</si>
  <si>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</si>
  <si>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</si>
  <si>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</si>
  <si>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</si>
  <si>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</si>
  <si>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</si>
  <si>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</si>
  <si>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</si>
  <si>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</si>
  <si>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</si>
  <si>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</si>
  <si>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</si>
  <si>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</si>
  <si>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</si>
  <si>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</si>
  <si>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</si>
  <si>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</si>
  <si>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</si>
  <si>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</si>
  <si>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</si>
  <si>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</si>
  <si>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</si>
  <si>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</si>
  <si>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</si>
  <si>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</si>
  <si>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</si>
  <si>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</si>
  <si>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</si>
  <si>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</si>
  <si>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</si>
  <si>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</si>
  <si>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</si>
  <si>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</si>
  <si>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</si>
  <si>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</si>
  <si>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</si>
  <si>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</si>
  <si>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</si>
  <si>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</si>
  <si>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</si>
  <si>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</si>
  <si>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</si>
  <si>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</si>
  <si>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</si>
  <si>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</si>
  <si>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</si>
  <si>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</si>
  <si>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</si>
  <si>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</si>
  <si>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</si>
  <si>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</si>
  <si>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</si>
  <si>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</si>
  <si>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</si>
  <si>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</si>
  <si>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</si>
  <si>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</si>
  <si>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</si>
  <si>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</si>
  <si>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</si>
  <si>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</si>
  <si>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</si>
  <si>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</si>
  <si>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</si>
  <si>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</si>
  <si>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</si>
  <si>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</si>
  <si>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</si>
  <si>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</si>
  <si>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</si>
  <si>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</si>
  <si>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</si>
  <si>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</si>
  <si>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</si>
  <si>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</si>
  <si>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</si>
  <si>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</si>
  <si>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</si>
  <si>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</si>
  <si>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</si>
  <si>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</si>
  <si>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</si>
  <si>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</si>
  <si>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</si>
  <si>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</si>
  <si>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</si>
  <si>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</si>
  <si>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</si>
  <si>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</si>
  <si>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</si>
  <si>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</si>
  <si>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</si>
  <si>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</si>
  <si>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</si>
  <si>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</si>
  <si>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</si>
  <si>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</si>
  <si>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</si>
  <si>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</si>
  <si>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</si>
  <si>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</si>
  <si>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</si>
  <si>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</si>
  <si>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</si>
  <si>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</si>
  <si>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</si>
  <si>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</si>
  <si>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</si>
  <si>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</si>
  <si>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</si>
  <si>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</si>
  <si>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</si>
  <si>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</si>
  <si>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</si>
  <si>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</si>
  <si>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</si>
  <si>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</si>
  <si>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</si>
  <si>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</si>
  <si>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</si>
  <si>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</si>
  <si>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</si>
  <si>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</si>
  <si>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</si>
  <si>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</si>
  <si>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</si>
  <si>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</si>
  <si>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</si>
  <si>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</si>
  <si>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</si>
  <si>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</si>
  <si>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</si>
  <si>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</si>
  <si>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</si>
  <si>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</si>
  <si>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</si>
  <si>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</si>
  <si>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</si>
  <si>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</si>
  <si>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</si>
  <si>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</si>
  <si>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</si>
  <si>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</si>
  <si>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</si>
  <si>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</si>
  <si>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</si>
  <si>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</si>
  <si>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</si>
  <si>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</si>
  <si>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</si>
  <si>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</si>
  <si>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</si>
  <si>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</si>
  <si>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</si>
  <si>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</si>
  <si>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</si>
  <si>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</si>
  <si>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</si>
  <si>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</si>
  <si>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</si>
  <si>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</si>
  <si>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</si>
  <si>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</si>
  <si>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</si>
  <si>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</si>
  <si>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</si>
  <si>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</si>
  <si>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</si>
  <si>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</si>
  <si>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</si>
  <si>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</si>
  <si>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</si>
  <si>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</si>
  <si>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</si>
  <si>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</si>
  <si>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</si>
  <si>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</si>
  <si>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</si>
  <si>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</si>
  <si>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</si>
  <si>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</si>
  <si>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</si>
  <si>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</si>
  <si>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</si>
  <si>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</si>
  <si>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</si>
  <si>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</si>
  <si>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</si>
  <si>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</si>
  <si>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</si>
  <si>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</si>
  <si>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</si>
  <si>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</si>
  <si>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</si>
  <si>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</si>
  <si>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</si>
  <si>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</si>
  <si>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</si>
  <si>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</si>
  <si>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</si>
  <si>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</si>
  <si>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</si>
  <si>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</si>
  <si>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</si>
  <si>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</si>
  <si>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</si>
  <si>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</si>
  <si>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</si>
  <si>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</si>
  <si>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</si>
  <si>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</si>
  <si>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</si>
  <si>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</si>
  <si>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</si>
  <si>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</si>
  <si>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</si>
  <si>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</si>
  <si>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</si>
  <si>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</si>
  <si>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</si>
  <si>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</si>
  <si>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</si>
  <si>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</si>
  <si>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</si>
  <si>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</si>
  <si>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</si>
  <si>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</si>
  <si>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</si>
  <si>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</si>
  <si>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</si>
  <si>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</si>
  <si>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</si>
  <si>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</si>
  <si>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</si>
  <si>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</si>
  <si>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</si>
  <si>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</si>
  <si>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</si>
  <si>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</si>
  <si>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</si>
  <si>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</si>
  <si>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</si>
  <si>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</si>
  <si>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</si>
  <si>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</si>
  <si>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</si>
  <si>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</si>
  <si>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</si>
  <si>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</si>
  <si>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</si>
  <si>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</si>
  <si>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</si>
  <si>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</si>
  <si>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</si>
  <si>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</si>
  <si>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</si>
  <si>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</si>
  <si>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</si>
  <si>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</si>
  <si>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</si>
  <si>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</si>
  <si>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</si>
  <si>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</si>
  <si>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</si>
  <si>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</si>
  <si>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</si>
  <si>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</si>
  <si>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</si>
  <si>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</si>
  <si>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</si>
  <si>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</si>
  <si>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</si>
  <si>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</si>
  <si>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</si>
  <si>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</si>
  <si>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</si>
  <si>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</si>
  <si>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</si>
  <si>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</si>
  <si>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</si>
  <si>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</si>
  <si>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</si>
  <si>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</si>
  <si>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</si>
  <si>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</si>
  <si>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</si>
  <si>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</si>
  <si>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</si>
  <si>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</si>
  <si>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</si>
  <si>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</si>
  <si>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</si>
  <si>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</si>
  <si>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</si>
  <si>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</si>
  <si>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</si>
  <si>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</si>
  <si>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</si>
  <si>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</si>
  <si>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</si>
  <si>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</si>
  <si>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</si>
  <si>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</si>
  <si>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</si>
  <si>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</si>
  <si>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</si>
  <si>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</si>
  <si>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</si>
  <si>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</si>
  <si>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</si>
  <si>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</si>
  <si>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</si>
  <si>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</si>
  <si>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</si>
  <si>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</si>
  <si>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</si>
  <si>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</si>
  <si>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</si>
  <si>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</si>
  <si>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</si>
  <si>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</si>
  <si>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</si>
  <si>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</si>
  <si>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</si>
  <si>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</si>
  <si>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</si>
  <si>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</si>
  <si>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</si>
  <si>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</si>
  <si>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</si>
  <si>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</si>
  <si>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</si>
  <si>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</si>
  <si>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</si>
  <si>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</si>
  <si>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</si>
  <si>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</si>
  <si>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</si>
  <si>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</si>
  <si>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</si>
  <si>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</si>
  <si>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</si>
  <si>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</si>
  <si>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</si>
  <si>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</si>
  <si>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</si>
  <si>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</si>
  <si>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</si>
  <si>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</si>
  <si>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</si>
  <si>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</si>
  <si>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</si>
  <si>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</si>
  <si>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</si>
  <si>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</si>
  <si>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</si>
  <si>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</si>
  <si>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</si>
  <si>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</si>
  <si>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</si>
  <si>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</si>
  <si>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</si>
  <si>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</si>
  <si>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</si>
  <si>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</si>
  <si>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</si>
  <si>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</si>
  <si>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</si>
  <si>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</si>
  <si>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</si>
  <si>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</si>
  <si>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</si>
  <si>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</si>
  <si>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</si>
  <si>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</si>
  <si>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</si>
  <si>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</si>
  <si>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</si>
  <si>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</si>
  <si>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</si>
  <si>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</si>
  <si>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</si>
  <si>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</si>
  <si>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</si>
  <si>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</si>
  <si>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</si>
  <si>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</si>
  <si>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</si>
  <si>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</si>
  <si>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</si>
  <si>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</si>
  <si>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</si>
  <si>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</si>
  <si>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</si>
  <si>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</si>
  <si>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</si>
  <si>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</si>
  <si>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</si>
  <si>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</si>
  <si>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</si>
  <si>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</si>
  <si>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</si>
  <si>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</si>
  <si>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</si>
  <si>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</si>
  <si>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</si>
  <si>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</si>
  <si>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</si>
  <si>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</si>
  <si>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</si>
  <si>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</si>
  <si>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</si>
  <si>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</si>
  <si>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</si>
  <si>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</si>
  <si>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</si>
  <si>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</si>
  <si>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</si>
  <si>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</si>
  <si>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</si>
  <si>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</si>
  <si>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</si>
  <si>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</si>
  <si>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</si>
  <si>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</si>
  <si>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</si>
  <si>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</si>
  <si>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</si>
  <si>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</si>
  <si>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</si>
  <si>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</si>
  <si>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</si>
  <si>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</si>
  <si>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</si>
  <si>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</si>
  <si>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</si>
  <si>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</si>
  <si>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</si>
  <si>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</si>
  <si>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</si>
  <si>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</si>
  <si>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</si>
  <si>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</si>
  <si>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</si>
  <si>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</si>
  <si>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</si>
  <si>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</si>
  <si>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</si>
  <si>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</si>
  <si>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</si>
  <si>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</si>
  <si>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</si>
  <si>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</si>
  <si>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</si>
  <si>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</si>
  <si>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</si>
  <si>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</si>
  <si>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</si>
  <si>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</si>
  <si>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</si>
  <si>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</si>
  <si>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</si>
  <si>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</si>
  <si>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</si>
  <si>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</si>
  <si>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</si>
  <si>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</si>
  <si>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</si>
  <si>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</si>
  <si>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</si>
  <si>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</si>
  <si>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</si>
  <si>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</si>
  <si>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</si>
  <si>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</si>
  <si>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</si>
  <si>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</si>
  <si>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</si>
  <si>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</si>
  <si>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</si>
  <si>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</si>
  <si>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</si>
  <si>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</si>
  <si>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</si>
  <si>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</si>
  <si>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</si>
  <si>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</si>
  <si>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</si>
  <si>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</si>
  <si>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</si>
  <si>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</si>
  <si>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</si>
  <si>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</si>
  <si>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</si>
  <si>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</si>
  <si>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</si>
  <si>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</si>
  <si>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</si>
  <si>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</si>
  <si>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</si>
  <si>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</si>
  <si>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</si>
  <si>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</si>
  <si>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</si>
  <si>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</si>
  <si>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</si>
  <si>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</si>
  <si>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</si>
  <si>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</si>
  <si>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</si>
  <si>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</si>
  <si>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</si>
  <si>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</si>
  <si>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</si>
  <si>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</si>
  <si>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</si>
  <si>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</si>
  <si>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</si>
  <si>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</si>
  <si>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</si>
  <si>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</si>
  <si>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</si>
  <si>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</si>
  <si>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</si>
  <si>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</si>
  <si>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</si>
  <si>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</si>
  <si>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</si>
  <si>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</si>
  <si>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</si>
  <si>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</si>
  <si>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</si>
  <si>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</si>
  <si>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</si>
  <si>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</si>
  <si>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</si>
  <si>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</si>
  <si>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</si>
  <si>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</si>
  <si>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</si>
  <si>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</si>
  <si>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</si>
  <si>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</si>
  <si>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</si>
  <si>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</si>
  <si>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</si>
  <si>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</si>
  <si>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</si>
  <si>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</si>
  <si>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</si>
  <si>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</si>
  <si>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</si>
  <si>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</si>
  <si>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</si>
  <si>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</si>
  <si>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</si>
  <si>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</si>
  <si>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</si>
  <si>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</si>
  <si>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</si>
  <si>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</si>
  <si>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</si>
  <si>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</si>
  <si>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</si>
  <si>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</si>
  <si>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</si>
  <si>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</si>
  <si>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</si>
  <si>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</si>
  <si>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</si>
  <si>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</si>
  <si>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</si>
  <si>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</si>
  <si>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</si>
  <si>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</si>
  <si>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</si>
  <si>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</si>
  <si>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</si>
  <si>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</si>
  <si>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</si>
  <si>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</si>
  <si>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</si>
  <si>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</si>
  <si>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</si>
  <si>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</si>
  <si>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</si>
  <si>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</si>
  <si>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</si>
  <si>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</si>
  <si>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</si>
  <si>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</si>
  <si>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</si>
  <si>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</si>
  <si>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</si>
  <si>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</si>
  <si>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</si>
  <si>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</si>
  <si>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</si>
  <si>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</si>
  <si>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</si>
  <si>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</si>
  <si>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</si>
  <si>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</si>
  <si>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</si>
  <si>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</si>
  <si>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</si>
  <si>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</si>
  <si>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</si>
  <si>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</si>
  <si>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</si>
  <si>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</si>
  <si>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</si>
  <si>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</si>
  <si>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</si>
  <si>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</si>
  <si>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</si>
  <si>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</si>
  <si>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</si>
  <si>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</si>
  <si>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</si>
  <si>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</si>
  <si>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</si>
  <si>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</si>
  <si>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</si>
  <si>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</si>
  <si>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</si>
  <si>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</si>
  <si>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</si>
  <si>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</si>
  <si>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</si>
  <si>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</si>
  <si>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</si>
  <si>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</si>
  <si>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</si>
  <si>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</si>
  <si>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</si>
  <si>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</si>
  <si>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</si>
  <si>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</si>
  <si>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</si>
  <si>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</si>
  <si>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</si>
  <si>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</si>
  <si>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</si>
  <si>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</si>
  <si>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</si>
  <si>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</si>
  <si>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</si>
  <si>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</si>
  <si>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</si>
  <si>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</si>
  <si>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</si>
  <si>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</si>
  <si>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</si>
  <si>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</si>
  <si>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</si>
  <si>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</si>
  <si>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</si>
  <si>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</si>
  <si>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</si>
  <si>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</si>
  <si>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</si>
  <si>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</si>
  <si>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</si>
  <si>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</si>
  <si>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</si>
  <si>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</si>
  <si>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</si>
  <si>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</si>
  <si>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</si>
  <si>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</si>
  <si>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</si>
  <si>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</si>
  <si>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</si>
  <si>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</si>
  <si>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</si>
  <si>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</si>
  <si>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</si>
  <si>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</si>
  <si>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</si>
  <si>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</si>
  <si>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</si>
  <si>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</si>
  <si>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</si>
  <si>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</si>
  <si>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</si>
  <si>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</si>
  <si>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</si>
  <si>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</si>
  <si>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</si>
  <si>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</si>
  <si>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</si>
  <si>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</si>
  <si>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</si>
  <si>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</si>
  <si>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</si>
  <si>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</si>
  <si>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</si>
  <si>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</si>
  <si>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</si>
  <si>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</si>
  <si>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</si>
  <si>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</si>
  <si>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</si>
  <si>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</si>
  <si>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</si>
  <si>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</si>
  <si>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</si>
  <si>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</si>
  <si>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</si>
  <si>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</si>
  <si>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</si>
  <si>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</si>
  <si>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</si>
  <si>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</si>
  <si>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</si>
  <si>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</si>
  <si>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</si>
  <si>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</si>
  <si>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</si>
  <si>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</si>
  <si>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</si>
  <si>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</si>
  <si>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</si>
  <si>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</si>
  <si>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</si>
  <si>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</si>
  <si>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</si>
  <si>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</si>
  <si>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</si>
  <si>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</si>
  <si>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</si>
  <si>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</si>
  <si>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</si>
  <si>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</si>
  <si>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</si>
  <si>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</si>
  <si>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</si>
  <si>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</si>
  <si>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</si>
  <si>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</si>
  <si>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</si>
  <si>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</si>
  <si>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</si>
  <si>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</si>
  <si>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</si>
  <si>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</si>
  <si>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</si>
  <si>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</si>
  <si>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</si>
  <si>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</si>
  <si>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</si>
  <si>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</si>
  <si>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</si>
  <si>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</si>
  <si>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</si>
  <si>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</si>
  <si>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</si>
  <si>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</si>
  <si>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</si>
  <si>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</si>
  <si>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</si>
  <si>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</si>
  <si>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</si>
  <si>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</si>
  <si>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</si>
  <si>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</si>
  <si>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</si>
  <si>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</si>
  <si>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</si>
  <si>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</si>
  <si>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</si>
  <si>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</si>
  <si>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</si>
  <si>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</si>
  <si>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</si>
  <si>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</si>
  <si>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</si>
  <si>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</si>
  <si>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</si>
  <si>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</si>
  <si>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</si>
  <si>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</si>
  <si>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</si>
  <si>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</si>
  <si>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</si>
  <si>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</si>
  <si>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</si>
  <si>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</si>
  <si>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</si>
  <si>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</si>
  <si>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</si>
  <si>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</si>
  <si>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</si>
  <si>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</si>
  <si>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</si>
  <si>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</si>
  <si>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</si>
  <si>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</si>
  <si>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</si>
  <si>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</si>
  <si>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</si>
  <si>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</si>
  <si>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</si>
  <si>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</si>
  <si>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</si>
  <si>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</si>
  <si>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</si>
  <si>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</si>
  <si>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</si>
  <si>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</si>
  <si>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</si>
  <si>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</si>
  <si>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</si>
  <si>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</si>
  <si>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</si>
  <si>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</si>
  <si>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</si>
  <si>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</si>
  <si>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</si>
  <si>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</si>
  <si>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</si>
  <si>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</si>
  <si>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</si>
  <si>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</si>
  <si>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</si>
  <si>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</si>
  <si>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</si>
  <si>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</si>
  <si>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</si>
  <si>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</si>
  <si>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</si>
  <si>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</si>
  <si>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</si>
  <si>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</si>
  <si>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</si>
  <si>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</si>
  <si>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</si>
  <si>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</si>
  <si>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</si>
  <si>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</si>
  <si>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</si>
  <si>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</si>
  <si>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</si>
  <si>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</si>
  <si>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</si>
  <si>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</si>
  <si>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</si>
  <si>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</si>
  <si>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</si>
  <si>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</si>
  <si>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</si>
  <si>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</si>
  <si>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</si>
  <si>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</si>
  <si>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</si>
  <si>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</si>
  <si>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</si>
  <si>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</si>
  <si>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</si>
  <si>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</si>
  <si>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</si>
  <si>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</si>
  <si>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</si>
  <si>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</si>
  <si>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</si>
  <si>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</si>
  <si>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</si>
  <si>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</si>
  <si>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</si>
  <si>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</si>
  <si>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</si>
  <si>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</si>
  <si>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</si>
  <si>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</si>
  <si>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</si>
  <si>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</si>
  <si>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</si>
  <si>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</si>
  <si>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</si>
  <si>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</si>
  <si>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</si>
  <si>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</si>
  <si>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</si>
  <si>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</si>
  <si>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</si>
  <si>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</si>
  <si>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</si>
  <si>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</si>
  <si>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</si>
  <si>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</si>
  <si>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</si>
  <si>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</si>
  <si>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</si>
  <si>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</si>
  <si>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</si>
  <si>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</si>
  <si>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</si>
  <si>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</si>
  <si>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</si>
  <si>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</si>
  <si>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</si>
  <si>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</si>
  <si>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</si>
  <si>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</si>
  <si>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</si>
  <si>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</si>
  <si>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</si>
  <si>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</si>
  <si>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</si>
  <si>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</si>
  <si>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</si>
  <si>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</si>
  <si>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</si>
  <si>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</si>
  <si>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</si>
  <si>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</si>
  <si>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</si>
  <si>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</si>
  <si>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</si>
  <si>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</si>
  <si>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</si>
  <si>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</si>
  <si>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</si>
  <si>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</si>
  <si>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</si>
  <si>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</si>
  <si>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</si>
  <si>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</si>
  <si>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</si>
  <si>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</si>
  <si>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</si>
  <si>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</si>
  <si>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</si>
  <si>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</si>
  <si>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</si>
  <si>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</si>
  <si>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</si>
  <si>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</si>
  <si>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</si>
  <si>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</si>
  <si>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</si>
  <si>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</si>
  <si>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</si>
  <si>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</si>
  <si>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</si>
  <si>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</si>
  <si>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</si>
  <si>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</si>
  <si>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</si>
  <si>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</si>
  <si>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</si>
  <si>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</si>
  <si>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</si>
  <si>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</si>
  <si>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</si>
  <si>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</si>
  <si>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</si>
  <si>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</si>
  <si>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</si>
  <si>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</si>
  <si>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</si>
  <si>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</si>
  <si>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</si>
  <si>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</si>
  <si>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</si>
  <si>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</si>
  <si>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</si>
  <si>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</si>
  <si>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</si>
  <si>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</si>
  <si>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</si>
  <si>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</si>
  <si>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</si>
  <si>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</si>
  <si>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</si>
  <si>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</si>
  <si>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</si>
  <si>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</si>
  <si>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</si>
  <si>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</si>
  <si>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</si>
  <si>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</si>
  <si>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</si>
  <si>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</si>
  <si>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</si>
  <si>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</si>
  <si>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</si>
  <si>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</si>
  <si>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</si>
  <si>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</si>
  <si>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</si>
  <si>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</si>
  <si>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</si>
  <si>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</si>
  <si>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</si>
  <si>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</si>
  <si>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</si>
  <si>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</si>
  <si>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</si>
  <si>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</si>
  <si>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</si>
  <si>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</si>
  <si>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</si>
  <si>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</si>
  <si>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</si>
  <si>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</si>
  <si>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</si>
  <si>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</si>
  <si>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</si>
  <si>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</si>
  <si>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</si>
  <si>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</si>
  <si>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</si>
  <si>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</si>
  <si>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</si>
  <si>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</si>
  <si>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</si>
  <si>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</si>
  <si>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</si>
  <si>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</si>
  <si>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</si>
  <si>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</si>
  <si>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</si>
  <si>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</si>
  <si>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</si>
  <si>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</si>
  <si>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</si>
  <si>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</si>
  <si>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</si>
  <si>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</si>
  <si>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</si>
  <si>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</si>
  <si>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</si>
  <si>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</si>
  <si>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</si>
  <si>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</si>
  <si>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</si>
  <si>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</si>
  <si>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</si>
  <si>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</si>
  <si>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</si>
  <si>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</si>
  <si>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</si>
  <si>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</si>
  <si>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</si>
  <si>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</si>
  <si>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</si>
  <si>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</si>
  <si>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</si>
  <si>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</si>
  <si>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</si>
  <si>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</si>
  <si>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</si>
  <si>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</si>
  <si>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</si>
  <si>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</si>
  <si>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</si>
  <si>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</si>
  <si>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</si>
  <si>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</si>
  <si>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</si>
  <si>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</si>
  <si>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</si>
  <si>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</si>
  <si>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</si>
  <si>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</si>
  <si>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</si>
  <si>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</si>
  <si>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</si>
  <si>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</si>
  <si>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</si>
  <si>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</si>
  <si>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</si>
  <si>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</si>
  <si>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</si>
  <si>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</si>
  <si>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</si>
  <si>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</si>
  <si>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</si>
  <si>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</si>
  <si>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</si>
  <si>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</si>
  <si>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</si>
  <si>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</si>
  <si>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</si>
  <si>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</si>
  <si>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</si>
  <si>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</si>
  <si>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</si>
  <si>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</si>
  <si>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</si>
  <si>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</si>
  <si>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</si>
  <si>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</si>
  <si>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</si>
  <si>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</si>
  <si>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</si>
  <si>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</si>
  <si>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</si>
  <si>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</si>
  <si>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</si>
  <si>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</si>
  <si>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</si>
  <si>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</si>
  <si>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</si>
  <si>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</si>
  <si>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</si>
  <si>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</si>
  <si>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</si>
  <si>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</si>
  <si>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</si>
  <si>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</si>
  <si>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</si>
  <si>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</si>
  <si>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</si>
  <si>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</si>
  <si>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</si>
  <si>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</si>
  <si>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</si>
  <si>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</si>
  <si>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</si>
  <si>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</si>
  <si>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</si>
  <si>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</si>
  <si>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</si>
  <si>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</si>
  <si>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</si>
  <si>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</si>
  <si>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</si>
  <si>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</si>
  <si>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</si>
  <si>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</si>
  <si>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</si>
  <si>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</si>
  <si>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</si>
  <si>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</si>
  <si>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</si>
  <si>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</si>
  <si>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</si>
  <si>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</si>
  <si>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</si>
  <si>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</si>
  <si>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</si>
  <si>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</si>
  <si>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</si>
  <si>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</si>
  <si>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</si>
  <si>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</si>
  <si>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</si>
  <si>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</si>
  <si>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</si>
  <si>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</si>
  <si>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</si>
  <si>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</si>
  <si>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</si>
  <si>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</si>
  <si>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</si>
  <si>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</si>
  <si>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</si>
  <si>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</si>
  <si>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</si>
  <si>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</si>
  <si>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</si>
  <si>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</si>
  <si>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</si>
  <si>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</si>
  <si>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</si>
  <si>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</si>
  <si>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</si>
  <si>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</si>
  <si>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</si>
  <si>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</si>
  <si>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</si>
  <si>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</si>
  <si>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</si>
  <si>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</si>
  <si>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</si>
  <si>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</si>
  <si>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</si>
  <si>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</si>
  <si>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</si>
  <si>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</si>
  <si>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</si>
  <si>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</si>
  <si>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</si>
  <si>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</si>
  <si>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</si>
  <si>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</si>
  <si>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</si>
  <si>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</si>
  <si>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</si>
  <si>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</si>
  <si>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</si>
  <si>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</si>
  <si>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</si>
  <si>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</si>
  <si>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</si>
  <si>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</si>
  <si>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</si>
  <si>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</si>
  <si>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</si>
  <si>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</si>
  <si>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</si>
  <si>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</si>
  <si>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</si>
  <si>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</si>
  <si>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</si>
  <si>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</si>
  <si>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</si>
  <si>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</si>
  <si>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</si>
  <si>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</si>
  <si>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</si>
  <si>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</si>
  <si>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</si>
  <si>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</si>
  <si>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</si>
  <si>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</si>
  <si>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</si>
  <si>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</si>
  <si>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</si>
  <si>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</si>
  <si>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</si>
  <si>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</si>
  <si>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</si>
  <si>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</si>
  <si>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</si>
  <si>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</si>
  <si>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</si>
  <si>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</si>
  <si>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</si>
  <si>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</si>
  <si>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</si>
  <si>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</si>
  <si>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</si>
  <si>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</si>
  <si>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</si>
  <si>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</si>
  <si>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</si>
  <si>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</si>
  <si>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</si>
  <si>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</si>
  <si>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</si>
  <si>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</si>
  <si>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</si>
  <si>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</si>
  <si>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</si>
  <si>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</si>
  <si>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</si>
  <si>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</si>
  <si>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</si>
  <si>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</si>
  <si>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</si>
  <si>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</si>
  <si>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</si>
  <si>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</si>
  <si>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</si>
  <si>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</si>
  <si>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</si>
  <si>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</si>
  <si>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</si>
  <si>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</si>
  <si>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</si>
  <si>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</si>
  <si>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</si>
  <si>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</si>
  <si>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</si>
  <si>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</si>
  <si>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</si>
  <si>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</si>
  <si>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</si>
  <si>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</si>
  <si>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</si>
  <si>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</si>
  <si>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</si>
  <si>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</si>
  <si>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</si>
  <si>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</si>
  <si>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</si>
  <si>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</si>
  <si>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</si>
  <si>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</si>
  <si>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</si>
  <si>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</si>
  <si>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</si>
  <si>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</si>
  <si>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</si>
  <si>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</si>
  <si>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</si>
  <si>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</si>
  <si>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</si>
  <si>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</si>
  <si>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</si>
  <si>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</si>
  <si>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</si>
  <si>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</si>
  <si>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</si>
  <si>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</si>
  <si>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</si>
  <si>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</si>
  <si>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</si>
  <si>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</si>
  <si>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</si>
  <si>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</si>
  <si>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</si>
  <si>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</si>
  <si>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</si>
  <si>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</si>
  <si>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</si>
  <si>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</si>
  <si>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</si>
  <si>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</si>
  <si>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</si>
  <si>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</si>
  <si>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</si>
  <si>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</si>
  <si>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</si>
  <si>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</si>
  <si>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</si>
  <si>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</si>
  <si>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</si>
  <si>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</si>
  <si>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</si>
  <si>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</si>
  <si>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</si>
  <si>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</si>
  <si>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</si>
  <si>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</si>
  <si>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</si>
  <si>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</si>
  <si>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</si>
  <si>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</si>
  <si>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</si>
  <si>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</si>
  <si>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</si>
  <si>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</si>
  <si>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</si>
  <si>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</si>
  <si>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</si>
  <si>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</si>
  <si>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</si>
  <si>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</si>
  <si>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</si>
  <si>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</si>
  <si>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</si>
  <si>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</si>
  <si>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</si>
  <si>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</si>
  <si>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</si>
  <si>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</si>
  <si>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</si>
  <si>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</si>
  <si>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</si>
  <si>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</si>
  <si>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</si>
  <si>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</si>
  <si>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</si>
  <si>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</si>
  <si>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</si>
  <si>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</si>
  <si>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</si>
  <si>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</si>
  <si>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</si>
  <si>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</si>
  <si>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</si>
  <si>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</si>
  <si>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</si>
  <si>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</si>
  <si>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</si>
  <si>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</si>
  <si>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</si>
  <si>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</si>
  <si>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</si>
  <si>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</si>
  <si>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</si>
  <si>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</si>
  <si>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</si>
  <si>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</si>
  <si>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</si>
  <si>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</si>
  <si>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</si>
  <si>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</si>
  <si>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</si>
  <si>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</si>
  <si>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</si>
  <si>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</si>
  <si>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</si>
  <si>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</si>
  <si>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</si>
  <si>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</si>
  <si>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</si>
  <si>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</si>
  <si>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</si>
  <si>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</si>
  <si>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</si>
  <si>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</si>
  <si>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</si>
  <si>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</si>
  <si>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</si>
  <si>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</si>
  <si>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</si>
  <si>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</si>
  <si>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</si>
  <si>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</si>
  <si>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</si>
  <si>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</si>
  <si>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</si>
  <si>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</si>
  <si>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</si>
  <si>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</si>
  <si>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</si>
  <si>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</si>
  <si>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</si>
  <si>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</si>
  <si>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</si>
  <si>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</si>
  <si>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</si>
  <si>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</si>
  <si>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</si>
  <si>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</si>
  <si>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</si>
  <si>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</si>
  <si>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</si>
  <si>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</si>
  <si>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</si>
  <si>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</si>
  <si>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</si>
  <si>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</si>
  <si>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</si>
  <si>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</si>
  <si>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</si>
  <si>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</si>
  <si>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</si>
  <si>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</si>
  <si>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</si>
  <si>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</si>
  <si>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</si>
  <si>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</si>
  <si>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</si>
  <si>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</si>
  <si>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</si>
  <si>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</si>
  <si>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</si>
  <si>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</si>
  <si>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</si>
  <si>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</si>
  <si>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</si>
  <si>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</si>
  <si>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</si>
  <si>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</si>
  <si>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</si>
  <si>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</si>
  <si>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</si>
  <si>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</si>
  <si>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</si>
  <si>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</si>
  <si>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</si>
  <si>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</si>
  <si>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</si>
  <si>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</si>
  <si>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</si>
  <si>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</si>
  <si>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</si>
  <si>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</si>
  <si>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</si>
  <si>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</si>
  <si>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</si>
  <si>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</si>
  <si>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</si>
  <si>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</si>
  <si>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</si>
  <si>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</si>
  <si>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</si>
  <si>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</si>
  <si>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</si>
  <si>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</si>
  <si>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</si>
  <si>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</si>
  <si>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</si>
  <si>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</si>
  <si>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</si>
  <si>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</si>
  <si>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</si>
  <si>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</si>
  <si>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</si>
  <si>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</si>
  <si>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</si>
  <si>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</si>
  <si>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</si>
  <si>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</si>
  <si>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</si>
  <si>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</si>
  <si>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</si>
  <si>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</si>
  <si>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</si>
  <si>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</si>
  <si>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</si>
  <si>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</si>
  <si>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</si>
  <si>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</si>
  <si>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</si>
  <si>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</si>
  <si>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</si>
  <si>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</si>
  <si>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</si>
  <si>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</si>
  <si>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</si>
  <si>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</si>
  <si>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</si>
  <si>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</si>
  <si>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</si>
  <si>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</si>
  <si>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</si>
  <si>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</si>
  <si>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</si>
  <si>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</si>
  <si>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</si>
  <si>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</si>
  <si>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</si>
  <si>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</si>
  <si>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</si>
  <si>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</si>
  <si>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</si>
  <si>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</si>
  <si>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</si>
  <si>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</si>
  <si>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</si>
  <si>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</si>
  <si>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</si>
  <si>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</si>
  <si>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</si>
  <si>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</si>
  <si>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</si>
  <si>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</si>
  <si>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</si>
  <si>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</si>
  <si>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</si>
  <si>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</si>
  <si>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</si>
  <si>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</si>
  <si>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</si>
  <si>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</si>
  <si>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</si>
  <si>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</si>
  <si>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</si>
  <si>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</si>
  <si>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</si>
  <si>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</si>
  <si>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</si>
  <si>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</si>
  <si>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</si>
  <si>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</si>
  <si>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</si>
  <si>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</si>
  <si>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</si>
  <si>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</si>
  <si>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</si>
  <si>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</si>
  <si>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</si>
  <si>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</si>
  <si>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</si>
  <si>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</si>
  <si>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</si>
  <si>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</si>
  <si>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</si>
  <si>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</si>
  <si>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</si>
  <si>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</si>
  <si>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</si>
  <si>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</si>
  <si>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</si>
  <si>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</si>
  <si>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</si>
  <si>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</si>
  <si>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</si>
  <si>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</si>
  <si>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</si>
  <si>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</si>
  <si>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</si>
  <si>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</si>
  <si>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</si>
  <si>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</si>
  <si>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</si>
  <si>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</si>
  <si>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</si>
  <si>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</si>
  <si>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</si>
  <si>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</si>
  <si>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</si>
  <si>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</si>
  <si>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</si>
  <si>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</si>
  <si>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</si>
  <si>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</si>
  <si>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</si>
  <si>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</si>
  <si>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</si>
  <si>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</si>
  <si>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</si>
  <si>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</si>
  <si>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</si>
  <si>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</si>
  <si>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</si>
  <si>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</si>
  <si>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</si>
  <si>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</si>
  <si>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</si>
  <si>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</si>
  <si>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</si>
  <si>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</si>
  <si>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</si>
  <si>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</si>
  <si>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</si>
  <si>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</si>
  <si>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</si>
  <si>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</si>
  <si>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</si>
  <si>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</si>
  <si>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</si>
  <si>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</si>
  <si>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</si>
  <si>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</si>
  <si>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</si>
  <si>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</si>
  <si>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</si>
  <si>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</si>
  <si>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</si>
  <si>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</si>
  <si>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</si>
  <si>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</si>
  <si>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</si>
  <si>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</si>
  <si>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</si>
  <si>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</si>
  <si>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</si>
  <si>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</si>
  <si>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</si>
  <si>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</si>
  <si>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</si>
  <si>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</si>
  <si>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</si>
  <si>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</si>
  <si>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</si>
  <si>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</si>
  <si>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</si>
  <si>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</si>
  <si>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</si>
  <si>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</si>
  <si>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</si>
  <si>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</si>
  <si>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</si>
  <si>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</si>
  <si>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</si>
  <si>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</si>
  <si>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</si>
  <si>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</si>
  <si>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</si>
  <si>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</si>
  <si>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</si>
  <si>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</si>
  <si>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</si>
  <si>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</si>
  <si>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</si>
  <si>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</si>
  <si>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</si>
  <si>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</si>
  <si>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</si>
  <si>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</si>
  <si>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</si>
  <si>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</si>
  <si>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</si>
  <si>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</si>
  <si>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</si>
  <si>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</si>
  <si>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</si>
  <si>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</si>
  <si>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</si>
  <si>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</si>
  <si>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</si>
  <si>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</si>
  <si>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</si>
  <si>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</si>
  <si>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</si>
  <si>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</si>
  <si>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</si>
  <si>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</si>
  <si>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</si>
  <si>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</si>
  <si>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</si>
  <si>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</si>
  <si>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</si>
  <si>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</si>
  <si>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</si>
  <si>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</si>
  <si>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</si>
  <si>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</si>
  <si>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</si>
  <si>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</si>
  <si>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</si>
  <si>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</si>
  <si>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</si>
  <si>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</si>
  <si>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</si>
  <si>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</si>
  <si>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</si>
  <si>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</si>
  <si>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</si>
  <si>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</si>
  <si>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</si>
  <si>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</si>
  <si>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</si>
  <si>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</si>
  <si>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</si>
  <si>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</si>
  <si>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</si>
  <si>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</si>
  <si>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</si>
  <si>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</si>
  <si>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</si>
  <si>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</si>
  <si>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</si>
  <si>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</si>
  <si>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</si>
  <si>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</si>
  <si>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</si>
  <si>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</si>
  <si>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</si>
  <si>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</si>
  <si>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</si>
  <si>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</si>
  <si>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</si>
  <si>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</si>
  <si>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</si>
  <si>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</si>
  <si>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</si>
  <si>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</si>
  <si>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</si>
  <si>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</si>
  <si>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</si>
  <si>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</si>
  <si>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</si>
  <si>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</si>
  <si>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</si>
  <si>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</si>
  <si>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</si>
  <si>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</si>
  <si>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</si>
  <si>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</si>
  <si>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</si>
  <si>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</si>
  <si>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</si>
  <si>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</si>
  <si>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</si>
  <si>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</si>
  <si>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</si>
  <si>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</si>
  <si>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</si>
  <si>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</si>
  <si>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</si>
  <si>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</si>
  <si>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</si>
  <si>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</si>
  <si>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</si>
  <si>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</si>
  <si>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</si>
  <si>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</si>
  <si>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</si>
  <si>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</si>
  <si>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</si>
  <si>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</si>
  <si>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</si>
  <si>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</si>
  <si>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</si>
  <si>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</si>
  <si>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</si>
  <si>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</si>
  <si>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</si>
  <si>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</si>
  <si>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</si>
  <si>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</si>
  <si>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</si>
  <si>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</si>
  <si>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</si>
  <si>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</si>
  <si>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</si>
  <si>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</si>
  <si>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</si>
  <si>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</si>
  <si>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</si>
  <si>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</si>
  <si>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</si>
  <si>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</si>
  <si>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</si>
  <si>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</si>
  <si>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</si>
  <si>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</si>
  <si>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</si>
  <si>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</si>
  <si>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</si>
  <si>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</si>
  <si>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</si>
  <si>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</si>
  <si>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</si>
  <si>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</si>
  <si>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</si>
  <si>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</si>
  <si>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</si>
  <si>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</si>
  <si>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</si>
  <si>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</si>
  <si>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</si>
  <si>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</si>
  <si>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</si>
  <si>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</si>
  <si>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</si>
  <si>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</si>
  <si>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</si>
  <si>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</si>
  <si>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</si>
  <si>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</si>
  <si>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</si>
  <si>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</si>
  <si>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</si>
  <si>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</si>
  <si>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</si>
  <si>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</si>
  <si>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</si>
  <si>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</si>
  <si>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</si>
  <si>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</si>
  <si>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</si>
  <si>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</si>
  <si>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</si>
  <si>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</si>
  <si>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</si>
  <si>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</si>
  <si>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</si>
  <si>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</si>
  <si>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</si>
  <si>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</si>
  <si>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</si>
  <si>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</si>
  <si>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</si>
  <si>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</si>
  <si>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</si>
  <si>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</si>
  <si>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</si>
  <si>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</si>
  <si>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</si>
  <si>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</si>
  <si>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</si>
  <si>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</si>
  <si>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</si>
  <si>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</si>
  <si>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</si>
  <si>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</si>
  <si>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</si>
  <si>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</si>
  <si>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</si>
  <si>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</si>
  <si>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</si>
  <si>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</si>
  <si>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</si>
  <si>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</si>
  <si>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</si>
  <si>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</si>
  <si>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</si>
  <si>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</si>
  <si>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</si>
  <si>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</si>
  <si>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</si>
  <si>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</si>
  <si>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</si>
  <si>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</si>
  <si>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</si>
  <si>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</si>
  <si>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</si>
  <si>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</si>
  <si>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</si>
  <si>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</si>
  <si>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</si>
  <si>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</si>
  <si>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</si>
  <si>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</si>
  <si>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</si>
  <si>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</si>
  <si>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</si>
  <si>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</si>
  <si>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</si>
  <si>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</si>
  <si>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</si>
  <si>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</si>
  <si>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</si>
  <si>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</si>
  <si>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</si>
  <si>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</si>
  <si>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</si>
  <si>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</si>
  <si>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</si>
  <si>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</si>
  <si>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</si>
  <si>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</si>
  <si>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</si>
  <si>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</si>
  <si>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</si>
  <si>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</si>
  <si>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</si>
  <si>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</si>
  <si>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</si>
  <si>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</si>
  <si>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</si>
  <si>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</si>
  <si>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</si>
  <si>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</si>
  <si>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</si>
  <si>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</si>
  <si>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</si>
  <si>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</si>
  <si>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</si>
  <si>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</si>
  <si>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</si>
  <si>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</si>
  <si>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</si>
  <si>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</si>
  <si>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</si>
  <si>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</si>
  <si>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</si>
  <si>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</si>
  <si>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</si>
  <si>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</si>
  <si>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</si>
  <si>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</si>
  <si>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</si>
  <si>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</si>
  <si>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</si>
  <si>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</si>
  <si>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</si>
  <si>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</si>
  <si>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</si>
  <si>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</si>
  <si>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</si>
  <si>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</si>
  <si>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</si>
  <si>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</si>
  <si>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</si>
  <si>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</si>
  <si>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</si>
  <si>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</si>
  <si>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</si>
  <si>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</si>
  <si>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</si>
  <si>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</si>
  <si>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</si>
  <si>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</si>
  <si>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</si>
  <si>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</si>
  <si>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</si>
  <si>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</si>
  <si>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</si>
  <si>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</si>
  <si>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</si>
  <si>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</si>
  <si>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</si>
  <si>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</si>
  <si>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</si>
  <si>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</si>
  <si>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</si>
  <si>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</si>
  <si>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</si>
  <si>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</si>
  <si>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</si>
  <si>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</si>
  <si>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</si>
  <si>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</si>
  <si>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</si>
  <si>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</si>
  <si>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</si>
  <si>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</si>
  <si>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</si>
  <si>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</si>
  <si>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</si>
  <si>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</si>
  <si>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</si>
  <si>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</si>
  <si>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</si>
  <si>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</si>
  <si>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</si>
  <si>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</si>
  <si>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</si>
  <si>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</si>
  <si>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</si>
  <si>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</si>
  <si>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</si>
  <si>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</si>
  <si>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</si>
  <si>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</si>
  <si>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</si>
  <si>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</si>
  <si>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</si>
  <si>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</si>
  <si>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</si>
  <si>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</si>
  <si>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</si>
  <si>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</si>
  <si>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</si>
  <si>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</si>
  <si>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</si>
  <si>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</si>
  <si>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</si>
  <si>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</si>
  <si>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</si>
  <si>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</si>
  <si>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</si>
  <si>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</si>
  <si>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</si>
  <si>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</si>
  <si>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</si>
  <si>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</si>
  <si>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</si>
  <si>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</si>
  <si>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</si>
  <si>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</si>
  <si>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</si>
  <si>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</si>
  <si>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</si>
  <si>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</si>
  <si>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</si>
  <si>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</si>
  <si>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</si>
  <si>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</si>
  <si>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</si>
  <si>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</si>
  <si>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</si>
  <si>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</si>
  <si>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</si>
  <si>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</si>
  <si>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</si>
  <si>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</si>
  <si>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</si>
  <si>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</si>
  <si>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</si>
  <si>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</si>
  <si>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</si>
  <si>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</si>
  <si>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</si>
  <si>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</si>
  <si>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</si>
  <si>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</si>
  <si>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</si>
  <si>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</si>
  <si>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</si>
  <si>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</si>
  <si>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</si>
  <si>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</si>
  <si>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</si>
  <si>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</si>
  <si>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</si>
  <si>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</si>
  <si>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</si>
  <si>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</si>
  <si>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</si>
  <si>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</si>
  <si>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</si>
  <si>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</si>
  <si>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</si>
  <si>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</si>
  <si>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</si>
  <si>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</si>
  <si>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</si>
  <si>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</si>
  <si>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</si>
  <si>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</si>
  <si>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</si>
  <si>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</si>
  <si>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</si>
  <si>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</si>
  <si>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</si>
  <si>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</si>
  <si>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</si>
  <si>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</si>
  <si>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</si>
  <si>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</si>
  <si>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</si>
  <si>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</si>
  <si>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</si>
  <si>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</si>
  <si>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</si>
  <si>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</si>
  <si>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</si>
  <si>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</si>
  <si>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</si>
  <si>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</si>
  <si>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</si>
  <si>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</si>
  <si>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</si>
  <si>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</si>
  <si>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</si>
  <si>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</si>
  <si>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</si>
  <si>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</si>
  <si>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</si>
  <si>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</si>
  <si>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</si>
  <si>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</si>
  <si>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</si>
  <si>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</si>
  <si>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</si>
  <si>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</si>
  <si>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</si>
  <si>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</si>
  <si>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</si>
  <si>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</si>
  <si>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</si>
  <si>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</si>
  <si>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</si>
  <si>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</si>
  <si>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</si>
  <si>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</si>
  <si>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</si>
  <si>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</si>
  <si>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</si>
  <si>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</si>
  <si>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</si>
  <si>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</si>
  <si>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</si>
  <si>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</si>
  <si>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</si>
  <si>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</si>
  <si>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</si>
  <si>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</si>
  <si>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</si>
  <si>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</si>
  <si>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</si>
  <si>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</si>
  <si>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</si>
  <si>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</si>
  <si>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</si>
  <si>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</si>
  <si>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</si>
  <si>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</si>
  <si>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</si>
  <si>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</si>
  <si>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</si>
  <si>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</si>
  <si>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</si>
  <si>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</si>
  <si>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</si>
  <si>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</si>
  <si>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</si>
  <si>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</si>
  <si>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</si>
  <si>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</si>
  <si>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</si>
  <si>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</si>
  <si>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</si>
  <si>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</si>
  <si>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</si>
  <si>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</si>
  <si>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</si>
  <si>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</si>
  <si>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</si>
  <si>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</si>
  <si>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</si>
  <si>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</si>
  <si>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</si>
  <si>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</si>
  <si>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</si>
  <si>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</si>
  <si>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</si>
  <si>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</si>
  <si>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</si>
  <si>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</si>
  <si>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</si>
  <si>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</si>
  <si>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</si>
  <si>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</si>
  <si>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</si>
  <si>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</si>
  <si>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</si>
  <si>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</si>
  <si>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</si>
  <si>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</si>
  <si>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</si>
  <si>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</si>
  <si>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</si>
  <si>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</si>
  <si>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</si>
  <si>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</si>
  <si>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</si>
  <si>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</si>
  <si>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</si>
  <si>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</si>
  <si>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</si>
  <si>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</si>
  <si>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</si>
  <si>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</si>
  <si>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</si>
  <si>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</si>
  <si>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</si>
  <si>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</si>
  <si>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</si>
  <si>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</si>
  <si>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</si>
  <si>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</si>
  <si>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</si>
  <si>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</si>
  <si>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</si>
  <si>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</si>
  <si>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</si>
  <si>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</si>
  <si>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</si>
  <si>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</si>
  <si>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</si>
  <si>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</si>
  <si>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</si>
  <si>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</si>
  <si>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</si>
  <si>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</si>
  <si>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</si>
  <si>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</si>
  <si>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</si>
  <si>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</si>
  <si>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</si>
  <si>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</si>
  <si>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</si>
  <si>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</si>
  <si>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</si>
  <si>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</si>
  <si>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</si>
  <si>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</si>
  <si>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</si>
  <si>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</si>
  <si>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</si>
  <si>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</si>
  <si>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</si>
  <si>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</si>
  <si>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</si>
  <si>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</si>
  <si>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</si>
  <si>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</si>
  <si>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</si>
  <si>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</si>
  <si>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</si>
  <si>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</si>
  <si>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</si>
  <si>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</si>
  <si>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</si>
  <si>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</si>
  <si>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</si>
  <si>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</si>
  <si>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</si>
  <si>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</si>
  <si>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</si>
  <si>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</si>
  <si>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</si>
  <si>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</si>
  <si>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</si>
  <si>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</si>
  <si>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</si>
  <si>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</si>
  <si>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</si>
  <si>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</si>
  <si>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</si>
  <si>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</si>
  <si>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</si>
  <si>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</si>
  <si>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</si>
  <si>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</si>
  <si>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</si>
  <si>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</si>
  <si>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</si>
  <si>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</si>
  <si>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</si>
  <si>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</si>
  <si>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</si>
  <si>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</si>
  <si>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</si>
  <si>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</si>
  <si>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</si>
  <si>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</si>
  <si>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</si>
  <si>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</si>
  <si>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</si>
  <si>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</si>
  <si>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</si>
  <si>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</si>
  <si>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</si>
  <si>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</si>
  <si>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</si>
  <si>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</si>
  <si>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</si>
  <si>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</si>
  <si>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</si>
  <si>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</si>
  <si>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</si>
  <si>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</si>
  <si>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</si>
  <si>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</si>
  <si>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</si>
  <si>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</si>
  <si>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</si>
  <si>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</si>
  <si>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</si>
  <si>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</si>
  <si>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</si>
  <si>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</si>
  <si>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</si>
  <si>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</si>
  <si>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</si>
  <si>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</si>
  <si>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</si>
  <si>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</si>
  <si>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</si>
  <si>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</si>
  <si>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</si>
  <si>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</si>
  <si>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</si>
  <si>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</si>
  <si>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</si>
  <si>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</si>
  <si>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</si>
  <si>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</si>
  <si>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</si>
  <si>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</si>
  <si>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</si>
  <si>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</si>
  <si>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</si>
  <si>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</si>
  <si>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</si>
  <si>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</si>
  <si>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</si>
  <si>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</si>
  <si>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</si>
  <si>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</si>
  <si>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</si>
  <si>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</si>
  <si>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</si>
  <si>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</si>
  <si>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</si>
  <si>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</si>
  <si>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</si>
  <si>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</si>
  <si>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</si>
  <si>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</si>
  <si>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</si>
  <si>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</si>
  <si>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</si>
  <si>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</si>
  <si>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</si>
  <si>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</si>
  <si>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</si>
  <si>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</si>
  <si>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</si>
  <si>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</si>
  <si>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</si>
  <si>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</si>
  <si>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</si>
  <si>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</si>
  <si>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</si>
  <si>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</si>
  <si>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</si>
  <si>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</si>
  <si>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</si>
  <si>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</si>
  <si>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</si>
  <si>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</si>
  <si>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</si>
  <si>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</si>
  <si>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</si>
  <si>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</si>
  <si>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</si>
  <si>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</si>
  <si>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</si>
  <si>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</si>
  <si>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</si>
  <si>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</si>
  <si>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</si>
  <si>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</si>
  <si>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</si>
  <si>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</si>
  <si>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</si>
  <si>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</si>
  <si>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</si>
  <si>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</si>
  <si>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</si>
  <si>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</si>
  <si>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</si>
  <si>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</si>
  <si>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</si>
  <si>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</si>
  <si>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</si>
  <si>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</si>
  <si>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</si>
  <si>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</si>
  <si>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</si>
  <si>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</si>
  <si>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</si>
  <si>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</si>
  <si>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</si>
  <si>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</si>
  <si>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</si>
  <si>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</si>
  <si>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</si>
  <si>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</si>
  <si>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</si>
  <si>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</si>
  <si>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</si>
  <si>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</si>
  <si>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</si>
  <si>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</si>
  <si>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</si>
  <si>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</si>
  <si>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</si>
  <si>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</si>
  <si>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</si>
  <si>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</si>
  <si>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</si>
  <si>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</si>
  <si>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</si>
  <si>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</si>
  <si>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</si>
  <si>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</si>
  <si>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</si>
  <si>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</si>
  <si>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</si>
  <si>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</si>
  <si>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</si>
  <si>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</si>
  <si>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</si>
  <si>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</si>
  <si>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</si>
  <si>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</si>
  <si>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</si>
  <si>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</si>
  <si>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</si>
  <si>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</si>
  <si>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</si>
  <si>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</si>
  <si>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</si>
  <si>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</si>
  <si>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</si>
  <si>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</si>
  <si>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</si>
  <si>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</si>
  <si>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</si>
  <si>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</si>
  <si>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</si>
  <si>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</si>
  <si>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</si>
  <si>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</si>
  <si>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</si>
  <si>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</si>
  <si>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</si>
  <si>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</si>
  <si>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</si>
  <si>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</si>
  <si>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</si>
  <si>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</si>
  <si>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</si>
  <si>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</si>
  <si>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</si>
  <si>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</si>
  <si>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</si>
  <si>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</si>
  <si>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</si>
  <si>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</si>
  <si>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</si>
  <si>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</si>
  <si>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</si>
  <si>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</si>
  <si>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</si>
  <si>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</si>
  <si>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</si>
  <si>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</si>
  <si>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</si>
  <si>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</si>
  <si>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</si>
  <si>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</si>
  <si>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</si>
  <si>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</si>
  <si>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</si>
  <si>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</si>
  <si>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</si>
  <si>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</si>
  <si>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</si>
  <si>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</si>
  <si>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</si>
  <si>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</si>
  <si>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</si>
  <si>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</si>
  <si>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</si>
  <si>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</si>
  <si>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</si>
  <si>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</si>
  <si>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</si>
  <si>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</si>
  <si>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</si>
  <si>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</si>
  <si>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</si>
  <si>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</si>
  <si>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</si>
  <si>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</si>
  <si>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</si>
  <si>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</si>
  <si>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</si>
  <si>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</si>
  <si>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</si>
  <si>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</si>
  <si>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</si>
  <si>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</si>
  <si>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</si>
  <si>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</si>
  <si>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</si>
  <si>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</si>
  <si>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</si>
  <si>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</si>
  <si>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</si>
  <si>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</si>
  <si>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</si>
  <si>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</si>
  <si>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</si>
  <si>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</si>
  <si>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</si>
  <si>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</si>
  <si>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</si>
  <si>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</si>
  <si>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</si>
  <si>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</si>
  <si>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</si>
  <si>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</si>
  <si>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</si>
  <si>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</si>
  <si>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</si>
  <si>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</si>
  <si>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</si>
  <si>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</si>
  <si>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</si>
  <si>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</si>
  <si>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</si>
  <si>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</si>
  <si>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</si>
  <si>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</si>
  <si>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</si>
  <si>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</si>
  <si>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</si>
  <si>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</si>
  <si>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</si>
  <si>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</si>
  <si>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</si>
  <si>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</si>
  <si>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</si>
  <si>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</si>
  <si>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</si>
  <si>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</si>
  <si>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</si>
  <si>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</si>
  <si>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</si>
  <si>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</si>
  <si>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</si>
  <si>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</si>
  <si>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</si>
  <si>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</si>
  <si>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</si>
  <si>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</si>
  <si>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</si>
  <si>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</si>
  <si>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</si>
  <si>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</si>
  <si>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</si>
  <si>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</si>
  <si>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</si>
  <si>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</si>
  <si>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</si>
  <si>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</si>
  <si>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</si>
  <si>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</si>
  <si>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</si>
  <si>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</si>
  <si>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</si>
  <si>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</si>
  <si>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</si>
  <si>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</si>
  <si>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</si>
  <si>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</si>
  <si>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</si>
  <si>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</si>
  <si>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</si>
  <si>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</si>
  <si>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</si>
  <si>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</si>
  <si>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</si>
  <si>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</si>
  <si>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</si>
  <si>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</si>
  <si>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</si>
  <si>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</si>
  <si>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</si>
  <si>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</si>
  <si>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</si>
  <si>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</si>
  <si>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</si>
  <si>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</si>
  <si>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</si>
  <si>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</si>
  <si>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</si>
  <si>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</si>
  <si>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</si>
  <si>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</si>
  <si>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</si>
  <si>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</si>
  <si>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</si>
  <si>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</si>
  <si>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</si>
  <si>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</si>
  <si>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</si>
  <si>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</si>
  <si>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</si>
  <si>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</si>
  <si>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</si>
  <si>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</si>
  <si>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</si>
  <si>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</si>
  <si>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</si>
  <si>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</si>
  <si>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</si>
  <si>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</si>
  <si>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</si>
  <si>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</si>
  <si>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</si>
  <si>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</si>
  <si>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</si>
  <si>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</si>
  <si>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</si>
  <si>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</si>
  <si>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</si>
  <si>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</si>
  <si>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</si>
  <si>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</si>
  <si>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</si>
  <si>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</si>
  <si>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</si>
  <si>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</si>
  <si>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</si>
  <si>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</si>
  <si>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</si>
  <si>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</si>
  <si>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</si>
  <si>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</si>
  <si>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</si>
  <si>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</si>
  <si>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</si>
  <si>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</si>
  <si>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</si>
  <si>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</si>
  <si>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</si>
  <si>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</si>
  <si>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</si>
  <si>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</si>
  <si>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</si>
  <si>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</si>
  <si>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</si>
  <si>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</si>
  <si>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</si>
  <si>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</si>
  <si>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</si>
  <si>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</si>
  <si>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</si>
  <si>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</si>
  <si>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</si>
  <si>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</si>
  <si>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</si>
  <si>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</si>
  <si>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</si>
  <si>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</si>
  <si>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</si>
  <si>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</si>
  <si>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</si>
  <si>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</si>
  <si>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</si>
  <si>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</si>
  <si>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</si>
  <si>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</si>
  <si>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</si>
  <si>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</si>
  <si>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</si>
  <si>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</si>
  <si>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</si>
  <si>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</si>
  <si>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</si>
  <si>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</si>
  <si>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</si>
  <si>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</si>
  <si>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</si>
  <si>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</si>
  <si>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</si>
  <si>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</si>
  <si>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</si>
  <si>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</si>
  <si>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</si>
  <si>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</si>
  <si>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</si>
  <si>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</si>
  <si>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</si>
  <si>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</si>
  <si>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</si>
  <si>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</si>
  <si>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</si>
  <si>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</si>
  <si>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</si>
  <si>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</si>
  <si>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</si>
  <si>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</si>
  <si>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</si>
  <si>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</si>
  <si>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</si>
  <si>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</si>
  <si>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</si>
  <si>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</si>
  <si>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</si>
  <si>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</si>
  <si>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</si>
  <si>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</si>
  <si>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</si>
  <si>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</si>
  <si>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</si>
  <si>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</si>
  <si>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</si>
  <si>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</si>
  <si>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</si>
  <si>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</si>
  <si>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</si>
  <si>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</si>
  <si>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</si>
  <si>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</si>
  <si>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</si>
  <si>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</si>
  <si>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</si>
  <si>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</si>
  <si>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</si>
  <si>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</si>
  <si>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</si>
  <si>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</si>
  <si>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</si>
  <si>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</si>
  <si>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</si>
  <si>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</si>
  <si>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</si>
  <si>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</si>
  <si>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</si>
  <si>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</si>
  <si>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</si>
  <si>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</si>
  <si>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</si>
  <si>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</si>
  <si>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</si>
  <si>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</si>
  <si>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</si>
  <si>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</si>
  <si>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</si>
  <si>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</si>
  <si>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</si>
  <si>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</si>
  <si>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</si>
  <si>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</si>
  <si>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</si>
  <si>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</si>
  <si>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</si>
  <si>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</si>
  <si>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</si>
  <si>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</si>
  <si>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</si>
  <si>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</si>
  <si>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</si>
  <si>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</si>
  <si>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</si>
  <si>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</si>
  <si>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</si>
  <si>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</si>
  <si>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</si>
  <si>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</si>
  <si>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</si>
  <si>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</si>
  <si>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</si>
  <si>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</si>
  <si>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</si>
  <si>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</si>
  <si>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</si>
  <si>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</si>
  <si>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</si>
  <si>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</si>
  <si>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</si>
  <si>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</si>
  <si>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</si>
  <si>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</si>
  <si>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</si>
  <si>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</si>
  <si>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</si>
  <si>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</si>
  <si>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</si>
  <si>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</si>
  <si>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</si>
  <si>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</si>
  <si>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</si>
  <si>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</si>
  <si>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</si>
  <si>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</si>
  <si>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</si>
  <si>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</si>
  <si>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</si>
  <si>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</si>
  <si>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</si>
  <si>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</si>
  <si>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</si>
  <si>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</si>
  <si>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</si>
  <si>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</si>
  <si>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</si>
  <si>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</si>
  <si>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</si>
  <si>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</si>
  <si>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</si>
  <si>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</si>
  <si>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</si>
  <si>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</si>
  <si>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</si>
  <si>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</si>
  <si>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</si>
  <si>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</si>
  <si>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</si>
  <si>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</si>
  <si>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</si>
  <si>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</si>
  <si>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</si>
  <si>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</si>
  <si>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</si>
  <si>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</si>
  <si>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</si>
  <si>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</si>
  <si>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</si>
  <si>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</si>
  <si>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</si>
  <si>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</si>
  <si>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</si>
  <si>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</si>
  <si>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</si>
  <si>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</si>
  <si>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</si>
  <si>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</si>
  <si>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</si>
  <si>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</si>
  <si>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</si>
  <si>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</si>
  <si>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</si>
  <si>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</si>
  <si>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</si>
  <si>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</si>
  <si>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</si>
  <si>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</si>
  <si>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</si>
  <si>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</si>
  <si>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</si>
  <si>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</si>
  <si>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</si>
  <si>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</si>
  <si>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</si>
  <si>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</si>
  <si>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</si>
  <si>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</si>
  <si>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</si>
  <si>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</si>
  <si>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</si>
  <si>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</si>
  <si>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</si>
  <si>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</si>
  <si>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</si>
  <si>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</si>
  <si>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</si>
  <si>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</si>
  <si>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</si>
  <si>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</si>
  <si>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</si>
  <si>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</si>
  <si>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</si>
  <si>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</si>
  <si>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</si>
  <si>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</si>
  <si>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</si>
  <si>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</si>
  <si>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</si>
  <si>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</si>
  <si>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</si>
  <si>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</si>
  <si>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</si>
  <si>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</si>
  <si>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</si>
  <si>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</si>
  <si>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</si>
  <si>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</si>
  <si>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</si>
  <si>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</si>
  <si>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</si>
  <si>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</si>
  <si>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</si>
  <si>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</si>
  <si>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</si>
  <si>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</si>
  <si>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</si>
  <si>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</si>
  <si>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</si>
  <si>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</si>
  <si>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</si>
  <si>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</si>
  <si>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</si>
  <si>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</si>
  <si>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</si>
  <si>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</si>
  <si>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</si>
  <si>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</si>
  <si>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</si>
  <si>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</si>
  <si>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</si>
  <si>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</si>
  <si>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</si>
  <si>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</si>
  <si>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</si>
  <si>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</si>
  <si>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</si>
  <si>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</si>
  <si>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</si>
  <si>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</si>
  <si>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</si>
  <si>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</si>
  <si>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</si>
  <si>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</si>
  <si>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</si>
  <si>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</si>
  <si>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</si>
  <si>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</si>
  <si>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</si>
  <si>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</si>
  <si>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</si>
  <si>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</si>
  <si>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</si>
  <si>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</si>
  <si>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</si>
  <si>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</si>
  <si>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</si>
  <si>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</si>
  <si>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</si>
  <si>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</si>
  <si>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</si>
  <si>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</si>
  <si>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</si>
  <si>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</si>
  <si>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</si>
  <si>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</si>
  <si>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</si>
  <si>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</si>
  <si>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</si>
  <si>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</si>
  <si>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</si>
  <si>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</si>
  <si>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</si>
  <si>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</si>
  <si>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</si>
  <si>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</si>
  <si>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</si>
  <si>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</si>
  <si>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</si>
  <si>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</si>
  <si>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</si>
  <si>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</si>
  <si>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</si>
  <si>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</si>
  <si>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</si>
  <si>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</si>
  <si>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</si>
  <si>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</si>
  <si>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</si>
  <si>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</si>
  <si>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</si>
  <si>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</si>
  <si>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</si>
  <si>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</si>
  <si>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</si>
  <si>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</si>
  <si>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</si>
  <si>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</si>
  <si>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</si>
  <si>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</si>
  <si>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</si>
  <si>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</si>
  <si>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</si>
  <si>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</si>
  <si>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</si>
  <si>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</si>
  <si>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</si>
  <si>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</si>
  <si>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</si>
  <si>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</si>
  <si>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</si>
  <si>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</si>
  <si>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</si>
  <si>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</si>
  <si>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</si>
  <si>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</si>
  <si>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</si>
  <si>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</si>
  <si>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</si>
  <si>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</si>
  <si>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</si>
  <si>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</si>
  <si>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</si>
  <si>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</si>
  <si>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</si>
  <si>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</si>
  <si>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</si>
  <si>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</si>
  <si>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</si>
  <si>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</si>
  <si>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</si>
  <si>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</si>
  <si>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</si>
  <si>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</si>
  <si>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</si>
  <si>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</si>
  <si>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</si>
  <si>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</si>
  <si>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</si>
  <si>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</si>
  <si>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</si>
  <si>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</si>
  <si>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</si>
  <si>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</si>
  <si>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</si>
  <si>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</si>
  <si>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</si>
  <si>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</si>
  <si>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</si>
  <si>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</si>
  <si>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</si>
  <si>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</si>
  <si>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</si>
  <si>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</si>
  <si>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</si>
  <si>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</si>
  <si>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</si>
  <si>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</si>
  <si>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</si>
  <si>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</si>
  <si>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</si>
  <si>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</si>
  <si>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</si>
  <si>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</si>
  <si>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</si>
  <si>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</si>
  <si>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</si>
  <si>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</si>
  <si>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</si>
  <si>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</si>
  <si>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</si>
  <si>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</si>
  <si>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</si>
  <si>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</si>
  <si>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</si>
  <si>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</si>
  <si>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</si>
  <si>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</si>
  <si>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</si>
  <si>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</si>
  <si>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</si>
  <si>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</si>
  <si>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</si>
  <si>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</si>
  <si>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</si>
  <si>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</si>
  <si>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</si>
  <si>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</si>
  <si>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</si>
  <si>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</si>
  <si>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</si>
  <si>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</si>
  <si>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</si>
  <si>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</si>
  <si>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</si>
  <si>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</si>
  <si>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</si>
  <si>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</si>
  <si>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</si>
  <si>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</si>
  <si>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</si>
  <si>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</si>
  <si>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</si>
  <si>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</si>
  <si>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</si>
  <si>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</si>
  <si>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</si>
  <si>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</si>
  <si>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</si>
  <si>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</si>
  <si>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</si>
  <si>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</si>
  <si>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</si>
  <si>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</si>
  <si>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</si>
  <si>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</si>
  <si>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</si>
  <si>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</si>
  <si>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</si>
  <si>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</si>
  <si>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</si>
  <si>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</si>
  <si>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</si>
  <si>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</si>
  <si>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</si>
  <si>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</si>
  <si>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</si>
  <si>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</si>
  <si>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</si>
  <si>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</si>
  <si>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</si>
  <si>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</si>
  <si>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</si>
  <si>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</si>
  <si>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</si>
  <si>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</si>
  <si>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</si>
  <si>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</si>
  <si>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</si>
  <si>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</si>
  <si>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</si>
  <si>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</si>
  <si>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</si>
  <si>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</si>
  <si>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</si>
  <si>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</si>
  <si>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</si>
  <si>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</si>
  <si>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</si>
  <si>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</si>
  <si>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</si>
  <si>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</si>
  <si>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</si>
  <si>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</si>
  <si>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</si>
  <si>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</si>
  <si>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</si>
  <si>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</si>
  <si>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</si>
  <si>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</si>
  <si>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</si>
  <si>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</si>
  <si>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</si>
  <si>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</si>
  <si>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</si>
  <si>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</si>
  <si>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</si>
  <si>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</si>
  <si>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</si>
  <si>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</si>
  <si>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</si>
  <si>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</si>
  <si>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</si>
  <si>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</si>
  <si>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</si>
  <si>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</si>
  <si>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</si>
  <si>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</si>
  <si>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</si>
  <si>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</si>
  <si>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</si>
  <si>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</si>
  <si>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</si>
  <si>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</si>
  <si>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</si>
  <si>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</si>
  <si>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</si>
  <si>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</si>
  <si>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</si>
  <si>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</si>
  <si>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</si>
  <si>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</si>
  <si>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</si>
  <si>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</si>
  <si>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</si>
  <si>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</si>
  <si>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</si>
  <si>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</si>
  <si>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</si>
  <si>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</si>
  <si>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</si>
  <si>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</si>
  <si>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</si>
  <si>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</si>
  <si>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</si>
  <si>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</si>
  <si>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</si>
  <si>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</si>
  <si>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</si>
  <si>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</si>
  <si>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</si>
  <si>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</si>
  <si>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</si>
  <si>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</si>
  <si>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</si>
  <si>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</si>
  <si>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</si>
  <si>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</si>
  <si>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</si>
  <si>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</si>
  <si>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</si>
  <si>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</si>
  <si>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</si>
  <si>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</si>
  <si>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</si>
  <si>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</si>
  <si>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</si>
  <si>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</si>
  <si>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</si>
  <si>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</si>
  <si>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</si>
  <si>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</si>
  <si>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</si>
  <si>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</si>
  <si>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</si>
  <si>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</si>
  <si>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</si>
  <si>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</si>
  <si>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</si>
  <si>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</si>
  <si>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</si>
  <si>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</si>
  <si>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</si>
  <si>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</si>
  <si>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</si>
  <si>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</si>
  <si>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</si>
  <si>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</si>
  <si>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</si>
  <si>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</si>
  <si>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</si>
  <si>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</si>
  <si>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</si>
  <si>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</si>
  <si>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</si>
  <si>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</si>
  <si>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</si>
  <si>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</si>
  <si>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</si>
  <si>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</si>
  <si>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</si>
  <si>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</si>
  <si>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</si>
  <si>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</si>
  <si>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</si>
  <si>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</si>
  <si>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</si>
  <si>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</si>
  <si>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</si>
  <si>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</si>
  <si>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</si>
  <si>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</si>
  <si>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</si>
  <si>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</si>
  <si>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</si>
  <si>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</si>
  <si>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</si>
  <si>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</si>
  <si>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</si>
  <si>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</si>
  <si>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</si>
  <si>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</si>
  <si>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</si>
  <si>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</si>
  <si>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</si>
  <si>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</si>
  <si>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</si>
  <si>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</si>
  <si>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</si>
  <si>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</si>
  <si>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</si>
  <si>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</si>
  <si>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</si>
  <si>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</si>
  <si>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</si>
  <si>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</si>
  <si>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</si>
  <si>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</si>
  <si>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</si>
  <si>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</si>
  <si>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</si>
  <si>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</si>
  <si>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</si>
  <si>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</si>
  <si>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</si>
  <si>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</si>
  <si>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</si>
  <si>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</si>
  <si>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</si>
  <si>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</si>
  <si>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</si>
  <si>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</si>
  <si>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</si>
  <si>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</si>
  <si>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</si>
  <si>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</si>
  <si>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</si>
  <si>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</si>
  <si>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</si>
  <si>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</si>
  <si>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</si>
  <si>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</si>
  <si>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</si>
  <si>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</si>
  <si>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</si>
  <si>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</si>
  <si>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</si>
  <si>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</si>
  <si>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</si>
  <si>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</si>
  <si>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</si>
  <si>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</si>
  <si>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</si>
  <si>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</si>
  <si>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</si>
  <si>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</si>
  <si>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</si>
  <si>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</si>
  <si>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</si>
  <si>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</si>
  <si>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</si>
  <si>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</si>
  <si>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</si>
  <si>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</si>
  <si>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</si>
  <si>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</si>
  <si>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</si>
  <si>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</si>
  <si>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</si>
  <si>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</si>
  <si>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</si>
  <si>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</si>
  <si>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</si>
  <si>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</si>
  <si>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</si>
  <si>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</si>
  <si>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</si>
  <si>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</si>
  <si>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</si>
  <si>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</si>
  <si>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</si>
  <si>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</si>
  <si>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</si>
  <si>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</si>
  <si>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</si>
  <si>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</si>
  <si>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</si>
  <si>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</si>
  <si>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</si>
  <si>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</si>
  <si>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</si>
  <si>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</si>
  <si>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</si>
  <si>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</si>
  <si>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</si>
  <si>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</si>
  <si>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</si>
  <si>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</si>
  <si>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</si>
  <si>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</si>
  <si>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</si>
  <si>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</si>
  <si>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</si>
  <si>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</si>
  <si>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</si>
  <si>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</si>
  <si>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</si>
  <si>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</si>
  <si>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</si>
  <si>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</si>
  <si>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</si>
  <si>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</si>
  <si>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</si>
  <si>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</si>
  <si>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</si>
  <si>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</si>
  <si>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</si>
  <si>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</si>
  <si>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</si>
  <si>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</si>
  <si>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</si>
  <si>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</si>
  <si>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</si>
  <si>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</si>
  <si>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</si>
  <si>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</si>
  <si>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</si>
  <si>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</si>
  <si>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</si>
  <si>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</si>
  <si>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</si>
  <si>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</si>
  <si>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</si>
  <si>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</si>
  <si>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</si>
  <si>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</si>
  <si>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</si>
  <si>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</si>
  <si>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</si>
  <si>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</si>
  <si>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</si>
  <si>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</si>
  <si>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</si>
  <si>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</si>
  <si>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</si>
  <si>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</si>
  <si>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</si>
  <si>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</si>
  <si>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</si>
  <si>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</si>
  <si>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</si>
  <si>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</si>
  <si>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</si>
  <si>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</si>
  <si>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</si>
  <si>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</si>
  <si>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</si>
  <si>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</si>
  <si>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</si>
  <si>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</si>
  <si>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</si>
  <si>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</si>
  <si>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</si>
  <si>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</si>
  <si>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</si>
  <si>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</si>
  <si>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</si>
  <si>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</si>
  <si>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</si>
  <si>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</si>
  <si>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</si>
  <si>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</si>
  <si>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</si>
  <si>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</si>
  <si>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</si>
  <si>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</si>
  <si>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</si>
  <si>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</si>
  <si>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</si>
  <si>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</si>
  <si>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</si>
  <si>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</si>
  <si>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</si>
  <si>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</si>
  <si>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</si>
  <si>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</si>
  <si>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</si>
  <si>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</si>
  <si>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</si>
  <si>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</si>
  <si>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</si>
  <si>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</si>
  <si>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</si>
  <si>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</si>
  <si>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</si>
  <si>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</si>
  <si>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</si>
  <si>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</si>
  <si>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</si>
  <si>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</si>
  <si>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</si>
  <si>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</si>
  <si>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</si>
  <si>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</si>
  <si>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</si>
  <si>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</si>
  <si>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</si>
  <si>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</si>
  <si>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</si>
  <si>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</si>
  <si>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</si>
  <si>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</si>
  <si>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</si>
  <si>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</si>
  <si>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</si>
  <si>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</si>
  <si>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</si>
  <si>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</si>
  <si>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</si>
  <si>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</si>
  <si>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</si>
  <si>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</si>
  <si>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</si>
  <si>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</si>
  <si>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</si>
  <si>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</si>
  <si>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</si>
  <si>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</si>
  <si>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</si>
  <si>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</si>
  <si>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</si>
  <si>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</si>
  <si>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</si>
  <si>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</si>
  <si>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</si>
  <si>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</si>
  <si>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</si>
  <si>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</si>
  <si>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</si>
  <si>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</si>
  <si>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</si>
  <si>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</si>
  <si>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</si>
  <si>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</si>
  <si>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</si>
  <si>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</si>
  <si>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</si>
  <si>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</si>
  <si>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</si>
  <si>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</si>
  <si>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</si>
  <si>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</si>
  <si>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</si>
  <si>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</si>
  <si>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</si>
  <si>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</si>
  <si>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</si>
  <si>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</si>
  <si>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</si>
  <si>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</si>
  <si>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</si>
  <si>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</si>
  <si>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</si>
  <si>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</si>
  <si>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</si>
  <si>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</si>
  <si>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</si>
  <si>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</si>
  <si>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</si>
  <si>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</si>
  <si>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</si>
  <si>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</si>
  <si>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</si>
  <si>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</si>
  <si>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</si>
  <si>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</si>
  <si>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</si>
  <si>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</si>
  <si>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</si>
  <si>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</si>
  <si>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</si>
  <si>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</si>
  <si>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</si>
  <si>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</si>
  <si>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</si>
  <si>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</si>
  <si>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</si>
  <si>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</si>
  <si>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</si>
  <si>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</si>
  <si>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</si>
  <si>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</si>
  <si>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</si>
  <si>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</si>
  <si>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</si>
  <si>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</si>
  <si>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</si>
  <si>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</si>
  <si>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</si>
  <si>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</si>
  <si>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</si>
  <si>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</si>
  <si>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</si>
  <si>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</si>
  <si>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</si>
  <si>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</si>
  <si>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</si>
  <si>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</si>
  <si>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</si>
  <si>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</si>
  <si>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</si>
  <si>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</si>
  <si>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</si>
  <si>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</si>
  <si>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</si>
  <si>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</si>
  <si>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</si>
  <si>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</si>
  <si>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</si>
  <si>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</si>
  <si>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</si>
  <si>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</si>
  <si>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</si>
  <si>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</si>
  <si>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</si>
  <si>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</si>
  <si>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</si>
  <si>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</si>
  <si>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</si>
  <si>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</si>
  <si>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</si>
  <si>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</si>
  <si>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</si>
  <si>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</si>
  <si>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</si>
  <si>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</si>
  <si>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</si>
  <si>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</si>
  <si>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</si>
  <si>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</si>
  <si>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</si>
  <si>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</si>
  <si>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</si>
  <si>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</si>
  <si>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</si>
  <si>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</si>
  <si>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</si>
  <si>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</si>
  <si>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</si>
  <si>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</si>
  <si>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</si>
  <si>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</si>
  <si>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</si>
  <si>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</si>
  <si>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</si>
  <si>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</si>
  <si>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</si>
  <si>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</si>
  <si>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</si>
  <si>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</si>
  <si>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</si>
  <si>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</si>
  <si>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</si>
  <si>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</si>
  <si>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</si>
  <si>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</si>
  <si>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</si>
  <si>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</si>
  <si>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</si>
  <si>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</si>
  <si>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</si>
  <si>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</si>
  <si>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</si>
  <si>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</si>
  <si>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</si>
  <si>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</si>
  <si>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</si>
  <si>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</si>
  <si>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</si>
  <si>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</si>
  <si>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</si>
  <si>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</si>
  <si>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</si>
  <si>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</si>
  <si>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</si>
  <si>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</si>
  <si>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</si>
  <si>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</si>
  <si>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</si>
  <si>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</si>
  <si>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</si>
  <si>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</si>
  <si>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</si>
  <si>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</si>
  <si>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</si>
  <si>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</si>
  <si>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</si>
  <si>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</si>
  <si>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</si>
  <si>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</si>
  <si>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</si>
  <si>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</si>
  <si>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</si>
  <si>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</si>
  <si>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</si>
  <si>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</si>
  <si>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</si>
  <si>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</si>
  <si>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</si>
  <si>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</si>
  <si>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</si>
  <si>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</si>
  <si>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</si>
  <si>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</si>
  <si>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</si>
  <si>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</si>
  <si>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</si>
  <si>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</si>
  <si>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</si>
  <si>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</si>
  <si>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</si>
  <si>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</si>
  <si>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</si>
  <si>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</si>
  <si>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</si>
  <si>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</si>
  <si>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</si>
  <si>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</si>
  <si>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</si>
  <si>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</si>
  <si>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</si>
  <si>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</si>
  <si>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</si>
  <si>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</si>
  <si>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</si>
  <si>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</si>
  <si>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</si>
  <si>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</si>
  <si>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</si>
  <si>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</si>
  <si>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</si>
  <si>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</si>
  <si>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</si>
  <si>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</si>
  <si>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</si>
  <si>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</si>
  <si>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</si>
  <si>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</si>
  <si>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</si>
  <si>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</si>
  <si>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</si>
  <si>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</si>
  <si>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</si>
  <si>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</si>
  <si>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</si>
  <si>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</si>
  <si>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</si>
  <si>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</si>
  <si>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</si>
  <si>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</si>
  <si>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</si>
  <si>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</si>
  <si>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</si>
  <si>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</si>
  <si>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</si>
  <si>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</si>
  <si>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</si>
  <si>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</si>
  <si>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</si>
  <si>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</si>
  <si>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</si>
  <si>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</si>
  <si>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</si>
  <si>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</si>
  <si>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</si>
  <si>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</si>
  <si>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</si>
  <si>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</si>
  <si>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</si>
  <si>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</si>
  <si>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</si>
  <si>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</si>
  <si>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</si>
  <si>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</si>
  <si>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</si>
  <si>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</si>
  <si>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</si>
  <si>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</si>
  <si>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</si>
  <si>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</si>
  <si>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</si>
  <si>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</si>
  <si>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</si>
  <si>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</si>
  <si>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</si>
  <si>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</si>
  <si>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</si>
  <si>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</si>
  <si>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</si>
  <si>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</si>
  <si>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</si>
  <si>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</si>
  <si>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</si>
  <si>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</si>
  <si>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</si>
  <si>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</si>
  <si>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</si>
  <si>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</si>
  <si>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</si>
  <si>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</si>
  <si>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</si>
  <si>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</si>
  <si>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</si>
  <si>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</si>
  <si>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</si>
  <si>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</si>
  <si>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</si>
  <si>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</si>
  <si>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</si>
  <si>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</si>
  <si>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</si>
  <si>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</si>
  <si>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</si>
  <si>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</si>
  <si>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</si>
  <si>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</si>
  <si>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</si>
  <si>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</si>
  <si>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</si>
  <si>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</si>
  <si>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</si>
  <si>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</si>
  <si>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</si>
  <si>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</si>
  <si>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</si>
  <si>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</si>
  <si>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</si>
  <si>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</si>
  <si>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</si>
  <si>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</si>
  <si>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</si>
  <si>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</si>
  <si>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</si>
  <si>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</si>
  <si>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</si>
  <si>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</si>
  <si>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</si>
  <si>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</si>
  <si>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</si>
  <si>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</si>
  <si>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</si>
  <si>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</si>
  <si>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</si>
  <si>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</si>
  <si>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</si>
  <si>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</si>
  <si>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</si>
  <si>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</si>
  <si>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</si>
  <si>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</si>
  <si>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</si>
  <si>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</si>
  <si>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</si>
  <si>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</si>
  <si>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</si>
  <si>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</si>
  <si>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</si>
  <si>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</si>
  <si>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</si>
  <si>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</si>
  <si>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</si>
  <si>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</si>
  <si>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</si>
  <si>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</si>
  <si>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</si>
  <si>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</si>
  <si>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</si>
  <si>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</si>
  <si>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</si>
  <si>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</si>
  <si>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</si>
  <si>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</si>
  <si>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</si>
  <si>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</si>
  <si>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</si>
  <si>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</si>
  <si>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</si>
  <si>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</si>
  <si>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</si>
  <si>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</si>
  <si>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</si>
  <si>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</si>
  <si>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</si>
  <si>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</si>
  <si>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</si>
  <si>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</si>
  <si>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</si>
  <si>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</si>
  <si>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</si>
  <si>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</si>
  <si>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</si>
  <si>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</si>
  <si>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</si>
  <si>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</si>
  <si>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</si>
  <si>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</si>
  <si>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</si>
  <si>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</si>
  <si>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</si>
  <si>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</si>
  <si>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</si>
  <si>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</si>
  <si>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</si>
  <si>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</si>
  <si>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</si>
  <si>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</si>
  <si>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</si>
  <si>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</si>
  <si>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</si>
  <si>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</si>
  <si>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</si>
  <si>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</si>
  <si>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</si>
  <si>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</si>
  <si>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</si>
  <si>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</si>
  <si>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</si>
  <si>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</si>
  <si>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</si>
  <si>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</si>
  <si>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</si>
  <si>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</si>
  <si>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</si>
  <si>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</si>
  <si>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</si>
  <si>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</si>
  <si>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</si>
  <si>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</si>
  <si>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</si>
  <si>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</si>
  <si>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</si>
  <si>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</si>
  <si>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</si>
  <si>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</si>
  <si>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</si>
  <si>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</si>
  <si>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</si>
  <si>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</si>
  <si>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</si>
  <si>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</si>
  <si>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</si>
  <si>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</si>
  <si>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</si>
  <si>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</si>
  <si>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</si>
  <si>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</si>
  <si>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</si>
  <si>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</si>
  <si>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</si>
  <si>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</si>
  <si>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</si>
  <si>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</si>
  <si>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</si>
  <si>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</si>
  <si>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</si>
  <si>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</si>
  <si>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</si>
  <si>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</si>
  <si>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</si>
  <si>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</si>
  <si>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</si>
  <si>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</si>
  <si>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</si>
  <si>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</si>
  <si>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</si>
  <si>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</si>
  <si>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</si>
  <si>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</si>
  <si>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</si>
  <si>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</si>
  <si>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</si>
  <si>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</si>
  <si>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</si>
  <si>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</si>
  <si>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</si>
  <si>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</si>
  <si>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</si>
  <si>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</si>
  <si>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</si>
  <si>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</si>
  <si>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</si>
  <si>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</si>
  <si>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</si>
  <si>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</si>
  <si>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</si>
  <si>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</si>
  <si>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</si>
  <si>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</si>
  <si>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</si>
  <si>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</si>
  <si>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</si>
  <si>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</si>
  <si>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</si>
  <si>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</si>
  <si>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</si>
  <si>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</si>
  <si>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</si>
  <si>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</si>
  <si>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</si>
  <si>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</si>
  <si>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</si>
  <si>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</si>
  <si>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</si>
  <si>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</si>
  <si>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</si>
  <si>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</si>
  <si>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</si>
  <si>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</si>
  <si>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</si>
  <si>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</si>
  <si>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</si>
  <si>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</si>
  <si>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</si>
  <si>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</si>
  <si>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</si>
  <si>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</si>
  <si>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</si>
  <si>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</si>
  <si>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</si>
  <si>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</si>
  <si>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</si>
  <si>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</si>
  <si>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</si>
  <si>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</si>
  <si>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</si>
  <si>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</si>
  <si>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</si>
  <si>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</si>
  <si>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</si>
  <si>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</si>
  <si>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</si>
  <si>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</si>
  <si>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</si>
  <si>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</si>
  <si>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</si>
  <si>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</si>
  <si>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</si>
  <si>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</si>
  <si>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</si>
  <si>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</si>
  <si>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</si>
  <si>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</si>
  <si>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</si>
  <si>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</si>
  <si>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</si>
  <si>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</si>
  <si>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</si>
  <si>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</si>
  <si>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</si>
  <si>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</si>
  <si>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</si>
  <si>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</si>
  <si>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</si>
  <si>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</si>
  <si>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</si>
  <si>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</si>
  <si>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</si>
  <si>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</si>
  <si>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</si>
  <si>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</si>
  <si>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</si>
  <si>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</si>
  <si>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</si>
  <si>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</si>
  <si>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</si>
  <si>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</si>
  <si>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</si>
  <si>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</si>
  <si>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</si>
  <si>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</si>
  <si>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</si>
  <si>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</si>
  <si>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</si>
  <si>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</si>
  <si>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</si>
  <si>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</si>
  <si>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</si>
  <si>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</si>
  <si>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</si>
  <si>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</si>
  <si>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</si>
  <si>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</si>
  <si>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</si>
  <si>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</si>
  <si>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</si>
  <si>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</si>
  <si>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</si>
  <si>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</si>
  <si>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</si>
  <si>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</si>
  <si>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</si>
  <si>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</si>
  <si>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</si>
  <si>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</si>
  <si>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</si>
  <si>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</si>
  <si>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</si>
  <si>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</si>
  <si>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</si>
  <si>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</si>
  <si>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</si>
  <si>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</si>
  <si>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</si>
  <si>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</si>
  <si>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</si>
  <si>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</si>
  <si>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</si>
  <si>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</si>
  <si>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</si>
  <si>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</si>
  <si>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</si>
  <si>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</si>
  <si>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</si>
  <si>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</si>
  <si>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</si>
  <si>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</si>
  <si>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</si>
  <si>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</si>
  <si>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</si>
  <si>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</si>
  <si>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</si>
  <si>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</si>
  <si>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</si>
  <si>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</si>
  <si>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</si>
  <si>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</si>
  <si>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</si>
  <si>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</si>
  <si>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</si>
  <si>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</si>
  <si>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</si>
  <si>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</si>
  <si>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</si>
  <si>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</si>
  <si>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</si>
  <si>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</si>
  <si>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</si>
  <si>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</si>
  <si>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</si>
  <si>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</si>
  <si>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</si>
  <si>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</si>
  <si>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</si>
  <si>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</si>
  <si>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</si>
  <si>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</si>
  <si>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</si>
  <si>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</si>
  <si>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</si>
  <si>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</si>
  <si>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</si>
  <si>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</si>
  <si>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</si>
  <si>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</si>
  <si>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</si>
  <si>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</si>
  <si>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</si>
  <si>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</si>
  <si>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</si>
  <si>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</si>
  <si>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</si>
  <si>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</si>
  <si>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</si>
  <si>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</si>
  <si>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</si>
  <si>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</si>
  <si>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</si>
  <si>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</si>
  <si>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</si>
  <si>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</si>
  <si>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</si>
  <si>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</si>
  <si>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</si>
  <si>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</si>
  <si>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</si>
  <si>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</si>
  <si>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</si>
  <si>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</si>
  <si>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</si>
  <si>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</si>
  <si>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</si>
  <si>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</si>
  <si>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</si>
  <si>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</si>
  <si>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</si>
  <si>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</si>
  <si>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</si>
  <si>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</si>
  <si>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</si>
  <si>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</si>
  <si>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</si>
  <si>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</si>
  <si>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</si>
  <si>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</si>
  <si>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</si>
  <si>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</si>
  <si>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</si>
  <si>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</si>
  <si>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</si>
  <si>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</si>
  <si>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</si>
  <si>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</si>
  <si>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</si>
  <si>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</si>
  <si>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</si>
  <si>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</si>
  <si>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</si>
  <si>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</si>
  <si>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</si>
  <si>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</si>
  <si>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</si>
  <si>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</si>
  <si>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</si>
  <si>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</si>
  <si>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</si>
  <si>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</si>
  <si>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</si>
  <si>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</si>
  <si>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</si>
  <si>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</si>
  <si>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</si>
  <si>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</si>
  <si>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</si>
  <si>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</si>
  <si>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</si>
  <si>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</si>
  <si>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</si>
  <si>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</si>
  <si>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</si>
  <si>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</si>
  <si>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</si>
  <si>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</si>
  <si>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</si>
  <si>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</si>
  <si>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</si>
  <si>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</si>
  <si>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</si>
  <si>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</si>
  <si>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</si>
  <si>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</si>
  <si>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</si>
  <si>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</si>
  <si>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</si>
  <si>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</si>
  <si>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</si>
  <si>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</si>
  <si>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</si>
  <si>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</si>
  <si>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</si>
  <si>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</si>
  <si>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</si>
  <si>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</si>
  <si>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</si>
  <si>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</si>
  <si>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</si>
  <si>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</si>
  <si>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</si>
  <si>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</si>
  <si>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</si>
  <si>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</si>
  <si>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</si>
  <si>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</si>
  <si>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</si>
  <si>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</si>
  <si>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</si>
  <si>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</si>
  <si>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</si>
  <si>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</si>
  <si>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</si>
  <si>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</si>
  <si>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</si>
  <si>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</si>
  <si>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</si>
  <si>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</si>
  <si>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</si>
  <si>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</si>
  <si>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</si>
  <si>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</si>
  <si>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</si>
  <si>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</si>
  <si>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</si>
  <si>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</si>
  <si>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</si>
  <si>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</si>
  <si>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</si>
  <si>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</si>
  <si>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</si>
  <si>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</si>
  <si>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</si>
  <si>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</si>
  <si>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</si>
  <si>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</si>
  <si>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</si>
  <si>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</si>
  <si>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</si>
  <si>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</si>
  <si>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</si>
  <si>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</si>
  <si>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</si>
  <si>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</si>
  <si>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</si>
  <si>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</si>
  <si>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</si>
  <si>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</si>
  <si>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</si>
  <si>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</si>
  <si>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</si>
  <si>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</si>
  <si>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</si>
  <si>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</si>
  <si>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</si>
  <si>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</si>
  <si>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</si>
  <si>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</si>
  <si>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</si>
  <si>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</si>
  <si>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</si>
  <si>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</si>
  <si>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</si>
  <si>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</si>
  <si>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</si>
  <si>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</si>
  <si>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</si>
  <si>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</si>
  <si>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</si>
  <si>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</si>
  <si>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</si>
  <si>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</si>
  <si>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</si>
  <si>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</si>
  <si>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</si>
  <si>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</si>
  <si>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</si>
  <si>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</si>
  <si>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</si>
  <si>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</si>
  <si>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</si>
  <si>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</si>
  <si>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</si>
  <si>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</si>
  <si>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</si>
  <si>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</si>
  <si>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</si>
  <si>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</si>
  <si>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</si>
  <si>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</si>
  <si>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</si>
  <si>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</si>
  <si>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</si>
  <si>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</si>
  <si>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</si>
  <si>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</si>
  <si>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</si>
  <si>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</si>
  <si>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</si>
  <si>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</si>
  <si>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</si>
  <si>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</si>
  <si>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</si>
  <si>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</si>
  <si>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</si>
  <si>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</si>
  <si>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</si>
  <si>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</si>
  <si>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</si>
  <si>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</si>
  <si>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</si>
  <si>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</si>
  <si>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</si>
  <si>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</si>
  <si>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</si>
  <si>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</si>
  <si>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</si>
  <si>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</si>
  <si>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</si>
  <si>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</si>
  <si>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</si>
  <si>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</si>
  <si>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</si>
  <si>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</si>
  <si>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</si>
  <si>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</si>
  <si>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</si>
  <si>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</si>
  <si>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</si>
  <si>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</si>
  <si>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</si>
  <si>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</si>
  <si>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</si>
  <si>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</si>
  <si>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</si>
  <si>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</si>
  <si>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</si>
  <si>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</si>
  <si>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</si>
  <si>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</si>
  <si>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</si>
  <si>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</si>
  <si>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</si>
  <si>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</si>
  <si>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</si>
  <si>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</si>
  <si>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</si>
  <si>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</si>
  <si>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</si>
  <si>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</si>
  <si>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</si>
  <si>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</si>
  <si>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</si>
  <si>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</si>
  <si>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</si>
  <si>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</si>
  <si>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</si>
  <si>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</si>
  <si>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</si>
  <si>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</si>
  <si>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</si>
  <si>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</si>
  <si>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</si>
  <si>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</si>
  <si>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</si>
  <si>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</si>
  <si>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</si>
  <si>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</si>
  <si>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</si>
  <si>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</si>
  <si>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</si>
  <si>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</si>
  <si>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</si>
  <si>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</si>
  <si>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</si>
  <si>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</si>
  <si>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</si>
  <si>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</si>
  <si>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</si>
  <si>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</si>
  <si>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</si>
  <si>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</si>
  <si>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</si>
  <si>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</si>
  <si>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</si>
  <si>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</si>
  <si>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</si>
  <si>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</si>
  <si>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</si>
  <si>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</si>
  <si>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</si>
  <si>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</si>
  <si>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</si>
  <si>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</si>
  <si>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</si>
  <si>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</si>
  <si>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</si>
  <si>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</si>
  <si>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</si>
  <si>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</si>
  <si>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</si>
  <si>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</si>
  <si>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</si>
  <si>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</si>
  <si>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</si>
  <si>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</si>
  <si>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</si>
  <si>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</si>
  <si>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</si>
  <si>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</si>
  <si>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</si>
  <si>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</si>
  <si>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</si>
  <si>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</si>
  <si>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</si>
  <si>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</si>
  <si>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</si>
  <si>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</si>
  <si>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</si>
  <si>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</si>
  <si>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</si>
  <si>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</si>
  <si>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</si>
  <si>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</si>
  <si>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</si>
  <si>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</si>
  <si>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</si>
  <si>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</si>
  <si>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</si>
  <si>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</si>
  <si>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</si>
  <si>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</si>
  <si>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</si>
  <si>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</si>
  <si>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</si>
  <si>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</si>
  <si>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</si>
  <si>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</si>
  <si>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</si>
  <si>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</si>
  <si>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</si>
  <si>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</si>
  <si>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</si>
  <si>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</si>
  <si>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</si>
  <si>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</si>
  <si>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</si>
  <si>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</si>
  <si>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</si>
  <si>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</si>
  <si>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</si>
  <si>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</si>
  <si>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</si>
  <si>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</si>
  <si>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</si>
  <si>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</si>
  <si>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</si>
  <si>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</si>
  <si>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</si>
  <si>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</si>
  <si>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</si>
  <si>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</si>
  <si>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</si>
  <si>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</si>
  <si>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</si>
  <si>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</si>
  <si>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</si>
  <si>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</si>
  <si>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</si>
  <si>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</si>
  <si>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</si>
  <si>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</si>
  <si>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</si>
  <si>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</si>
  <si>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</si>
  <si>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</si>
  <si>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</si>
  <si>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</si>
  <si>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</si>
  <si>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</si>
  <si>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</si>
  <si>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</si>
  <si>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</si>
  <si>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</si>
  <si>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</si>
  <si>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</si>
  <si>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</si>
  <si>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</si>
  <si>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</si>
  <si>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</si>
  <si>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</si>
  <si>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</si>
  <si>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</si>
  <si>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</si>
  <si>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</si>
  <si>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</si>
  <si>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</si>
  <si>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</si>
  <si>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</si>
  <si>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</si>
  <si>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</si>
  <si>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</si>
  <si>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</si>
  <si>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</si>
  <si>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</si>
  <si>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</si>
  <si>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</si>
  <si>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</si>
  <si>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</si>
  <si>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</si>
  <si>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</si>
  <si>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</si>
  <si>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</si>
  <si>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</si>
  <si>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</si>
  <si>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</si>
  <si>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</si>
  <si>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</si>
  <si>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</si>
  <si>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</si>
  <si>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</si>
  <si>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</si>
  <si>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</si>
  <si>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</si>
  <si>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</si>
  <si>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</si>
  <si>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</si>
  <si>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</si>
  <si>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</si>
  <si>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</si>
  <si>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</si>
  <si>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</si>
  <si>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</si>
  <si>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</si>
  <si>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</si>
  <si>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</si>
  <si>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</si>
  <si>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</si>
  <si>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</si>
  <si>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</si>
  <si>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</si>
  <si>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</si>
  <si>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</si>
  <si>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</si>
  <si>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</si>
  <si>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</si>
  <si>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</si>
  <si>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</si>
  <si>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</si>
  <si>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</si>
  <si>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</si>
  <si>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</si>
  <si>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</si>
  <si>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</si>
  <si>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</si>
  <si>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</si>
  <si>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</si>
  <si>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</si>
  <si>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</si>
  <si>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</si>
  <si>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</si>
  <si>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</si>
  <si>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</si>
  <si>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</si>
  <si>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</si>
  <si>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</si>
  <si>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</si>
  <si>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</si>
  <si>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</si>
  <si>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</si>
  <si>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</si>
  <si>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</si>
  <si>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</si>
  <si>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</si>
  <si>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</si>
  <si>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</si>
  <si>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</si>
  <si>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</si>
  <si>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</si>
  <si>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</si>
  <si>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</si>
  <si>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</si>
  <si>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</si>
  <si>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</si>
  <si>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</si>
  <si>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</si>
  <si>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</si>
  <si>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</si>
  <si>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</si>
  <si>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</si>
  <si>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</si>
  <si>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</si>
  <si>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</si>
  <si>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</si>
  <si>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</si>
  <si>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</si>
  <si>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</si>
  <si>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</si>
  <si>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</si>
  <si>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</si>
  <si>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</si>
  <si>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</si>
  <si>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</si>
  <si>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</si>
  <si>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</si>
  <si>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</si>
  <si>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</si>
  <si>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</si>
  <si>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</si>
  <si>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</si>
  <si>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</si>
  <si>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</si>
  <si>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</si>
  <si>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</si>
  <si>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</si>
  <si>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</si>
  <si>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</si>
  <si>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</si>
  <si>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</si>
  <si>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</si>
  <si>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</si>
  <si>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</si>
  <si>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</si>
  <si>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</si>
  <si>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</si>
  <si>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</si>
  <si>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</si>
  <si>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</si>
  <si>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</si>
  <si>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</si>
  <si>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</si>
  <si>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</si>
  <si>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</si>
  <si>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</si>
  <si>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</si>
  <si>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</si>
  <si>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</si>
  <si>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</si>
  <si>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</si>
  <si>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</si>
  <si>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</si>
  <si>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</si>
  <si>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</si>
  <si>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</si>
  <si>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</si>
  <si>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</si>
  <si>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</si>
  <si>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</si>
  <si>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</si>
  <si>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</si>
  <si>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</si>
  <si>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</si>
  <si>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</si>
  <si>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</si>
  <si>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</si>
  <si>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</si>
  <si>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</si>
  <si>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</si>
  <si>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</si>
  <si>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</si>
  <si>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</si>
  <si>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</si>
  <si>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</si>
  <si>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</si>
  <si>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</si>
  <si>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</si>
  <si>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</si>
  <si>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</si>
  <si>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</si>
  <si>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</si>
  <si>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</si>
  <si>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</si>
  <si>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</si>
  <si>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</si>
  <si>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</si>
  <si>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</si>
  <si>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</si>
  <si>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</si>
  <si>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</si>
  <si>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</si>
  <si>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</si>
  <si>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</si>
  <si>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</si>
  <si>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</si>
  <si>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</si>
  <si>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</si>
  <si>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</si>
  <si>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</si>
  <si>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</si>
  <si>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</si>
  <si>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</si>
  <si>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</si>
  <si>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</si>
  <si>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</si>
  <si>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</si>
  <si>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</si>
  <si>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</si>
  <si>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</si>
  <si>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</si>
  <si>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</si>
  <si>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</si>
  <si>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</si>
  <si>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</si>
  <si>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</si>
  <si>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</si>
  <si>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</si>
  <si>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</si>
  <si>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</si>
  <si>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</si>
  <si>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</si>
  <si>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</si>
  <si>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</si>
  <si>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</si>
  <si>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</si>
  <si>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</si>
  <si>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</si>
  <si>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</si>
  <si>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</si>
  <si>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</si>
  <si>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</si>
  <si>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</si>
  <si>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</si>
  <si>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</si>
  <si>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</si>
  <si>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</si>
  <si>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</si>
  <si>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</si>
  <si>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</si>
  <si>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</si>
  <si>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</si>
  <si>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</si>
  <si>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</si>
  <si>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</si>
  <si>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</si>
  <si>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</si>
  <si>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</si>
  <si>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</si>
  <si>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</si>
  <si>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</si>
  <si>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</si>
  <si>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</si>
  <si>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</si>
  <si>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</si>
  <si>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</si>
  <si>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</si>
  <si>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</si>
  <si>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</si>
  <si>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</si>
  <si>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</si>
  <si>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</si>
  <si>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</si>
  <si>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</si>
  <si>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</si>
  <si>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</si>
  <si>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</si>
  <si>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</si>
  <si>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</si>
  <si>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</si>
  <si>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</si>
  <si>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</si>
  <si>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</si>
  <si>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</si>
  <si>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</si>
  <si>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</si>
  <si>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</si>
  <si>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</si>
  <si>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</si>
  <si>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</si>
  <si>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</si>
  <si>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</si>
  <si>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</si>
  <si>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</si>
  <si>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</si>
  <si>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</si>
  <si>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</si>
  <si>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</si>
  <si>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</si>
  <si>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</si>
  <si>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</si>
  <si>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</si>
  <si>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</si>
  <si>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</si>
  <si>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</si>
  <si>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</si>
  <si>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</si>
  <si>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</si>
  <si>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</si>
  <si>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</si>
  <si>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</si>
  <si>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</si>
  <si>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</si>
  <si>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</si>
  <si>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</si>
  <si>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</si>
  <si>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</si>
  <si>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</si>
  <si>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</si>
  <si>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</si>
  <si>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</si>
  <si>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</si>
  <si>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</si>
  <si>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</si>
  <si>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</si>
  <si>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</si>
  <si>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</si>
  <si>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</si>
  <si>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</si>
  <si>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</si>
  <si>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</si>
  <si>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</si>
  <si>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</si>
  <si>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</si>
  <si>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</si>
  <si>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</si>
  <si>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</si>
  <si>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</si>
  <si>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</si>
  <si>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</si>
  <si>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</si>
  <si>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</si>
  <si>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</si>
  <si>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</si>
  <si>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</si>
  <si>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</si>
  <si>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</si>
  <si>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</si>
  <si>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</si>
  <si>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</si>
  <si>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</si>
  <si>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</si>
  <si>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</si>
  <si>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</si>
  <si>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</si>
  <si>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</si>
  <si>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</si>
  <si>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</si>
  <si>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</si>
  <si>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</si>
  <si>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</si>
  <si>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</si>
  <si>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</si>
  <si>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</si>
  <si>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</si>
  <si>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</si>
  <si>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</si>
  <si>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</si>
  <si>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</si>
  <si>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</si>
  <si>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</si>
  <si>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</si>
  <si>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</si>
  <si>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</si>
  <si>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</si>
  <si>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</si>
  <si>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</si>
  <si>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</si>
  <si>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</si>
  <si>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</si>
  <si>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</si>
  <si>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</si>
  <si>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</si>
  <si>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</si>
  <si>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</si>
  <si>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</si>
  <si>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</si>
  <si>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</si>
  <si>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</si>
  <si>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</si>
  <si>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</si>
  <si>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</si>
  <si>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</si>
  <si>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</si>
  <si>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</si>
  <si>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</si>
  <si>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</si>
  <si>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</si>
  <si>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</si>
  <si>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</si>
  <si>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</si>
  <si>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</si>
  <si>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</si>
  <si>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</si>
  <si>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</si>
  <si>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</si>
  <si>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</si>
  <si>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</si>
  <si>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</si>
  <si>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</si>
  <si>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</si>
  <si>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</si>
  <si>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</si>
  <si>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</si>
  <si>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</si>
  <si>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</si>
  <si>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</si>
  <si>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</si>
  <si>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</si>
  <si>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</si>
  <si>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</si>
  <si>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</si>
  <si>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</si>
  <si>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</si>
  <si>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</si>
  <si>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</si>
  <si>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</si>
  <si>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</si>
  <si>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</si>
  <si>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</si>
  <si>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</si>
  <si>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</si>
  <si>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</si>
  <si>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</si>
  <si>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</si>
  <si>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</si>
  <si>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</si>
  <si>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</si>
  <si>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</si>
  <si>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</si>
  <si>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</si>
  <si>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</si>
  <si>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</si>
  <si>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</si>
  <si>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</si>
  <si>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</si>
  <si>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</si>
  <si>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</si>
  <si>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</si>
  <si>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</si>
  <si>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</si>
  <si>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</si>
  <si>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</si>
  <si>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</si>
  <si>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</si>
  <si>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</si>
  <si>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</si>
  <si>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</si>
  <si>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</si>
  <si>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</si>
  <si>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</si>
  <si>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</si>
  <si>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</si>
  <si>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</si>
  <si>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</si>
  <si>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</si>
  <si>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</si>
  <si>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</si>
  <si>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</si>
  <si>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</si>
  <si>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</si>
  <si>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</si>
  <si>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</si>
  <si>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</si>
  <si>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</si>
  <si>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</si>
  <si>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</si>
  <si>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</si>
  <si>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</si>
  <si>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</si>
  <si>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</si>
  <si>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</si>
  <si>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</si>
  <si>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</si>
  <si>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</si>
  <si>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</si>
  <si>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</si>
  <si>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</si>
  <si>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</si>
  <si>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</si>
  <si>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</si>
  <si>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</si>
  <si>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</si>
  <si>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</si>
  <si>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</si>
  <si>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</si>
  <si>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</si>
  <si>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</si>
  <si>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</si>
  <si>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</si>
  <si>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</si>
  <si>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</si>
  <si>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</si>
  <si>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</si>
  <si>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</si>
  <si>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</si>
  <si>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</si>
  <si>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</si>
  <si>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</si>
  <si>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</si>
  <si>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</si>
  <si>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</si>
  <si>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</si>
  <si>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</si>
  <si>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</si>
  <si>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</si>
  <si>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</si>
  <si>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</si>
  <si>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</si>
  <si>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</si>
  <si>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</si>
  <si>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</si>
  <si>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</si>
  <si>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</si>
  <si>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</si>
  <si>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</si>
  <si>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</si>
  <si>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</si>
  <si>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</si>
  <si>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</si>
  <si>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</si>
  <si>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</si>
  <si>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</si>
  <si>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</si>
  <si>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</si>
  <si>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</si>
  <si>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</si>
  <si>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</si>
  <si>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</si>
  <si>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</si>
  <si>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</si>
  <si>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</si>
  <si>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</si>
  <si>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</si>
  <si>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</si>
  <si>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</si>
  <si>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</si>
  <si>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</si>
  <si>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</si>
  <si>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</si>
  <si>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</si>
  <si>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</si>
  <si>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</si>
  <si>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</si>
  <si>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</si>
  <si>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</si>
  <si>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</si>
  <si>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</si>
  <si>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</si>
  <si>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</si>
  <si>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</si>
  <si>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</si>
  <si>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</si>
  <si>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</si>
  <si>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</si>
  <si>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</si>
  <si>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</si>
  <si>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</si>
  <si>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</si>
  <si>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</si>
  <si>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</si>
  <si>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</si>
  <si>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</si>
  <si>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</si>
  <si>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</si>
  <si>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</si>
  <si>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</si>
  <si>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</si>
  <si>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</si>
  <si>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</si>
  <si>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</si>
  <si>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</si>
  <si>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</si>
  <si>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</si>
  <si>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</si>
  <si>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</si>
  <si>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</si>
  <si>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</si>
  <si>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</si>
  <si>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</si>
  <si>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</si>
  <si>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</si>
  <si>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</si>
  <si>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</si>
  <si>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</si>
  <si>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</si>
  <si>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</si>
  <si>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</si>
  <si>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</si>
  <si>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</si>
  <si>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</si>
  <si>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</si>
  <si>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</si>
  <si>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</si>
  <si>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</si>
  <si>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</si>
  <si>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</si>
  <si>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</si>
  <si>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</si>
  <si>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</si>
  <si>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</si>
  <si>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</si>
  <si>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</si>
  <si>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</si>
  <si>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</si>
  <si>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</si>
  <si>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</si>
  <si>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</si>
  <si>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</si>
  <si>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</si>
  <si>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</si>
  <si>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</si>
  <si>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</si>
  <si>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</si>
  <si>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</si>
  <si>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</si>
  <si>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</si>
  <si>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</si>
  <si>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</si>
  <si>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</si>
  <si>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</si>
  <si>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</si>
  <si>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</si>
  <si>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</si>
  <si>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</si>
  <si>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</si>
  <si>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</si>
  <si>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</si>
  <si>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</si>
  <si>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</si>
  <si>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</si>
  <si>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</si>
  <si>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</si>
  <si>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</si>
  <si>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</si>
  <si>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</si>
  <si>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</si>
  <si>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</si>
  <si>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</si>
  <si>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</si>
  <si>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</si>
  <si>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</si>
  <si>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</si>
  <si>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</si>
  <si>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</si>
  <si>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</si>
  <si>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</si>
  <si>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</si>
  <si>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</si>
  <si>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</si>
  <si>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</si>
  <si>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</si>
  <si>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</si>
  <si>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</si>
  <si>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</si>
  <si>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</si>
  <si>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</si>
  <si>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</si>
  <si>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</si>
  <si>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</si>
  <si>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</si>
  <si>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</si>
  <si>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</si>
  <si>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</si>
  <si>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</si>
  <si>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</si>
  <si>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</si>
  <si>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</si>
  <si>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</si>
  <si>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</si>
  <si>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</si>
  <si>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</si>
  <si>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</si>
  <si>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</si>
  <si>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</si>
  <si>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</si>
  <si>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</si>
  <si>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</si>
  <si>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</si>
  <si>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</si>
  <si>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</si>
  <si>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</si>
  <si>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</si>
  <si>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</si>
  <si>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</si>
  <si>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</si>
  <si>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</si>
  <si>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</si>
  <si>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</si>
  <si>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</si>
  <si>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</si>
  <si>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</si>
  <si>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</si>
  <si>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</si>
  <si>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</si>
  <si>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</si>
  <si>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</si>
  <si>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</si>
  <si>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</si>
  <si>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</si>
  <si>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</si>
  <si>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</si>
  <si>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</si>
  <si>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</si>
  <si>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</si>
  <si>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</si>
  <si>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</si>
  <si>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</si>
  <si>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</si>
  <si>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</si>
  <si>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</si>
  <si>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</si>
  <si>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</si>
  <si>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</si>
  <si>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</si>
  <si>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</si>
  <si>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</si>
  <si>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</si>
  <si>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</si>
  <si>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</si>
  <si>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</si>
  <si>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</si>
  <si>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</si>
  <si>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</si>
  <si>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</si>
  <si>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</si>
  <si>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</si>
  <si>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</si>
  <si>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</si>
  <si>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</si>
  <si>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</si>
  <si>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</si>
  <si>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</si>
  <si>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</si>
  <si>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</si>
  <si>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</si>
  <si>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</si>
  <si>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</si>
  <si>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</si>
  <si>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</si>
  <si>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</si>
  <si>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</si>
  <si>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</si>
  <si>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</si>
  <si>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</si>
  <si>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</si>
  <si>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</si>
  <si>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</si>
  <si>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</si>
  <si>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</si>
  <si>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</si>
  <si>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</si>
  <si>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</si>
  <si>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</si>
  <si>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</si>
  <si>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</si>
  <si>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</si>
  <si>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</si>
  <si>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</si>
  <si>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</si>
  <si>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</si>
  <si>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</si>
  <si>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</si>
  <si>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</si>
  <si>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</si>
  <si>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</si>
  <si>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</si>
  <si>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</si>
  <si>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</si>
  <si>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</si>
  <si>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</si>
  <si>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</si>
  <si>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</si>
  <si>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</si>
  <si>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</si>
  <si>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</si>
  <si>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</si>
  <si>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</si>
  <si>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</si>
  <si>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</si>
  <si>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</si>
  <si>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</si>
  <si>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</si>
  <si>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</si>
  <si>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</si>
  <si>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</si>
  <si>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</si>
  <si>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</si>
  <si>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</si>
  <si>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</si>
  <si>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</si>
  <si>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</si>
  <si>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</si>
  <si>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</si>
  <si>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</si>
  <si>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</si>
  <si>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</si>
  <si>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</si>
  <si>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</si>
  <si>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</si>
  <si>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</si>
  <si>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</si>
  <si>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</si>
  <si>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</si>
  <si>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</si>
  <si>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</si>
  <si>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</si>
  <si>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</si>
  <si>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</si>
  <si>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</si>
  <si>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</si>
  <si>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</si>
  <si>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</si>
  <si>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</si>
  <si>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</si>
  <si>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</si>
  <si>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</si>
  <si>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</si>
  <si>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</si>
  <si>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</si>
  <si>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</si>
  <si>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</si>
  <si>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</si>
  <si>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</si>
  <si>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</si>
  <si>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</si>
  <si>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</si>
  <si>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</si>
  <si>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</si>
  <si>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</si>
  <si>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</si>
  <si>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</si>
  <si>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</si>
  <si>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</si>
  <si>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</si>
  <si>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</si>
  <si>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</si>
  <si>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</si>
  <si>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</si>
  <si>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</si>
  <si>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</si>
  <si>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</si>
  <si>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</si>
  <si>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</si>
  <si>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</si>
  <si>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</si>
  <si>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</si>
  <si>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</si>
  <si>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</si>
  <si>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</si>
  <si>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</si>
  <si>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</si>
  <si>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</si>
  <si>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</si>
  <si>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</si>
  <si>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</si>
  <si>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</si>
  <si>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</si>
  <si>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</si>
  <si>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</si>
  <si>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</si>
  <si>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</si>
  <si>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</si>
  <si>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</si>
  <si>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</si>
  <si>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</si>
  <si>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</si>
  <si>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</si>
  <si>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</si>
  <si>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</si>
  <si>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</si>
  <si>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</si>
  <si>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</si>
  <si>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</si>
  <si>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</si>
  <si>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</si>
  <si>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</si>
  <si>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</si>
  <si>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</si>
  <si>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</si>
  <si>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</si>
  <si>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</si>
  <si>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</si>
  <si>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</si>
  <si>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</si>
  <si>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</si>
  <si>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</si>
  <si>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</si>
  <si>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</si>
  <si>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</si>
  <si>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</si>
  <si>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</si>
  <si>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</si>
  <si>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</si>
  <si>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</si>
  <si>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</si>
  <si>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</si>
  <si>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</si>
  <si>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</si>
  <si>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</si>
  <si>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</si>
  <si>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</si>
  <si>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</si>
  <si>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</si>
  <si>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</si>
  <si>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</si>
  <si>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</si>
  <si>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</si>
  <si>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</si>
  <si>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</si>
  <si>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</si>
  <si>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</si>
  <si>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</si>
  <si>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</si>
  <si>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</si>
  <si>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</si>
  <si>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</si>
  <si>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</si>
  <si>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</si>
  <si>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</si>
  <si>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</si>
  <si>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</si>
  <si>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</si>
  <si>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</si>
  <si>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</si>
  <si>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</si>
  <si>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</si>
  <si>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</si>
  <si>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</si>
  <si>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</si>
  <si>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</si>
  <si>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</si>
  <si>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</si>
  <si>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</si>
  <si>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</si>
  <si>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</si>
  <si>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</si>
  <si>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</si>
  <si>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</si>
  <si>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</si>
  <si>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</si>
  <si>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</si>
  <si>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</si>
  <si>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</si>
  <si>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</si>
  <si>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</si>
  <si>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</si>
  <si>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</si>
  <si>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</si>
  <si>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</si>
  <si>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</si>
  <si>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</si>
  <si>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</si>
  <si>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</si>
  <si>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</si>
  <si>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</si>
  <si>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</si>
  <si>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</si>
  <si>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</si>
  <si>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</si>
  <si>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</si>
  <si>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</si>
  <si>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</si>
  <si>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</si>
  <si>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</si>
  <si>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</si>
  <si>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</si>
  <si>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</si>
  <si>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</si>
  <si>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</si>
  <si>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</si>
  <si>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</si>
  <si>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</si>
  <si>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</si>
  <si>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</si>
  <si>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</si>
  <si>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</si>
  <si>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</si>
  <si>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</si>
  <si>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</si>
  <si>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</si>
  <si>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</si>
  <si>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</si>
  <si>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</si>
  <si>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</si>
  <si>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Less Than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</si>
</sst>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/>
    <xf numFmtId="165" fontId="1" fillId="0" borderId="0" xfId="0" applyNumberFormat="1" applyFont="1"/>
    <xf numFmtId="165" fontId="0" fillId="0" borderId="0" xfId="0" applyNumberFormat="1"/>
    <xf numFmtId="0" fontId="2" fillId="0" borderId="0" xfId="0" applyFont="1"/>
    <xf numFmtId="165" fontId="0" fillId="0" borderId="0" xfId="0" applyNumberFormat="1" applyFont="1"/>
    <xf numFmtId="10" fontId="0" fillId="0" borderId="0" xfId="0" applyNumberFormat="1"/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7575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757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[Kickstarter_Challenge.xlsx]Theatre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 Outcomes Based on Launch Date</a:t>
            </a:r>
          </a:p>
        </c:rich>
      </c:tx>
      <c:layout>
        <c:manualLayout>
          <c:xMode val="edge"/>
          <c:yMode val="edge"/>
          <c:x val="0.24426670432458894"/>
          <c:y val="9.160865502204967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2438448648615792E-2"/>
          <c:y val="0.15680867363697218"/>
          <c:w val="0.79055361119304413"/>
          <c:h val="0.70989589476797277"/>
        </c:manualLayout>
      </c:layout>
      <c:lineChart>
        <c:grouping val="standard"/>
        <c:varyColors val="0"/>
        <c:ser>
          <c:idx val="0"/>
          <c:order val="0"/>
          <c:tx>
            <c:strRef>
              <c:f>'Theatre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2B-40B6-891A-96319D81C4EF}"/>
            </c:ext>
          </c:extLst>
        </c:ser>
        <c:ser>
          <c:idx val="1"/>
          <c:order val="1"/>
          <c:tx>
            <c:strRef>
              <c:f>'Theatre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2B-40B6-891A-96319D81C4EF}"/>
            </c:ext>
          </c:extLst>
        </c:ser>
        <c:ser>
          <c:idx val="2"/>
          <c:order val="2"/>
          <c:tx>
            <c:strRef>
              <c:f>'Theatre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2B-40B6-891A-96319D81C4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7357776"/>
        <c:axId val="907368592"/>
      </c:lineChart>
      <c:catAx>
        <c:axId val="9073577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7368592"/>
        <c:crosses val="autoZero"/>
        <c:auto val="1"/>
        <c:lblAlgn val="ctr"/>
        <c:lblOffset val="100"/>
        <c:noMultiLvlLbl val="0"/>
      </c:catAx>
      <c:valAx>
        <c:axId val="907368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7357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</a:t>
            </a:r>
            <a:r>
              <a:rPr lang="en-US" baseline="0"/>
              <a:t>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2152975558906201E-2"/>
          <c:y val="9.1413373860182376E-2"/>
          <c:w val="0.94159406935835144"/>
          <c:h val="0.72258474339643719"/>
        </c:manualLayout>
      </c:layout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4BB-4A1F-AD28-293DF50AC68B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4BB-4A1F-AD28-293DF50AC68B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4BB-4A1F-AD28-293DF50AC6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0482656"/>
        <c:axId val="79049264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04BB-4A1F-AD28-293DF50AC68B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04BB-4A1F-AD28-293DF50AC68B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04BB-4A1F-AD28-293DF50AC68B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4BB-4A1F-AD28-293DF50AC68B}"/>
                  </c:ext>
                </c:extLst>
              </c15:ser>
            </c15:filteredLineSeries>
          </c:ext>
        </c:extLst>
      </c:lineChart>
      <c:catAx>
        <c:axId val="790482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492640"/>
        <c:crosses val="autoZero"/>
        <c:auto val="1"/>
        <c:lblAlgn val="ctr"/>
        <c:lblOffset val="100"/>
        <c:noMultiLvlLbl val="0"/>
      </c:catAx>
      <c:valAx>
        <c:axId val="790492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482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FC-402D-80C8-46D48ADB40C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FC-402D-80C8-46D48ADB40C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FC-402D-80C8-46D48ADB40C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FC-402D-80C8-46D48ADB40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58306607"/>
        <c:axId val="258309519"/>
      </c:barChart>
      <c:catAx>
        <c:axId val="258306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8309519"/>
        <c:crosses val="autoZero"/>
        <c:auto val="1"/>
        <c:lblAlgn val="ctr"/>
        <c:lblOffset val="100"/>
        <c:noMultiLvlLbl val="0"/>
      </c:catAx>
      <c:valAx>
        <c:axId val="258309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8306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B3-4CCF-BF29-43673292F7C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B3-4CCF-BF29-43673292F7C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2B3-4CCF-BF29-43673292F7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1039071"/>
        <c:axId val="431048223"/>
      </c:barChart>
      <c:catAx>
        <c:axId val="431039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048223"/>
        <c:crosses val="autoZero"/>
        <c:auto val="1"/>
        <c:lblAlgn val="ctr"/>
        <c:lblOffset val="100"/>
        <c:noMultiLvlLbl val="0"/>
      </c:catAx>
      <c:valAx>
        <c:axId val="43104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039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90-474B-B09F-4665A5DBBC40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90-474B-B09F-4665A5DBBC40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090-474B-B09F-4665A5DBBC40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090-474B-B09F-4665A5DBBC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9573887"/>
        <c:axId val="429573055"/>
      </c:lineChart>
      <c:catAx>
        <c:axId val="429573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573055"/>
        <c:crosses val="autoZero"/>
        <c:auto val="1"/>
        <c:lblAlgn val="ctr"/>
        <c:lblOffset val="100"/>
        <c:noMultiLvlLbl val="0"/>
      </c:catAx>
      <c:valAx>
        <c:axId val="429573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573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FF767E9C-1F7A-4B4B-BEB6-92C40A832BAC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89A3169-3EE0-4F04-BA34-E9F3EE68394C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C0703AE-6C58-4705-82BB-04A51301A3AC}">
  <sheetPr/>
  <sheetViews>
    <sheetView zoomScale="8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443865</xdr:colOff>
      <xdr:row>2</xdr:row>
      <xdr:rowOff>162876</xdr:rowOff>
    </xdr:from>
    <xdr:to>
      <xdr:col>17</xdr:col>
      <xdr:colOff>20954</xdr:colOff>
      <xdr:row>25</xdr:row>
      <xdr:rowOff>97155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62D4A9-639B-34E5-57D2-7A4CACB476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17145</xdr:colOff>
      <xdr:row>14</xdr:row>
      <xdr:rowOff>19049</xdr:rowOff>
    </xdr:from>
    <xdr:to>
      <xdr:col>12</xdr:col>
      <xdr:colOff>287655</xdr:colOff>
      <xdr:row>39</xdr:row>
      <xdr:rowOff>161923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87F291-69F5-D6DB-19F0-8719DF9462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278130</xdr:colOff>
      <xdr:row>2</xdr:row>
      <xdr:rowOff>76200</xdr:rowOff>
    </xdr:from>
    <xdr:to>
      <xdr:col>16</xdr:col>
      <xdr:colOff>485775</xdr:colOff>
      <xdr:row>28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2CBD46-C690-5B2D-4A50-EB7DB10607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132397</xdr:colOff>
      <xdr:row>5</xdr:row>
      <xdr:rowOff>58102</xdr:rowOff>
    </xdr:from>
    <xdr:to>
      <xdr:col>21</xdr:col>
      <xdr:colOff>371475</xdr:colOff>
      <xdr:row>41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73F3BF-582A-8E13-A2E6-3B93EA2767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219075</xdr:colOff>
      <xdr:row>3</xdr:row>
      <xdr:rowOff>38100</xdr:rowOff>
    </xdr:from>
    <xdr:to>
      <xdr:col>16</xdr:col>
      <xdr:colOff>457200</xdr:colOff>
      <xdr:row>27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E9F3A6-9F1C-6D94-73F3-202A582C72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10821777" cy="784951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6135364-9226-6719-3757-91F4ED11838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EC451AF2-5321-534A-1938-F10A45FB756E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0821777" cy="784951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h Albrecht" refreshedDate="44893.744539583335" createdVersion="8" refreshedVersion="8" minRefreshableVersion="3" recordCount="4120" xr:uid="{2EC8F675-BA8E-4EDC-89A3-FD169F31D845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Blank="1" containsMixedTypes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h Albrecht" refreshedDate="44893.759968402781" createdVersion="8" refreshedVersion="8" minRefreshableVersion="3" recordCount="4120" xr:uid="{07A37C0A-BD65-460E-AE63-ABA305F19A49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Blank="1" containsMixedTypes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1970-01-01T00:00:00" maxDate="2017-03-15T15:30:07" count="4116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  <m/>
      </sharedItems>
      <fieldGroup par="21" base="18">
        <rangePr groupBy="months" startDate="1970-01-01T00:00:00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1970-01-01T00:00:00" maxDate="2017-05-03T19:12:00" count="4094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d v="1970-01-01T00:00:00"/>
        <m/>
      </sharedItems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h Albrecht" refreshedDate="44897.527900000001" createdVersion="8" refreshedVersion="8" minRefreshableVersion="3" recordCount="4119" xr:uid="{9E1C0CF3-0530-4257-99B9-B84CE864D9C1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Blank="1" containsMixedTypes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1970-01-01T00:00:00" maxDate="2017-03-15T15:30:07" count="4116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  <m/>
      </sharedItems>
      <fieldGroup par="22" base="18">
        <rangePr groupBy="months" startDate="1970-01-01T00:00:00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1970-01-01T00:00:00" maxDate="2017-05-03T19:12:00"/>
    </cacheField>
    <cacheField name="Years" numFmtId="0">
      <sharedItems containsString="0" containsBlank="1" containsNumber="1" containsInteger="1" minValue="1970" maxValue="2017" count="11">
        <n v="2015"/>
        <n v="2017"/>
        <n v="2016"/>
        <n v="2014"/>
        <n v="2013"/>
        <n v="2012"/>
        <n v="2011"/>
        <n v="2010"/>
        <n v="2009"/>
        <n v="1970"/>
        <m/>
      </sharedItems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20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20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</r>
  <r>
    <m/>
    <m/>
    <m/>
    <m/>
    <m/>
    <x v="4"/>
    <m/>
    <m/>
    <m/>
    <m/>
    <m/>
    <m/>
    <m/>
    <m/>
    <e v="#DIV/0!"/>
    <n v="0"/>
    <x v="9"/>
    <m/>
    <x v="4114"/>
    <x v="4092"/>
  </r>
  <r>
    <m/>
    <m/>
    <m/>
    <m/>
    <m/>
    <x v="4"/>
    <m/>
    <m/>
    <m/>
    <m/>
    <m/>
    <m/>
    <m/>
    <m/>
    <e v="#DIV/0!"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m/>
    <x v="9"/>
    <m/>
    <x v="4114"/>
    <x v="4092"/>
  </r>
  <r>
    <m/>
    <m/>
    <m/>
    <m/>
    <m/>
    <x v="4"/>
    <m/>
    <m/>
    <m/>
    <m/>
    <m/>
    <m/>
    <m/>
    <m/>
    <m/>
    <m/>
    <x v="9"/>
    <m/>
    <x v="4115"/>
    <x v="4093"/>
  </r>
  <r>
    <m/>
    <m/>
    <m/>
    <m/>
    <m/>
    <x v="4"/>
    <m/>
    <m/>
    <m/>
    <m/>
    <m/>
    <m/>
    <m/>
    <m/>
    <m/>
    <m/>
    <x v="9"/>
    <m/>
    <x v="4115"/>
    <x v="409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9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e v="#DIV/0!"/>
    <n v="0"/>
    <x v="9"/>
    <m/>
    <x v="4114"/>
    <d v="1970-01-01T00:00:00"/>
    <x v="9"/>
  </r>
  <r>
    <m/>
    <m/>
    <m/>
    <m/>
    <m/>
    <x v="4"/>
    <m/>
    <m/>
    <m/>
    <m/>
    <m/>
    <m/>
    <m/>
    <m/>
    <e v="#DIV/0!"/>
    <n v="0"/>
    <x v="9"/>
    <m/>
    <x v="4114"/>
    <d v="1970-01-01T00:00:00"/>
    <x v="9"/>
  </r>
  <r>
    <m/>
    <m/>
    <m/>
    <m/>
    <m/>
    <x v="4"/>
    <m/>
    <m/>
    <m/>
    <m/>
    <m/>
    <m/>
    <m/>
    <m/>
    <m/>
    <n v="0"/>
    <x v="9"/>
    <m/>
    <x v="4114"/>
    <d v="1970-01-01T00:00:00"/>
    <x v="9"/>
  </r>
  <r>
    <m/>
    <m/>
    <m/>
    <m/>
    <m/>
    <x v="4"/>
    <m/>
    <m/>
    <m/>
    <m/>
    <m/>
    <m/>
    <m/>
    <m/>
    <m/>
    <m/>
    <x v="9"/>
    <m/>
    <x v="4114"/>
    <d v="1970-01-01T00:00:00"/>
    <x v="9"/>
  </r>
  <r>
    <m/>
    <m/>
    <m/>
    <m/>
    <m/>
    <x v="4"/>
    <m/>
    <m/>
    <m/>
    <m/>
    <m/>
    <m/>
    <m/>
    <m/>
    <m/>
    <m/>
    <x v="9"/>
    <m/>
    <x v="4115"/>
    <m/>
    <x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5D1D11-CFE4-4FC3-91E2-EAB96A9B99D7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2">
        <item x="9"/>
        <item x="8"/>
        <item x="7"/>
        <item x="6"/>
        <item x="5"/>
        <item x="4"/>
        <item x="3"/>
        <item x="0"/>
        <item x="2"/>
        <item x="1"/>
        <item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C0F796-537C-4AF3-A764-8E8AF09DF2B0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B0213C-6580-4FDA-92C3-9503528A99CE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CF6E04-9F73-4DC2-8EB4-617AE6043E1B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5:F19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4095">
        <item x="4092"/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x="409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FD76B-17AF-47EE-8750-CD1BD27FD589}">
  <dimension ref="A1:E18"/>
  <sheetViews>
    <sheetView zoomScaleNormal="100" workbookViewId="0">
      <selection activeCell="E23" sqref="E23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8.5546875" bestFit="1" customWidth="1"/>
    <col min="5" max="5" width="11" bestFit="1" customWidth="1"/>
    <col min="6" max="6" width="7.109375" bestFit="1" customWidth="1"/>
    <col min="7" max="7" width="11" bestFit="1" customWidth="1"/>
  </cols>
  <sheetData>
    <row r="1" spans="1:5" x14ac:dyDescent="0.3">
      <c r="A1" s="11" t="s">
        <v>8358</v>
      </c>
      <c r="B1" t="s">
        <v>8315</v>
      </c>
    </row>
    <row r="2" spans="1:5" x14ac:dyDescent="0.3">
      <c r="A2" s="11" t="s">
        <v>8398</v>
      </c>
      <c r="B2" t="s">
        <v>8364</v>
      </c>
    </row>
    <row r="4" spans="1:5" x14ac:dyDescent="0.3">
      <c r="A4" s="11" t="s">
        <v>8363</v>
      </c>
      <c r="B4" s="11" t="s">
        <v>8360</v>
      </c>
    </row>
    <row r="5" spans="1:5" x14ac:dyDescent="0.3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2" t="s">
        <v>8367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3">
      <c r="A7" s="12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3">
      <c r="A8" s="12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3">
      <c r="A9" s="12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3">
      <c r="A10" s="12" t="s">
        <v>8368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3">
      <c r="A11" s="12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3">
      <c r="A12" s="12" t="s">
        <v>8369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3">
      <c r="A13" s="12" t="s">
        <v>8370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3">
      <c r="A14" s="12" t="s">
        <v>8371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3">
      <c r="A15" s="12" t="s">
        <v>8372</v>
      </c>
      <c r="B15" s="13">
        <v>65</v>
      </c>
      <c r="C15" s="13">
        <v>50</v>
      </c>
      <c r="D15" s="13"/>
      <c r="E15" s="13">
        <v>115</v>
      </c>
    </row>
    <row r="16" spans="1:5" x14ac:dyDescent="0.3">
      <c r="A16" s="12" t="s">
        <v>8373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3">
      <c r="A17" s="12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3">
      <c r="A18" s="12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F7C247-0225-40B5-BA73-486552DCFF4E}">
  <dimension ref="A1:H13"/>
  <sheetViews>
    <sheetView tabSelected="1" topLeftCell="A13" workbookViewId="0">
      <selection activeCell="C14" sqref="C14"/>
    </sheetView>
  </sheetViews>
  <sheetFormatPr defaultRowHeight="14.4" x14ac:dyDescent="0.3"/>
  <cols>
    <col min="1" max="1" width="14.21875" customWidth="1"/>
    <col min="2" max="2" width="17.6640625" bestFit="1" customWidth="1"/>
    <col min="3" max="3" width="13.88671875" bestFit="1" customWidth="1"/>
    <col min="4" max="4" width="16.5546875" bestFit="1" customWidth="1"/>
    <col min="5" max="5" width="12.77734375" bestFit="1" customWidth="1"/>
    <col min="6" max="6" width="20.21875" bestFit="1" customWidth="1"/>
    <col min="7" max="7" width="16.5546875" bestFit="1" customWidth="1"/>
    <col min="8" max="8" width="19.33203125" bestFit="1" customWidth="1"/>
  </cols>
  <sheetData>
    <row r="1" spans="1:8" x14ac:dyDescent="0.3">
      <c r="A1" s="16" t="s">
        <v>8381</v>
      </c>
      <c r="B1" s="16" t="s">
        <v>8399</v>
      </c>
      <c r="C1" s="16" t="s">
        <v>8400</v>
      </c>
      <c r="D1" s="16" t="s">
        <v>8401</v>
      </c>
      <c r="E1" s="16" t="s">
        <v>8402</v>
      </c>
      <c r="F1" s="16" t="s">
        <v>8403</v>
      </c>
      <c r="G1" s="16" t="s">
        <v>8404</v>
      </c>
      <c r="H1" s="16" t="s">
        <v>8405</v>
      </c>
    </row>
    <row r="2" spans="1:8" x14ac:dyDescent="0.3">
      <c r="A2" t="s">
        <v>8417</v>
      </c>
      <c r="B2">
        <f>COUNTIFS(Kickstarter!$D:$D, "&lt;1000", Kickstarter!$F:$F, "successful", Kickstarter!$R:$R, "plays")</f>
        <v>141</v>
      </c>
      <c r="C2">
        <f>COUNTIFS(Kickstarter!$D:$D, "&lt;1000", Kickstarter!$F:$F, "failed", Kickstarter!$R:$R, "plays")</f>
        <v>45</v>
      </c>
      <c r="D2">
        <f>COUNTIFS(Kickstarter!$D:$D, "&lt;1000", Kickstarter!$F:$F, "canceled", Kickstarter!$R:$R, "plays")</f>
        <v>0</v>
      </c>
      <c r="E2">
        <f>SUM(B2:D2)</f>
        <v>186</v>
      </c>
      <c r="F2" s="21">
        <f>B2/E2</f>
        <v>0.75806451612903225</v>
      </c>
      <c r="G2" s="21">
        <f>C2/E2</f>
        <v>0.24193548387096775</v>
      </c>
      <c r="H2" s="21">
        <f>D2/E2</f>
        <v>0</v>
      </c>
    </row>
    <row r="3" spans="1:8" x14ac:dyDescent="0.3">
      <c r="A3" t="s">
        <v>8406</v>
      </c>
      <c r="B3">
        <f>COUNTIFS(Kickstarter!$D:$D, "&gt;=1000", Kickstarter!$D:$D, "&lt;=4999",Kickstarter!$F:$F, "successful", Kickstarter!$R:$R, "plays")</f>
        <v>388</v>
      </c>
      <c r="C3">
        <f>COUNTIFS(Kickstarter!$D:$D, "&gt;=1000", Kickstarter!$D:$D, "&lt;=4999",Kickstarter!$F:$F, "failed", Kickstarter!$R:$R, "plays")</f>
        <v>146</v>
      </c>
      <c r="D3">
        <f>COUNTIFS(Kickstarter!$D:$D, "&gt;=1000", Kickstarter!$D:$D, "&lt;=4999",Kickstarter!$F:$F, "canceled", Kickstarter!$R:$R, "plays")</f>
        <v>0</v>
      </c>
      <c r="E3">
        <f t="shared" ref="E3:E13" si="0">SUM(B3:D3)</f>
        <v>534</v>
      </c>
      <c r="F3" s="21">
        <f t="shared" ref="F3:F13" si="1">B3/E3</f>
        <v>0.72659176029962547</v>
      </c>
      <c r="G3" s="21">
        <f t="shared" ref="G3:G13" si="2">C3/E3</f>
        <v>0.27340823970037453</v>
      </c>
      <c r="H3" s="21">
        <f t="shared" ref="H3:H13" si="3">D3/E3</f>
        <v>0</v>
      </c>
    </row>
    <row r="4" spans="1:8" x14ac:dyDescent="0.3">
      <c r="A4" t="s">
        <v>8407</v>
      </c>
      <c r="B4">
        <f>COUNTIFS(Kickstarter!$D:$D, "&gt;=5000", Kickstarter!$D:$D, "&lt;=9999",Kickstarter!$F:$F, "successful", Kickstarter!$R:$R, "plays")</f>
        <v>93</v>
      </c>
      <c r="C4">
        <f>COUNTIFS(Kickstarter!$D:$D, "&gt;=5000", Kickstarter!$D:$D, "&lt;=9999",Kickstarter!$F:$F, "failed", Kickstarter!$R:$R, "plays")</f>
        <v>76</v>
      </c>
      <c r="D4">
        <f>COUNTIFS(Kickstarter!$D:$D, "&gt;=5000", Kickstarter!$D:$D, "&lt;=9999",Kickstarter!$F:$F, "canceled", Kickstarter!$R:$R, "plays")</f>
        <v>0</v>
      </c>
      <c r="E4">
        <f t="shared" si="0"/>
        <v>169</v>
      </c>
      <c r="F4" s="21">
        <f t="shared" si="1"/>
        <v>0.55029585798816572</v>
      </c>
      <c r="G4" s="21">
        <f t="shared" si="2"/>
        <v>0.44970414201183434</v>
      </c>
      <c r="H4" s="21">
        <f t="shared" si="3"/>
        <v>0</v>
      </c>
    </row>
    <row r="5" spans="1:8" x14ac:dyDescent="0.3">
      <c r="A5" t="s">
        <v>8408</v>
      </c>
      <c r="B5">
        <f>COUNTIFS(Kickstarter!$D:$D, "&gt;=10000", Kickstarter!$D:$D, "&lt;=14999",Kickstarter!$F:$F, "successful", Kickstarter!$R:$R, "plays")</f>
        <v>39</v>
      </c>
      <c r="C5">
        <f>COUNTIFS(Kickstarter!$D:$D, "&gt;=10000", Kickstarter!$D:$D, "&lt;=14999",Kickstarter!$F:$F, "failed", Kickstarter!$R:$R, "plays")</f>
        <v>33</v>
      </c>
      <c r="D5">
        <f>COUNTIFS(Kickstarter!$D:$D, "&gt;=10000", Kickstarter!$D:$D, "&lt;=14999",Kickstarter!$F:$F, "canceled", Kickstarter!$R:$R, "plays")</f>
        <v>0</v>
      </c>
      <c r="E5">
        <f t="shared" si="0"/>
        <v>72</v>
      </c>
      <c r="F5" s="21">
        <f t="shared" si="1"/>
        <v>0.54166666666666663</v>
      </c>
      <c r="G5" s="21">
        <f t="shared" si="2"/>
        <v>0.45833333333333331</v>
      </c>
      <c r="H5" s="21">
        <f t="shared" si="3"/>
        <v>0</v>
      </c>
    </row>
    <row r="6" spans="1:8" x14ac:dyDescent="0.3">
      <c r="A6" t="s">
        <v>8409</v>
      </c>
      <c r="B6">
        <f>COUNTIFS(Kickstarter!$D:$D, "&gt;=15000", Kickstarter!$D:$D, "&lt;=19999",Kickstarter!$F:$F, "successful", Kickstarter!$R:$R, "plays")</f>
        <v>12</v>
      </c>
      <c r="C6">
        <f>COUNTIFS(Kickstarter!$D:$D, "&gt;=15000", Kickstarter!$D:$D, "&lt;=19999",Kickstarter!$F:$F, "failed", Kickstarter!$R:$R, "plays")</f>
        <v>12</v>
      </c>
      <c r="D6">
        <f>COUNTIFS(Kickstarter!$D:$D, "&gt;=15000", Kickstarter!$D:$D, "&lt;=19999",Kickstarter!$F:$F, "canceled", Kickstarter!$R:$R, "plays")</f>
        <v>0</v>
      </c>
      <c r="E6">
        <f t="shared" si="0"/>
        <v>24</v>
      </c>
      <c r="F6" s="21">
        <f t="shared" si="1"/>
        <v>0.5</v>
      </c>
      <c r="G6" s="21">
        <f t="shared" si="2"/>
        <v>0.5</v>
      </c>
      <c r="H6" s="21">
        <f t="shared" si="3"/>
        <v>0</v>
      </c>
    </row>
    <row r="7" spans="1:8" x14ac:dyDescent="0.3">
      <c r="A7" t="s">
        <v>8410</v>
      </c>
      <c r="B7">
        <f>COUNTIFS(Kickstarter!$D:$D, "&gt;=20000", Kickstarter!$D:$D, "&lt;=24999",Kickstarter!$F:$F, "successful", Kickstarter!$R:$R, "plays")</f>
        <v>9</v>
      </c>
      <c r="C7">
        <f>COUNTIFS(Kickstarter!$D:$D, "&gt;=20000", Kickstarter!$D:$D, "&lt;=24999",Kickstarter!$F:$F, "failed", Kickstarter!$R:$R, "plays")</f>
        <v>11</v>
      </c>
      <c r="D7">
        <f>COUNTIFS(Kickstarter!$D:$D, "&gt;=20000", Kickstarter!$D:$D, "&lt;=24999",Kickstarter!$F:$F, "canceled", Kickstarter!$R:$R, "plays")</f>
        <v>0</v>
      </c>
      <c r="E7">
        <f t="shared" si="0"/>
        <v>20</v>
      </c>
      <c r="F7" s="21">
        <f t="shared" si="1"/>
        <v>0.45</v>
      </c>
      <c r="G7" s="21">
        <f t="shared" si="2"/>
        <v>0.55000000000000004</v>
      </c>
      <c r="H7" s="21">
        <f t="shared" si="3"/>
        <v>0</v>
      </c>
    </row>
    <row r="8" spans="1:8" x14ac:dyDescent="0.3">
      <c r="A8" t="s">
        <v>8411</v>
      </c>
      <c r="B8">
        <f>COUNTIFS(Kickstarter!$D:$D, "&gt;=25000", Kickstarter!$D:$D, "&lt;=29999",Kickstarter!$F:$F, "successful", Kickstarter!$R:$R, "plays")</f>
        <v>1</v>
      </c>
      <c r="C8">
        <f>COUNTIFS(Kickstarter!$D:$D, "&gt;=25000", Kickstarter!$D:$D, "&lt;=29999",Kickstarter!$F:$F, "failed", Kickstarter!$R:$R, "plays")</f>
        <v>4</v>
      </c>
      <c r="D8">
        <f>COUNTIFS(Kickstarter!$D:$D, "&gt;=25000", Kickstarter!$D:$D, "&lt;=29999",Kickstarter!$F:$F, "canceled", Kickstarter!$R:$R, "plays")</f>
        <v>0</v>
      </c>
      <c r="E8">
        <f t="shared" si="0"/>
        <v>5</v>
      </c>
      <c r="F8" s="21">
        <f t="shared" si="1"/>
        <v>0.2</v>
      </c>
      <c r="G8" s="21">
        <f t="shared" si="2"/>
        <v>0.8</v>
      </c>
      <c r="H8" s="21">
        <f t="shared" si="3"/>
        <v>0</v>
      </c>
    </row>
    <row r="9" spans="1:8" x14ac:dyDescent="0.3">
      <c r="A9" t="s">
        <v>8412</v>
      </c>
      <c r="B9">
        <f>COUNTIFS(Kickstarter!$D:$D, "&gt;=30000", Kickstarter!$D:$D, "&lt;=34999",Kickstarter!$F:$F, "successful", Kickstarter!$R:$R, "plays")</f>
        <v>3</v>
      </c>
      <c r="C9">
        <f>COUNTIFS(Kickstarter!$D:$D, "&gt;=30000", Kickstarter!$D:$D, "&lt;=34999",Kickstarter!$F:$F, "failed", Kickstarter!$R:$R, "plays")</f>
        <v>8</v>
      </c>
      <c r="D9">
        <f>COUNTIFS(Kickstarter!$D:$D, "&gt;=30000", Kickstarter!$D:$D, "&lt;=34999",Kickstarter!$F:$F, "canceled", Kickstarter!$R:$R, "plays")</f>
        <v>0</v>
      </c>
      <c r="E9">
        <f t="shared" si="0"/>
        <v>11</v>
      </c>
      <c r="F9" s="21">
        <f t="shared" si="1"/>
        <v>0.27272727272727271</v>
      </c>
      <c r="G9" s="21">
        <f t="shared" si="2"/>
        <v>0.72727272727272729</v>
      </c>
      <c r="H9" s="21">
        <f t="shared" si="3"/>
        <v>0</v>
      </c>
    </row>
    <row r="10" spans="1:8" x14ac:dyDescent="0.3">
      <c r="A10" t="s">
        <v>8413</v>
      </c>
      <c r="B10">
        <f>COUNTIFS(Kickstarter!$D:$D, "&gt;=35000", Kickstarter!$D:$D, "&lt;=39999",Kickstarter!$F:$F, "successful", Kickstarter!$R:$R, "plays")</f>
        <v>4</v>
      </c>
      <c r="C10">
        <f>COUNTIFS(Kickstarter!$D:$D, "&gt;=35000", Kickstarter!$D:$D, "&lt;=39999",Kickstarter!$F:$F, "failed", Kickstarter!$R:$R, "plays")</f>
        <v>2</v>
      </c>
      <c r="D10">
        <f>COUNTIFS(Kickstarter!$D:$D, "&gt;=35000", Kickstarter!$D:$D, "&lt;=39999",Kickstarter!$F:$F, "canceled", Kickstarter!$R:$R, "plays")</f>
        <v>0</v>
      </c>
      <c r="E10">
        <f t="shared" si="0"/>
        <v>6</v>
      </c>
      <c r="F10" s="21">
        <f t="shared" si="1"/>
        <v>0.66666666666666663</v>
      </c>
      <c r="G10" s="21">
        <f t="shared" si="2"/>
        <v>0.33333333333333331</v>
      </c>
      <c r="H10" s="21">
        <f t="shared" si="3"/>
        <v>0</v>
      </c>
    </row>
    <row r="11" spans="1:8" x14ac:dyDescent="0.3">
      <c r="A11" t="s">
        <v>8414</v>
      </c>
      <c r="B11">
        <f>COUNTIFS(Kickstarter!$D:$D, "&gt;=40000", Kickstarter!$D:$D, "&lt;=44999",Kickstarter!$F:$F, "successful", Kickstarter!$R:$R, "plays")</f>
        <v>2</v>
      </c>
      <c r="C11">
        <f>COUNTIFS(Kickstarter!$D:$D, "&gt;=40000", Kickstarter!$D:$D, "&lt;=44999",Kickstarter!$F:$F, "failed", Kickstarter!$R:$R, "plays")</f>
        <v>1</v>
      </c>
      <c r="D11">
        <f>COUNTIFS(Kickstarter!$D:$D, "&gt;=40000", Kickstarter!$D:$D, "&lt;=44999",Kickstarter!$F:$F, "canceled", Kickstarter!$R:$R, "plays")</f>
        <v>0</v>
      </c>
      <c r="E11">
        <f t="shared" si="0"/>
        <v>3</v>
      </c>
      <c r="F11" s="21">
        <f t="shared" si="1"/>
        <v>0.66666666666666663</v>
      </c>
      <c r="G11" s="21">
        <f t="shared" si="2"/>
        <v>0.33333333333333331</v>
      </c>
      <c r="H11" s="21">
        <f t="shared" si="3"/>
        <v>0</v>
      </c>
    </row>
    <row r="12" spans="1:8" x14ac:dyDescent="0.3">
      <c r="A12" t="s">
        <v>8415</v>
      </c>
      <c r="B12">
        <f>COUNTIFS(Kickstarter!$D:$D, "&gt;=45000", Kickstarter!$D:$D, "&lt;=49999",Kickstarter!$F:$F, "successful", Kickstarter!$R:$R, "plays")</f>
        <v>0</v>
      </c>
      <c r="C12">
        <f>COUNTIFS(Kickstarter!$D:$D, "&gt;=45000", Kickstarter!$D:$D, "&lt;=49999",Kickstarter!$F:$F, "failed", Kickstarter!$R:$R, "plays")</f>
        <v>1</v>
      </c>
      <c r="D12">
        <f>COUNTIFS(Kickstarter!$D:$D, "&gt;=45000", Kickstarter!$D:$D, "&lt;=49999",Kickstarter!$F:$F, "canceled", Kickstarter!$R:$R, "plays")</f>
        <v>0</v>
      </c>
      <c r="E12">
        <f t="shared" si="0"/>
        <v>1</v>
      </c>
      <c r="F12" s="21">
        <f t="shared" si="1"/>
        <v>0</v>
      </c>
      <c r="G12" s="21">
        <f t="shared" si="2"/>
        <v>1</v>
      </c>
      <c r="H12" s="21">
        <f t="shared" si="3"/>
        <v>0</v>
      </c>
    </row>
    <row r="13" spans="1:8" x14ac:dyDescent="0.3">
      <c r="A13" t="s">
        <v>8416</v>
      </c>
      <c r="B13">
        <f>COUNTIFS(Kickstarter!$D:$D, "&gt;=50000",Kickstarter!$F:$F, "successful", Kickstarter!$R:$R, "plays")</f>
        <v>2</v>
      </c>
      <c r="C13">
        <f>COUNTIFS(Kickstarter!$D:$D, "&gt;=50000",Kickstarter!$F:$F, "failed", Kickstarter!$R:$R, "plays")</f>
        <v>14</v>
      </c>
      <c r="D13">
        <f>COUNTIFS(Kickstarter!$D:$D, "&gt;=50000",Kickstarter!$F:$F, "canceled", Kickstarter!$R:$R, "plays")</f>
        <v>0</v>
      </c>
      <c r="E13">
        <f t="shared" si="0"/>
        <v>16</v>
      </c>
      <c r="F13" s="21">
        <f t="shared" si="1"/>
        <v>0.125</v>
      </c>
      <c r="G13" s="21">
        <f t="shared" si="2"/>
        <v>0.875</v>
      </c>
      <c r="H13" s="21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9"/>
  <sheetViews>
    <sheetView topLeftCell="C1" zoomScaleNormal="100" workbookViewId="0">
      <pane ySplit="1" topLeftCell="A598" activePane="bottomLeft" state="frozen"/>
      <selection pane="bottomLeft" activeCell="E603" sqref="E603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6.33203125" style="6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88671875" bestFit="1" customWidth="1"/>
    <col min="16" max="16" width="16.5546875" bestFit="1" customWidth="1"/>
    <col min="17" max="17" width="41.109375" customWidth="1"/>
    <col min="18" max="18" width="16.33203125" bestFit="1" customWidth="1"/>
    <col min="19" max="19" width="22.77734375" style="15" bestFit="1" customWidth="1"/>
    <col min="20" max="20" width="21.33203125" style="15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  <c r="U1" s="16" t="s">
        <v>8398</v>
      </c>
    </row>
    <row r="2" spans="1:21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0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0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0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0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0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0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0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0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0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0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0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0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0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0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0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0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0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0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0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0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0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0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0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0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0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0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0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0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0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0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0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0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0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0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0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0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0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0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0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0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0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0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0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0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0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0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0" t="s">
        <v>8315</v>
      </c>
      <c r="R3011" t="s">
        <v>8355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0" t="s">
        <v>8315</v>
      </c>
      <c r="R3074" t="s">
        <v>8355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0" t="s">
        <v>8315</v>
      </c>
      <c r="R3075" t="s">
        <v>8355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0" t="s">
        <v>8315</v>
      </c>
      <c r="R3138" t="s">
        <v>8316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0" t="s">
        <v>8315</v>
      </c>
      <c r="R3139" t="s">
        <v>8316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0" t="s">
        <v>8315</v>
      </c>
      <c r="R3202" t="s">
        <v>8357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0" t="s">
        <v>8315</v>
      </c>
      <c r="R3203" t="s">
        <v>8357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0" t="s">
        <v>8315</v>
      </c>
      <c r="R3266" t="s">
        <v>8316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0" t="s">
        <v>8315</v>
      </c>
      <c r="R3267" t="s">
        <v>8316</v>
      </c>
      <c r="S3267" s="15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0" t="s">
        <v>8315</v>
      </c>
      <c r="R3330" t="s">
        <v>8316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0" t="s">
        <v>8315</v>
      </c>
      <c r="R3331" t="s">
        <v>8316</v>
      </c>
      <c r="S3331" s="15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0" t="s">
        <v>8315</v>
      </c>
      <c r="R3394" t="s">
        <v>8316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0" t="s">
        <v>8315</v>
      </c>
      <c r="R3395" t="s">
        <v>8316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0" t="s">
        <v>8315</v>
      </c>
      <c r="R3458" t="s">
        <v>8316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0" t="s">
        <v>8315</v>
      </c>
      <c r="R3459" t="s">
        <v>8316</v>
      </c>
      <c r="S3459" s="15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0" t="s">
        <v>8315</v>
      </c>
      <c r="R3522" t="s">
        <v>8316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0" t="s">
        <v>8315</v>
      </c>
      <c r="R3523" t="s">
        <v>8316</v>
      </c>
      <c r="S3523" s="15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0" t="s">
        <v>8315</v>
      </c>
      <c r="R3586" t="s">
        <v>8316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0" t="s">
        <v>8315</v>
      </c>
      <c r="R3587" t="s">
        <v>8316</v>
      </c>
      <c r="S3587" s="15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0" t="s">
        <v>8315</v>
      </c>
      <c r="R3650" t="s">
        <v>8316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0" t="s">
        <v>8315</v>
      </c>
      <c r="R3651" t="s">
        <v>8316</v>
      </c>
      <c r="S3651" s="15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0" t="s">
        <v>8315</v>
      </c>
      <c r="R3714" t="s">
        <v>8316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0" t="s">
        <v>8315</v>
      </c>
      <c r="R3715" t="s">
        <v>8316</v>
      </c>
      <c r="S3715" s="15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0" t="s">
        <v>8315</v>
      </c>
      <c r="R3778" t="s">
        <v>8357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0" t="s">
        <v>8315</v>
      </c>
      <c r="R3779" t="s">
        <v>8357</v>
      </c>
      <c r="S3779" s="15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0" t="s">
        <v>8315</v>
      </c>
      <c r="R3842" t="s">
        <v>8316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10" t="s">
        <v>8315</v>
      </c>
      <c r="R3843" t="s">
        <v>8316</v>
      </c>
      <c r="S3843" s="15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0" t="s">
        <v>8315</v>
      </c>
      <c r="R3906" t="s">
        <v>8316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10" t="s">
        <v>8315</v>
      </c>
      <c r="R3907" t="s">
        <v>8316</v>
      </c>
      <c r="S3907" s="15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0" t="s">
        <v>8315</v>
      </c>
      <c r="R3970" t="s">
        <v>8316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0" t="s">
        <v>8315</v>
      </c>
      <c r="R3971" t="s">
        <v>8316</v>
      </c>
      <c r="S3971" s="15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0" t="s">
        <v>8315</v>
      </c>
      <c r="R4034" t="s">
        <v>8316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10" t="s">
        <v>8315</v>
      </c>
      <c r="R4035" t="s">
        <v>8316</v>
      </c>
      <c r="S4035" s="15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7" si="320">ROUND(E4098/D4098*100,0)</f>
        <v>11</v>
      </c>
      <c r="P4098">
        <f t="shared" si="316"/>
        <v>80</v>
      </c>
      <c r="Q4098" s="10" t="s">
        <v>8315</v>
      </c>
      <c r="R4098" t="s">
        <v>8316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8" si="321">IFERROR(ROUND(E4099/L4099,2),0)</f>
        <v>0</v>
      </c>
      <c r="Q4099" s="10" t="s">
        <v>8315</v>
      </c>
      <c r="R4099" t="s">
        <v>8316</v>
      </c>
      <c r="S4099" s="15">
        <f t="shared" ref="S4099:S4119" si="322">(((J4099/60)/60)/24)+DATE(1970,1,1)</f>
        <v>42344.824502314819</v>
      </c>
      <c r="T4099" s="15">
        <f t="shared" ref="T4099:T4119" si="323">(((I4099/60)/60)/24)+DATE(1970,1,1)</f>
        <v>42400.996527777781</v>
      </c>
      <c r="U4099">
        <f t="shared" ref="U4099:U4119" si="324">YEAR(S4099)</f>
        <v>2015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  <row r="4116" spans="1:21" x14ac:dyDescent="0.3">
      <c r="O4116" t="e">
        <f t="shared" si="320"/>
        <v>#DIV/0!</v>
      </c>
      <c r="P4116">
        <f t="shared" si="321"/>
        <v>0</v>
      </c>
      <c r="S4116" s="15">
        <f t="shared" si="322"/>
        <v>25569</v>
      </c>
      <c r="T4116" s="15">
        <f t="shared" si="323"/>
        <v>25569</v>
      </c>
      <c r="U4116">
        <f t="shared" si="324"/>
        <v>1970</v>
      </c>
    </row>
    <row r="4117" spans="1:21" x14ac:dyDescent="0.3">
      <c r="O4117" t="e">
        <f t="shared" si="320"/>
        <v>#DIV/0!</v>
      </c>
      <c r="P4117">
        <f t="shared" si="321"/>
        <v>0</v>
      </c>
      <c r="S4117" s="15">
        <f t="shared" si="322"/>
        <v>25569</v>
      </c>
      <c r="T4117" s="15">
        <f t="shared" si="323"/>
        <v>25569</v>
      </c>
      <c r="U4117">
        <f t="shared" si="324"/>
        <v>1970</v>
      </c>
    </row>
    <row r="4118" spans="1:21" x14ac:dyDescent="0.3">
      <c r="P4118">
        <f t="shared" si="321"/>
        <v>0</v>
      </c>
      <c r="S4118" s="15">
        <f t="shared" si="322"/>
        <v>25569</v>
      </c>
      <c r="T4118" s="15">
        <f t="shared" si="323"/>
        <v>25569</v>
      </c>
      <c r="U4118">
        <f t="shared" si="324"/>
        <v>1970</v>
      </c>
    </row>
    <row r="4119" spans="1:21" x14ac:dyDescent="0.3">
      <c r="S4119" s="15">
        <f t="shared" si="322"/>
        <v>25569</v>
      </c>
      <c r="T4119" s="15">
        <f t="shared" si="323"/>
        <v>25569</v>
      </c>
      <c r="U4119">
        <f t="shared" si="324"/>
        <v>1970</v>
      </c>
    </row>
  </sheetData>
  <autoFilter ref="A1:T4119" xr:uid="{00000000-0001-0000-0000-000000000000}"/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17">
    <cfRule type="colorScale" priority="1">
      <colorScale>
        <cfvo type="min"/>
        <cfvo type="max"/>
        <color rgb="FFFF7575"/>
        <color theme="8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3CED4-1F62-42F2-BC89-373228957D69}">
  <dimension ref="A1:F6"/>
  <sheetViews>
    <sheetView workbookViewId="0">
      <selection activeCell="E6" sqref="E6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7" width="11" bestFit="1" customWidth="1"/>
  </cols>
  <sheetData>
    <row r="1" spans="1:6" x14ac:dyDescent="0.3">
      <c r="A1" s="11" t="s">
        <v>8222</v>
      </c>
      <c r="B1" t="s">
        <v>8223</v>
      </c>
    </row>
    <row r="3" spans="1:6" x14ac:dyDescent="0.3">
      <c r="A3" s="11" t="s">
        <v>8363</v>
      </c>
      <c r="B3" s="11" t="s">
        <v>8360</v>
      </c>
    </row>
    <row r="4" spans="1:6" x14ac:dyDescent="0.3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61B447-C9AE-41EC-A9D4-C886D6DF4E7E}">
  <dimension ref="A1:E7"/>
  <sheetViews>
    <sheetView topLeftCell="A10" workbookViewId="0">
      <selection activeCell="B1" sqref="B1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7" width="11" bestFit="1" customWidth="1"/>
  </cols>
  <sheetData>
    <row r="1" spans="1:5" x14ac:dyDescent="0.3">
      <c r="A1" s="11" t="s">
        <v>8222</v>
      </c>
      <c r="B1" t="s">
        <v>8224</v>
      </c>
    </row>
    <row r="2" spans="1:5" x14ac:dyDescent="0.3">
      <c r="A2" s="11" t="s">
        <v>8358</v>
      </c>
      <c r="B2" t="s">
        <v>8364</v>
      </c>
    </row>
    <row r="4" spans="1:5" x14ac:dyDescent="0.3">
      <c r="A4" s="11" t="s">
        <v>8363</v>
      </c>
      <c r="B4" s="11" t="s">
        <v>8360</v>
      </c>
    </row>
    <row r="5" spans="1:5" x14ac:dyDescent="0.3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3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FAE0F8-DF8D-45F6-9C44-B18912C4797B}">
  <dimension ref="A3:N19"/>
  <sheetViews>
    <sheetView workbookViewId="0">
      <selection activeCell="A9" sqref="A9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7" width="11" bestFit="1" customWidth="1"/>
  </cols>
  <sheetData>
    <row r="3" spans="1:6" x14ac:dyDescent="0.3">
      <c r="A3" s="11" t="s">
        <v>8358</v>
      </c>
      <c r="B3" t="s">
        <v>8315</v>
      </c>
    </row>
    <row r="5" spans="1:6" x14ac:dyDescent="0.3">
      <c r="A5" s="11" t="s">
        <v>8363</v>
      </c>
      <c r="B5" s="11" t="s">
        <v>8360</v>
      </c>
    </row>
    <row r="6" spans="1:6" x14ac:dyDescent="0.3">
      <c r="A6" s="11" t="s">
        <v>8362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3">
      <c r="A7" s="12" t="s">
        <v>8367</v>
      </c>
      <c r="B7" s="13">
        <v>7</v>
      </c>
      <c r="C7" s="13">
        <v>33</v>
      </c>
      <c r="D7" s="13">
        <v>2</v>
      </c>
      <c r="E7" s="13">
        <v>56</v>
      </c>
      <c r="F7" s="13">
        <v>98</v>
      </c>
    </row>
    <row r="8" spans="1:6" x14ac:dyDescent="0.3">
      <c r="A8" s="12" t="s">
        <v>8374</v>
      </c>
      <c r="B8" s="13">
        <v>3</v>
      </c>
      <c r="C8" s="13">
        <v>39</v>
      </c>
      <c r="D8" s="13">
        <v>8</v>
      </c>
      <c r="E8" s="13">
        <v>71</v>
      </c>
      <c r="F8" s="13">
        <v>121</v>
      </c>
    </row>
    <row r="9" spans="1:6" x14ac:dyDescent="0.3">
      <c r="A9" s="12" t="s">
        <v>8375</v>
      </c>
      <c r="B9" s="13">
        <v>3</v>
      </c>
      <c r="C9" s="13">
        <v>33</v>
      </c>
      <c r="D9" s="13">
        <v>14</v>
      </c>
      <c r="E9" s="13">
        <v>56</v>
      </c>
      <c r="F9" s="13">
        <v>106</v>
      </c>
    </row>
    <row r="10" spans="1:6" x14ac:dyDescent="0.3">
      <c r="A10" s="12" t="s">
        <v>8376</v>
      </c>
      <c r="B10" s="13">
        <v>2</v>
      </c>
      <c r="C10" s="13">
        <v>40</v>
      </c>
      <c r="D10" s="13"/>
      <c r="E10" s="13">
        <v>71</v>
      </c>
      <c r="F10" s="13">
        <v>113</v>
      </c>
    </row>
    <row r="11" spans="1:6" x14ac:dyDescent="0.3">
      <c r="A11" s="12" t="s">
        <v>8368</v>
      </c>
      <c r="B11" s="13">
        <v>3</v>
      </c>
      <c r="C11" s="13">
        <v>52</v>
      </c>
      <c r="D11" s="13"/>
      <c r="E11" s="13">
        <v>111</v>
      </c>
      <c r="F11" s="13">
        <v>166</v>
      </c>
    </row>
    <row r="12" spans="1:6" x14ac:dyDescent="0.3">
      <c r="A12" s="12" t="s">
        <v>8377</v>
      </c>
      <c r="B12" s="13">
        <v>4</v>
      </c>
      <c r="C12" s="13">
        <v>49</v>
      </c>
      <c r="D12" s="13"/>
      <c r="E12" s="13">
        <v>100</v>
      </c>
      <c r="F12" s="13">
        <v>153</v>
      </c>
    </row>
    <row r="13" spans="1:6" x14ac:dyDescent="0.3">
      <c r="A13" s="12" t="s">
        <v>8369</v>
      </c>
      <c r="B13" s="13">
        <v>1</v>
      </c>
      <c r="C13" s="13">
        <v>50</v>
      </c>
      <c r="D13" s="13"/>
      <c r="E13" s="13">
        <v>87</v>
      </c>
      <c r="F13" s="13">
        <v>138</v>
      </c>
    </row>
    <row r="14" spans="1:6" x14ac:dyDescent="0.3">
      <c r="A14" s="12" t="s">
        <v>8370</v>
      </c>
      <c r="B14" s="13">
        <v>4</v>
      </c>
      <c r="C14" s="13">
        <v>47</v>
      </c>
      <c r="D14" s="13"/>
      <c r="E14" s="13">
        <v>72</v>
      </c>
      <c r="F14" s="13">
        <v>123</v>
      </c>
    </row>
    <row r="15" spans="1:6" x14ac:dyDescent="0.3">
      <c r="A15" s="12" t="s">
        <v>8371</v>
      </c>
      <c r="B15" s="13">
        <v>4</v>
      </c>
      <c r="C15" s="13">
        <v>34</v>
      </c>
      <c r="D15" s="13"/>
      <c r="E15" s="13">
        <v>59</v>
      </c>
      <c r="F15" s="13">
        <v>97</v>
      </c>
    </row>
    <row r="16" spans="1:6" x14ac:dyDescent="0.3">
      <c r="A16" s="12" t="s">
        <v>8372</v>
      </c>
      <c r="B16" s="13"/>
      <c r="C16" s="13">
        <v>50</v>
      </c>
      <c r="D16" s="13"/>
      <c r="E16" s="13">
        <v>65</v>
      </c>
      <c r="F16" s="13">
        <v>115</v>
      </c>
    </row>
    <row r="17" spans="1:14" x14ac:dyDescent="0.3">
      <c r="A17" s="12" t="s">
        <v>8373</v>
      </c>
      <c r="B17" s="13">
        <v>3</v>
      </c>
      <c r="C17" s="13">
        <v>31</v>
      </c>
      <c r="D17" s="13"/>
      <c r="E17" s="13">
        <v>54</v>
      </c>
      <c r="F17" s="13">
        <v>88</v>
      </c>
    </row>
    <row r="18" spans="1:14" x14ac:dyDescent="0.3">
      <c r="A18" s="12" t="s">
        <v>8378</v>
      </c>
      <c r="B18" s="13">
        <v>3</v>
      </c>
      <c r="C18" s="13">
        <v>35</v>
      </c>
      <c r="D18" s="13"/>
      <c r="E18" s="13">
        <v>37</v>
      </c>
      <c r="F18" s="13">
        <v>75</v>
      </c>
      <c r="N18" s="19"/>
    </row>
    <row r="19" spans="1:14" x14ac:dyDescent="0.3">
      <c r="A19" s="12" t="s">
        <v>8361</v>
      </c>
      <c r="B19" s="13">
        <v>37</v>
      </c>
      <c r="C19" s="13">
        <v>493</v>
      </c>
      <c r="D19" s="13">
        <v>24</v>
      </c>
      <c r="E19" s="13">
        <v>839</v>
      </c>
      <c r="F19" s="13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40B1E1-D361-4C9C-8DE1-2790D898F5E3}">
  <dimension ref="A1:F6"/>
  <sheetViews>
    <sheetView workbookViewId="0">
      <selection activeCell="B13" sqref="B13"/>
    </sheetView>
  </sheetViews>
  <sheetFormatPr defaultRowHeight="14.4" x14ac:dyDescent="0.3"/>
  <cols>
    <col min="1" max="1" width="33.88671875" customWidth="1"/>
    <col min="2" max="2" width="124.88671875" bestFit="1" customWidth="1"/>
    <col min="5" max="5" width="16.5546875" bestFit="1" customWidth="1"/>
    <col min="6" max="6" width="17.44140625" bestFit="1" customWidth="1"/>
  </cols>
  <sheetData>
    <row r="1" spans="1:6" s="16" customFormat="1" x14ac:dyDescent="0.3">
      <c r="A1" s="16" t="s">
        <v>8379</v>
      </c>
      <c r="B1" s="16" t="s">
        <v>8380</v>
      </c>
      <c r="C1" s="16" t="s">
        <v>8381</v>
      </c>
      <c r="D1" s="16" t="s">
        <v>8382</v>
      </c>
      <c r="E1" s="16" t="s">
        <v>8307</v>
      </c>
      <c r="F1" s="16" t="s">
        <v>8383</v>
      </c>
    </row>
    <row r="2" spans="1:6" x14ac:dyDescent="0.3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3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3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3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3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4F93E7-C685-44CF-ABBB-F127C98D63CB}">
  <dimension ref="A1:C14"/>
  <sheetViews>
    <sheetView workbookViewId="0">
      <selection activeCell="C19" sqref="C19"/>
    </sheetView>
  </sheetViews>
  <sheetFormatPr defaultRowHeight="14.4" x14ac:dyDescent="0.3"/>
  <cols>
    <col min="1" max="1" width="30.21875" customWidth="1"/>
    <col min="2" max="2" width="11.109375" style="18" customWidth="1"/>
    <col min="3" max="3" width="11.21875" style="18" bestFit="1" customWidth="1"/>
  </cols>
  <sheetData>
    <row r="1" spans="1:3" x14ac:dyDescent="0.3">
      <c r="B1" s="17" t="s">
        <v>8384</v>
      </c>
      <c r="C1" s="17" t="s">
        <v>8385</v>
      </c>
    </row>
    <row r="2" spans="1:3" x14ac:dyDescent="0.3">
      <c r="A2" s="16" t="s">
        <v>8386</v>
      </c>
      <c r="B2" s="18" t="e">
        <f>AVERAGE(#REF!)</f>
        <v>#REF!</v>
      </c>
      <c r="C2" s="18" t="e">
        <f>AVERAGE(#REF!)</f>
        <v>#REF!</v>
      </c>
    </row>
    <row r="3" spans="1:3" x14ac:dyDescent="0.3">
      <c r="A3" s="16" t="s">
        <v>8387</v>
      </c>
      <c r="B3" s="18" t="e">
        <f>MEDIAN(#REF!)</f>
        <v>#REF!</v>
      </c>
      <c r="C3" s="18" t="e">
        <f>MEDIAN(#REF!)</f>
        <v>#REF!</v>
      </c>
    </row>
    <row r="4" spans="1:3" x14ac:dyDescent="0.3">
      <c r="A4" s="16" t="s">
        <v>8390</v>
      </c>
      <c r="B4" s="18" t="e">
        <f>_xlfn.STDEV.P(#REF!)</f>
        <v>#REF!</v>
      </c>
      <c r="C4" s="18" t="e">
        <f>_xlfn.STDEV.P(#REF!)</f>
        <v>#REF!</v>
      </c>
    </row>
    <row r="5" spans="1:3" x14ac:dyDescent="0.3">
      <c r="A5" s="16" t="s">
        <v>8391</v>
      </c>
      <c r="B5" s="18" t="e">
        <f>_xlfn.QUARTILE.EXC(#REF!, 3)</f>
        <v>#REF!</v>
      </c>
      <c r="C5" s="18" t="e">
        <f>_xlfn.QUARTILE.EXC(#REF!, 3)</f>
        <v>#REF!</v>
      </c>
    </row>
    <row r="6" spans="1:3" x14ac:dyDescent="0.3">
      <c r="A6" s="16" t="s">
        <v>8392</v>
      </c>
      <c r="B6" s="18" t="e">
        <f>_xlfn.QUARTILE.EXC(#REF!, 1)</f>
        <v>#REF!</v>
      </c>
      <c r="C6" s="18" t="e">
        <f>_xlfn.QUARTILE.EXC(#REF!, 1)</f>
        <v>#REF!</v>
      </c>
    </row>
    <row r="7" spans="1:3" s="19" customFormat="1" x14ac:dyDescent="0.3">
      <c r="A7" s="16" t="s">
        <v>8393</v>
      </c>
      <c r="B7" s="20" t="e">
        <f>B5-B6</f>
        <v>#REF!</v>
      </c>
      <c r="C7" s="20" t="e">
        <f>C5-C6</f>
        <v>#REF!</v>
      </c>
    </row>
    <row r="9" spans="1:3" x14ac:dyDescent="0.3">
      <c r="A9" s="16" t="s">
        <v>8388</v>
      </c>
      <c r="B9" s="18" t="e">
        <f>AVERAGE(#REF!)</f>
        <v>#REF!</v>
      </c>
      <c r="C9" s="18" t="e">
        <f>AVERAGE(#REF!)</f>
        <v>#REF!</v>
      </c>
    </row>
    <row r="10" spans="1:3" x14ac:dyDescent="0.3">
      <c r="A10" s="16" t="s">
        <v>8389</v>
      </c>
      <c r="B10" s="18" t="e">
        <f>MEDIAN(#REF!)</f>
        <v>#REF!</v>
      </c>
      <c r="C10" s="18" t="e">
        <f>MEDIAN(#REF!)</f>
        <v>#REF!</v>
      </c>
    </row>
    <row r="11" spans="1:3" x14ac:dyDescent="0.3">
      <c r="A11" s="16" t="s">
        <v>8394</v>
      </c>
      <c r="B11" s="18" t="e">
        <f>_xlfn.STDEV.P(#REF!)</f>
        <v>#REF!</v>
      </c>
      <c r="C11" s="18" t="e">
        <f>_xlfn.STDEV.P(#REF!)</f>
        <v>#REF!</v>
      </c>
    </row>
    <row r="12" spans="1:3" x14ac:dyDescent="0.3">
      <c r="A12" s="16" t="s">
        <v>8395</v>
      </c>
      <c r="B12" s="18" t="e">
        <f>_xlfn.QUARTILE.EXC(#REF!, 3)</f>
        <v>#REF!</v>
      </c>
      <c r="C12" s="18" t="e">
        <f>_xlfn.QUARTILE.EXC(#REF!, 3)</f>
        <v>#REF!</v>
      </c>
    </row>
    <row r="13" spans="1:3" x14ac:dyDescent="0.3">
      <c r="A13" s="16" t="s">
        <v>8396</v>
      </c>
      <c r="B13" s="18" t="e">
        <f>_xlfn.QUARTILE.EXC(#REF!, 1)</f>
        <v>#REF!</v>
      </c>
      <c r="C13" s="18" t="e">
        <f>_xlfn.QUARTILE.EXC(#REF!, 1)</f>
        <v>#REF!</v>
      </c>
    </row>
    <row r="14" spans="1:3" x14ac:dyDescent="0.3">
      <c r="A14" s="16" t="s">
        <v>8397</v>
      </c>
      <c r="B14" s="18" t="e">
        <f>B12-B13</f>
        <v>#REF!</v>
      </c>
      <c r="C14" s="18" t="e">
        <f>C12-C13</f>
        <v>#REF!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2576DF-59DC-4A4A-AA5E-3EF5374BA1EB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Theatre Outcomes by Launch Date</vt:lpstr>
      <vt:lpstr>Outcomes Based On Goals</vt:lpstr>
      <vt:lpstr>Kickstarter</vt:lpstr>
      <vt:lpstr>Category Statistics</vt:lpstr>
      <vt:lpstr>Subcategory Statistics</vt:lpstr>
      <vt:lpstr>Outcomes Based On Launch Date</vt:lpstr>
      <vt:lpstr>Edinburgh Research</vt:lpstr>
      <vt:lpstr>Descriptive Statistics</vt:lpstr>
      <vt:lpstr>Successful US Games</vt:lpstr>
      <vt:lpstr>GB Musical Goal v Pledged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Josh Albrecht</cp:lastModifiedBy>
  <dcterms:created xsi:type="dcterms:W3CDTF">2017-04-20T15:17:24Z</dcterms:created>
  <dcterms:modified xsi:type="dcterms:W3CDTF">2022-12-04T00:21:59Z</dcterms:modified>
</cp:coreProperties>
</file>