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4.xml" ContentType="application/vnd.openxmlformats-officedocument.themeOverride+xml"/>
  <Override PartName="/xl/drawings/drawing3.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5.xml" ContentType="application/vnd.openxmlformats-officedocument.themeOverride+xml"/>
  <Override PartName="/xl/drawings/drawing4.xml" ContentType="application/vnd.openxmlformats-officedocument.drawingml.chartshapes+xml"/>
  <Override PartName="/xl/tables/table1.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6.xml" ContentType="application/vnd.openxmlformats-officedocument.themeOverride+xml"/>
  <Override PartName="/xl/drawings/drawing7.xml" ContentType="application/vnd.openxmlformats-officedocument.drawingml.chartshapes+xml"/>
  <Override PartName="/xl/pivotTables/pivotTable1.xml" ContentType="application/vnd.openxmlformats-officedocument.spreadsheetml.pivotTable+xml"/>
  <Override PartName="/xl/drawings/drawing8.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xml" ContentType="application/vnd.openxmlformats-officedocument.spreadsheetml.pivotTable+xml"/>
  <Override PartName="/xl/drawings/drawing9.xml" ContentType="application/vnd.openxmlformats-officedocument.drawing+xml"/>
  <Override PartName="/xl/tables/table2.xml" ContentType="application/vnd.openxmlformats-officedocument.spreadsheetml.table+xml"/>
  <Override PartName="/xl/slicers/slicer2.xml" ContentType="application/vnd.ms-excel.slicer+xml"/>
  <Override PartName="/xl/slicers/slicer3.xml" ContentType="application/vnd.ms-excel.slicer+xml"/>
  <Override PartName="/xl/comments1.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7.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drawings/drawing10.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4.xml" ContentType="application/vnd.ms-excel.slicer+xml"/>
  <Override PartName="/xl/comments2.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8.xml" ContentType="application/vnd.openxmlformats-officedocument.themeOverride+xml"/>
  <Override PartName="/xl/tables/table9.xml" ContentType="application/vnd.openxmlformats-officedocument.spreadsheetml.table+xml"/>
  <Override PartName="/xl/queryTables/queryTable4.xml" ContentType="application/vnd.openxmlformats-officedocument.spreadsheetml.queryTable+xml"/>
  <Override PartName="/xl/tables/table10.xml" ContentType="application/vnd.openxmlformats-officedocument.spreadsheetml.table+xml"/>
  <Override PartName="/xl/queryTables/queryTable5.xml" ContentType="application/vnd.openxmlformats-officedocument.spreadsheetml.queryTable+xml"/>
  <Override PartName="/xl/drawings/drawing11.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Tables/pivotTable3.xml" ContentType="application/vnd.openxmlformats-officedocument.spreadsheetml.pivotTable+xml"/>
  <Override PartName="/xl/drawings/drawing12.xml" ContentType="application/vnd.openxmlformats-officedocument.drawing+xml"/>
  <Override PartName="/xl/tables/table11.xml" ContentType="application/vnd.openxmlformats-officedocument.spreadsheetml.tab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9.xml" ContentType="application/vnd.openxmlformats-officedocument.themeOverrid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ables/table12.xml" ContentType="application/vnd.openxmlformats-officedocument.spreadsheetml.table+xml"/>
  <Override PartName="/xl/queryTables/queryTable6.xml" ContentType="application/vnd.openxmlformats-officedocument.spreadsheetml.queryTable+xml"/>
  <Override PartName="/xl/drawings/drawing13.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10.xml" ContentType="application/vnd.openxmlformats-officedocument.themeOverrid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sanji\Downloads\"/>
    </mc:Choice>
  </mc:AlternateContent>
  <bookViews>
    <workbookView xWindow="0" yWindow="0" windowWidth="23040" windowHeight="8496"/>
  </bookViews>
  <sheets>
    <sheet name="Poonawalla Fincorp " sheetId="1" r:id="rId1"/>
    <sheet name="Sheet2" sheetId="2" state="hidden" r:id="rId2"/>
    <sheet name="Promoter Holding" sheetId="3" state="hidden" r:id="rId3"/>
    <sheet name="FS" sheetId="4" state="hidden" r:id="rId4"/>
    <sheet name="DATA FS" sheetId="5" state="hidden" r:id="rId5"/>
    <sheet name="Sheet5" sheetId="18" state="hidden" r:id="rId6"/>
    <sheet name="DATA LIST" sheetId="21" state="hidden" r:id="rId7"/>
    <sheet name="Automation Working" sheetId="22" state="hidden" r:id="rId8"/>
    <sheet name="Our Pivot Full" sheetId="23" state="hidden" r:id="rId9"/>
    <sheet name="Our Pivot" sheetId="19" state="hidden" r:id="rId10"/>
    <sheet name="Our PH" sheetId="20" state="hidden" r:id="rId11"/>
    <sheet name="Imp Ratios" sheetId="6" state="hidden" r:id="rId12"/>
    <sheet name="Stock 2" sheetId="15" state="hidden" r:id="rId13"/>
    <sheet name="STOCK" sheetId="9" state="hidden" r:id="rId14"/>
    <sheet name="Trend Files" sheetId="7" state="hidden" r:id="rId15"/>
    <sheet name="Bond Trades" sheetId="10" state="hidden" r:id="rId16"/>
    <sheet name="Sheet1" sheetId="24" state="hidden" r:id="rId17"/>
    <sheet name="Georaphic Breakup" sheetId="12" state="hidden" r:id="rId18"/>
    <sheet name="Sheet9" sheetId="14" state="hidden" r:id="rId19"/>
    <sheet name="NSE Poona" sheetId="13" state="hidden" r:id="rId20"/>
    <sheet name="Logos" sheetId="16" state="hidden" r:id="rId21"/>
  </sheets>
  <externalReferences>
    <externalReference r:id="rId22"/>
  </externalReferences>
  <definedNames>
    <definedName name="_xlnm._FilterDatabase" localSheetId="14" hidden="1">'Trend Files'!$A$1:$L$110</definedName>
    <definedName name="ABSL_">'Automation Working'!$G$101</definedName>
    <definedName name="Aditya_Birla_Sun_Life_Trustee_Private_Limited">'Automation Working'!$F$101</definedName>
    <definedName name="Amansa_hold">'Automation Working'!$G$98</definedName>
    <definedName name="Amansa_Holdings_Private_Limited">'Automation Working'!$F$98</definedName>
    <definedName name="Bank_Muscat">'Automation Working'!$G$102</definedName>
    <definedName name="Bank_Muscat_India_Fund">'Automation Working'!$F$102</definedName>
    <definedName name="ExternalData_1" localSheetId="10" hidden="1">'Our PH'!$A$1:$C$41</definedName>
    <definedName name="ExternalData_1" localSheetId="9" hidden="1">'Our Pivot'!$A$1:$C$71</definedName>
    <definedName name="ExternalData_1" localSheetId="18" hidden="1">Sheet9!$A$1:$C$6</definedName>
    <definedName name="ExternalData_1" localSheetId="13" hidden="1">STOCK!$A$1:$D$4</definedName>
    <definedName name="ExternalData_2" localSheetId="8" hidden="1">'Our Pivot Full'!$A$1:$C$73</definedName>
    <definedName name="ExternalData_2" localSheetId="12" hidden="1">'Stock 2'!$A$1:$C$4</definedName>
    <definedName name="img_1">Logos!$B$2</definedName>
    <definedName name="img_2">Logos!$B$3</definedName>
    <definedName name="img_3">Logos!$B$4</definedName>
    <definedName name="img_4">Logos!$B$5</definedName>
    <definedName name="img_5">Logos!$B$6</definedName>
    <definedName name="img_6">Logos!$B$7</definedName>
    <definedName name="LiveStock">Stock[#All]</definedName>
    <definedName name="Logo_1">'Automation Working'!$G$86</definedName>
    <definedName name="Logo_2">'Automation Working'!$G$87</definedName>
    <definedName name="Logo_3">'Automation Working'!$G$88</definedName>
    <definedName name="Logo_4">'Automation Working'!$G$89</definedName>
    <definedName name="Logo_5">'Automation Working'!$G$90</definedName>
    <definedName name="Logo_6">'Automation Working'!$G$91</definedName>
    <definedName name="Logocell1">IFERROR(VLOOKUP('Automation Working'!$P1048494,'Automation Working'!$E$86:$G$91,3,0),"-")</definedName>
    <definedName name="Logocell2">'Automation Working'!$G$87</definedName>
    <definedName name="Logocell3">'Automation Working'!$G$88</definedName>
    <definedName name="Logocell4">'Automation Working'!$G$89</definedName>
    <definedName name="Logocell5">'Automation Working'!$G$90</definedName>
    <definedName name="Logocell6">'Automation Working'!$G$91</definedName>
    <definedName name="NBFCPH" localSheetId="2">'Promoter Holding'!$A$64:$M$76</definedName>
    <definedName name="Nippon_India">'Automation Working'!$G$99</definedName>
    <definedName name="Nippon_Life_India_Trustee_Ltd__A_C_Nippo">'Automation Working'!$F$99</definedName>
    <definedName name="Profile_1">INDIRECT(VLOOKUP('Poonawalla Fincorp '!$P1,'Automation Working'!$E$86:$H$91,4,0))</definedName>
    <definedName name="QONQ">'DATA FS'!$A$1:$M$34</definedName>
    <definedName name="Quant_">'Automation Working'!$G$100</definedName>
    <definedName name="Quant_Mutual_Fund___Quant_Mid_Cap_Fund">'Automation Working'!$F$100</definedName>
    <definedName name="Ratios">'Imp Ratios'!$A$1:$D$37</definedName>
    <definedName name="Rising_sun">'Automation Working'!$G$97</definedName>
    <definedName name="Rising_Sun_Holdings_Pvt_Ltd">'Automation Working'!$F$97</definedName>
    <definedName name="SegmentwisebreakupofAUM">'Georaphic Breakup'!$B$3:$C$12</definedName>
    <definedName name="Slicer_Ratio">#N/A</definedName>
    <definedName name="Slicer_Ratios">#N/A</definedName>
    <definedName name="Slicer_Years1">#N/A</definedName>
    <definedName name="SPREADCALCI">'Trend Files'!$A$125:$F$136</definedName>
    <definedName name="TicketSizeatthetimeoforigination">'Georaphic Breakup'!$B$16:$C$26</definedName>
    <definedName name="Top5states">'Georaphic Breakup'!$C$29:$D$34</definedName>
    <definedName name="YONY">'DATA FS'!$A$46:$M$79</definedName>
    <definedName name="YOONY">'DATA FS'!$A$46:$M$79</definedName>
  </definedNames>
  <calcPr calcId="162913"/>
  <pivotCaches>
    <pivotCache cacheId="0" r:id="rId23"/>
    <pivotCache cacheId="1" r:id="rId24"/>
    <pivotCache cacheId="2" r:id="rId25"/>
  </pivotCaches>
  <extLst>
    <ext xmlns:x14="http://schemas.microsoft.com/office/spreadsheetml/2009/9/main" uri="{BBE1A952-AA13-448e-AADC-164F8A28A991}">
      <x14:slicerCaches>
        <x14:slicerCache r:id="rId2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7"/>
        <x14:slicerCache r:id="rId28"/>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12" i="5" l="1"/>
  <c r="B113" i="5"/>
  <c r="B109" i="5"/>
  <c r="A18" i="13" l="1"/>
  <c r="D13" i="13"/>
  <c r="D12" i="13"/>
  <c r="D11" i="13"/>
  <c r="D10" i="13"/>
  <c r="D9" i="13"/>
  <c r="D8" i="13"/>
  <c r="D7" i="13"/>
  <c r="D6" i="13"/>
  <c r="D5" i="13"/>
  <c r="D4" i="13"/>
  <c r="D3" i="13"/>
  <c r="D2" i="13"/>
  <c r="D35" i="10"/>
  <c r="D34" i="10"/>
  <c r="D33" i="10"/>
  <c r="D32" i="10"/>
  <c r="D31" i="10"/>
  <c r="D30" i="10"/>
  <c r="L80" i="7" s="1"/>
  <c r="D29" i="10"/>
  <c r="D28" i="10"/>
  <c r="D27" i="10"/>
  <c r="D26" i="10"/>
  <c r="D25" i="10"/>
  <c r="F136" i="7"/>
  <c r="E136" i="7"/>
  <c r="F135" i="7"/>
  <c r="E135" i="7"/>
  <c r="F134" i="7"/>
  <c r="E134" i="7"/>
  <c r="F133" i="7"/>
  <c r="E133" i="7"/>
  <c r="F132" i="7"/>
  <c r="E132" i="7"/>
  <c r="F131" i="7"/>
  <c r="E131" i="7"/>
  <c r="F130" i="7"/>
  <c r="E130" i="7"/>
  <c r="F129" i="7"/>
  <c r="E129" i="7"/>
  <c r="F128" i="7"/>
  <c r="E128" i="7"/>
  <c r="F127" i="7"/>
  <c r="E127" i="7"/>
  <c r="F126" i="7"/>
  <c r="E126" i="7"/>
  <c r="O116" i="7"/>
  <c r="N116" i="7"/>
  <c r="M116" i="7"/>
  <c r="L116" i="7"/>
  <c r="K116" i="7"/>
  <c r="J116" i="7"/>
  <c r="I116" i="7"/>
  <c r="H116" i="7"/>
  <c r="G116" i="7"/>
  <c r="F116" i="7"/>
  <c r="E116" i="7"/>
  <c r="D116" i="7"/>
  <c r="C116" i="7"/>
  <c r="B116" i="7"/>
  <c r="O115" i="7"/>
  <c r="N115" i="7"/>
  <c r="M115" i="7"/>
  <c r="L115" i="7"/>
  <c r="K115" i="7"/>
  <c r="J115" i="7"/>
  <c r="I115" i="7"/>
  <c r="H115" i="7"/>
  <c r="G115" i="7"/>
  <c r="F115" i="7"/>
  <c r="E115" i="7"/>
  <c r="D115" i="7"/>
  <c r="C115" i="7"/>
  <c r="B115" i="7"/>
  <c r="O114" i="7"/>
  <c r="N114" i="7"/>
  <c r="M114" i="7"/>
  <c r="L114" i="7"/>
  <c r="K114" i="7"/>
  <c r="J114" i="7"/>
  <c r="I114" i="7"/>
  <c r="H114" i="7"/>
  <c r="G114" i="7"/>
  <c r="F114" i="7"/>
  <c r="E114" i="7"/>
  <c r="D114" i="7"/>
  <c r="C114" i="7"/>
  <c r="B114" i="7"/>
  <c r="O113" i="7"/>
  <c r="N113" i="7"/>
  <c r="M113" i="7"/>
  <c r="L113" i="7"/>
  <c r="K113" i="7"/>
  <c r="J113" i="7"/>
  <c r="I113" i="7"/>
  <c r="H113" i="7"/>
  <c r="G113" i="7"/>
  <c r="F113" i="7"/>
  <c r="E113" i="7"/>
  <c r="D113" i="7"/>
  <c r="C113" i="7"/>
  <c r="B113" i="7"/>
  <c r="O112" i="7"/>
  <c r="N112" i="7"/>
  <c r="M112" i="7"/>
  <c r="L112" i="7"/>
  <c r="K112" i="7"/>
  <c r="J112" i="7"/>
  <c r="I112" i="7"/>
  <c r="H112" i="7"/>
  <c r="G112" i="7"/>
  <c r="F112" i="7"/>
  <c r="E112" i="7"/>
  <c r="D112" i="7"/>
  <c r="C112" i="7"/>
  <c r="B112" i="7"/>
  <c r="O111" i="7"/>
  <c r="N111" i="7"/>
  <c r="M111" i="7"/>
  <c r="O110" i="7"/>
  <c r="H136" i="7" s="1"/>
  <c r="J136" i="7" s="1"/>
  <c r="N110" i="7"/>
  <c r="G136" i="7" s="1"/>
  <c r="I136" i="7" s="1"/>
  <c r="M110" i="7"/>
  <c r="L110" i="7"/>
  <c r="L109" i="7"/>
  <c r="L108" i="7"/>
  <c r="L107" i="7"/>
  <c r="L106" i="7"/>
  <c r="L105" i="7"/>
  <c r="L104" i="7"/>
  <c r="L103" i="7"/>
  <c r="L102" i="7"/>
  <c r="L101" i="7"/>
  <c r="O100" i="7"/>
  <c r="H135" i="7" s="1"/>
  <c r="J135" i="7" s="1"/>
  <c r="N100" i="7"/>
  <c r="G135" i="7" s="1"/>
  <c r="I135" i="7" s="1"/>
  <c r="M100" i="7"/>
  <c r="L100" i="7"/>
  <c r="L99" i="7"/>
  <c r="L98" i="7"/>
  <c r="L97" i="7"/>
  <c r="L96" i="7"/>
  <c r="L95" i="7"/>
  <c r="O94" i="7"/>
  <c r="H134" i="7" s="1"/>
  <c r="J134" i="7" s="1"/>
  <c r="N94" i="7"/>
  <c r="G134" i="7" s="1"/>
  <c r="I134" i="7" s="1"/>
  <c r="M94" i="7"/>
  <c r="L94" i="7"/>
  <c r="L93" i="7"/>
  <c r="L92" i="7"/>
  <c r="L91" i="7"/>
  <c r="L90" i="7"/>
  <c r="O89" i="7"/>
  <c r="H133" i="7" s="1"/>
  <c r="J133" i="7" s="1"/>
  <c r="N89" i="7"/>
  <c r="G133" i="7" s="1"/>
  <c r="I133" i="7" s="1"/>
  <c r="M89" i="7"/>
  <c r="L89" i="7"/>
  <c r="O88" i="7"/>
  <c r="H132" i="7" s="1"/>
  <c r="J132" i="7" s="1"/>
  <c r="N88" i="7"/>
  <c r="G132" i="7" s="1"/>
  <c r="I132" i="7" s="1"/>
  <c r="M88" i="7"/>
  <c r="L88" i="7"/>
  <c r="L87" i="7"/>
  <c r="L86" i="7"/>
  <c r="L85" i="7"/>
  <c r="L84" i="7"/>
  <c r="L83" i="7"/>
  <c r="L82" i="7"/>
  <c r="L81" i="7"/>
  <c r="O80" i="7"/>
  <c r="H131" i="7" s="1"/>
  <c r="J131" i="7" s="1"/>
  <c r="N80" i="7"/>
  <c r="G131" i="7" s="1"/>
  <c r="I131" i="7" s="1"/>
  <c r="M80" i="7"/>
  <c r="L79" i="7"/>
  <c r="L78" i="7"/>
  <c r="L77" i="7"/>
  <c r="L76" i="7"/>
  <c r="L75" i="7"/>
  <c r="L74" i="7"/>
  <c r="O73" i="7"/>
  <c r="H130" i="7" s="1"/>
  <c r="J130" i="7" s="1"/>
  <c r="N73" i="7"/>
  <c r="G130" i="7" s="1"/>
  <c r="I130" i="7" s="1"/>
  <c r="M73" i="7"/>
  <c r="L73" i="7"/>
  <c r="L72" i="7"/>
  <c r="L71" i="7"/>
  <c r="L70" i="7"/>
  <c r="L69" i="7"/>
  <c r="L68" i="7"/>
  <c r="L67" i="7"/>
  <c r="L66" i="7"/>
  <c r="O65" i="7"/>
  <c r="H129" i="7" s="1"/>
  <c r="J129" i="7" s="1"/>
  <c r="N65" i="7"/>
  <c r="G129" i="7" s="1"/>
  <c r="I129" i="7" s="1"/>
  <c r="M65" i="7"/>
  <c r="L65" i="7"/>
  <c r="O64" i="7"/>
  <c r="H128" i="7" s="1"/>
  <c r="J128" i="7" s="1"/>
  <c r="N64" i="7"/>
  <c r="G128" i="7" s="1"/>
  <c r="I128" i="7" s="1"/>
  <c r="M64" i="7"/>
  <c r="L64" i="7"/>
  <c r="L63" i="7"/>
  <c r="L62" i="7"/>
  <c r="L61" i="7"/>
  <c r="L60" i="7"/>
  <c r="L59" i="7"/>
  <c r="L58" i="7"/>
  <c r="L57" i="7"/>
  <c r="L56" i="7"/>
  <c r="L55" i="7"/>
  <c r="L54" i="7"/>
  <c r="L53" i="7"/>
  <c r="L52" i="7"/>
  <c r="L51" i="7"/>
  <c r="L50" i="7"/>
  <c r="L49" i="7"/>
  <c r="L48" i="7"/>
  <c r="L47" i="7"/>
  <c r="O46" i="7"/>
  <c r="H127" i="7" s="1"/>
  <c r="J127" i="7" s="1"/>
  <c r="N46" i="7"/>
  <c r="G127" i="7" s="1"/>
  <c r="I127" i="7" s="1"/>
  <c r="M46" i="7"/>
  <c r="L46" i="7"/>
  <c r="L45" i="7"/>
  <c r="O44" i="7"/>
  <c r="H126" i="7" s="1"/>
  <c r="J126" i="7" s="1"/>
  <c r="N44" i="7"/>
  <c r="G126" i="7" s="1"/>
  <c r="I126" i="7" s="1"/>
  <c r="M44"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L2" i="7"/>
  <c r="N55" i="9"/>
  <c r="M55" i="9"/>
  <c r="L55" i="9"/>
  <c r="K55" i="9"/>
  <c r="J55" i="9"/>
  <c r="I55" i="9"/>
  <c r="H55" i="9"/>
  <c r="G55" i="9"/>
  <c r="F55" i="9"/>
  <c r="E55" i="9"/>
  <c r="D55" i="9"/>
  <c r="Q37" i="9"/>
  <c r="C8" i="9"/>
  <c r="B8" i="9"/>
  <c r="C7" i="9"/>
  <c r="C18" i="13" s="1"/>
  <c r="B7" i="9"/>
  <c r="F3" i="9"/>
  <c r="C8" i="15"/>
  <c r="B39" i="6"/>
  <c r="D23" i="6"/>
  <c r="C23" i="6"/>
  <c r="B23" i="6"/>
  <c r="D9" i="6"/>
  <c r="C9" i="6"/>
  <c r="K6" i="6"/>
  <c r="J6" i="6"/>
  <c r="A65" i="20"/>
  <c r="A64" i="20"/>
  <c r="C62" i="20"/>
  <c r="A61" i="20"/>
  <c r="A62" i="20" s="1"/>
  <c r="C58" i="20"/>
  <c r="A58" i="20"/>
  <c r="A59" i="20" s="1"/>
  <c r="C57" i="20"/>
  <c r="C56" i="20"/>
  <c r="A55" i="20"/>
  <c r="A56" i="20" s="1"/>
  <c r="A52" i="20"/>
  <c r="A53" i="20" s="1"/>
  <c r="H96" i="22"/>
  <c r="E96" i="22"/>
  <c r="F79" i="22"/>
  <c r="F80" i="22" s="1"/>
  <c r="F81" i="22" s="1"/>
  <c r="F82" i="22" s="1"/>
  <c r="F83" i="22" s="1"/>
  <c r="D77" i="22"/>
  <c r="C77" i="22"/>
  <c r="B77" i="22"/>
  <c r="A77" i="22"/>
  <c r="D56" i="22"/>
  <c r="C56" i="22"/>
  <c r="B56" i="22"/>
  <c r="D55" i="22"/>
  <c r="C55" i="22"/>
  <c r="B55" i="22"/>
  <c r="H54" i="22"/>
  <c r="D54" i="22"/>
  <c r="C54" i="22"/>
  <c r="B54" i="22"/>
  <c r="H53" i="22"/>
  <c r="H52" i="22"/>
  <c r="H51" i="22"/>
  <c r="H50" i="22"/>
  <c r="D50" i="22"/>
  <c r="D83" i="22" s="1"/>
  <c r="C50" i="22"/>
  <c r="C83" i="22" s="1"/>
  <c r="B50" i="22"/>
  <c r="B83" i="22" s="1"/>
  <c r="H49" i="22"/>
  <c r="D49" i="22"/>
  <c r="D82" i="22" s="1"/>
  <c r="C49" i="22"/>
  <c r="C82" i="22" s="1"/>
  <c r="B49" i="22"/>
  <c r="B82" i="22" s="1"/>
  <c r="H48" i="22"/>
  <c r="D48" i="22"/>
  <c r="D81" i="22" s="1"/>
  <c r="C48" i="22"/>
  <c r="C81" i="22" s="1"/>
  <c r="B48" i="22"/>
  <c r="B81" i="22" s="1"/>
  <c r="K47" i="22"/>
  <c r="J47" i="22"/>
  <c r="I47" i="22"/>
  <c r="H47" i="22"/>
  <c r="D47" i="22"/>
  <c r="D80" i="22" s="1"/>
  <c r="C47" i="22"/>
  <c r="C80" i="22" s="1"/>
  <c r="B47" i="22"/>
  <c r="B80" i="22" s="1"/>
  <c r="D46" i="22"/>
  <c r="D79" i="22" s="1"/>
  <c r="C46" i="22"/>
  <c r="C79" i="22" s="1"/>
  <c r="B46" i="22"/>
  <c r="B79" i="22" s="1"/>
  <c r="D45" i="22"/>
  <c r="D78" i="22" s="1"/>
  <c r="C45" i="22"/>
  <c r="C78" i="22" s="1"/>
  <c r="B45" i="22"/>
  <c r="B78" i="22" s="1"/>
  <c r="J28" i="22"/>
  <c r="I28" i="22"/>
  <c r="H28" i="22"/>
  <c r="J27" i="22"/>
  <c r="I27" i="22"/>
  <c r="H27" i="22"/>
  <c r="J26" i="22"/>
  <c r="I26" i="22"/>
  <c r="H26" i="22"/>
  <c r="J25" i="22"/>
  <c r="I25" i="22"/>
  <c r="H25" i="22"/>
  <c r="J24" i="22"/>
  <c r="I24" i="22"/>
  <c r="H24" i="22"/>
  <c r="J23" i="22"/>
  <c r="I23" i="22"/>
  <c r="H23" i="22"/>
  <c r="J22" i="22"/>
  <c r="I22" i="22"/>
  <c r="H22" i="22"/>
  <c r="J21" i="22"/>
  <c r="I21" i="22"/>
  <c r="H21" i="22"/>
  <c r="J20" i="22"/>
  <c r="I20" i="22"/>
  <c r="H20" i="22"/>
  <c r="J19" i="22"/>
  <c r="K54" i="22" s="1"/>
  <c r="I19" i="22"/>
  <c r="S4" i="22" s="1"/>
  <c r="H19" i="22"/>
  <c r="R4" i="22" s="1"/>
  <c r="J18" i="22"/>
  <c r="K53" i="22" s="1"/>
  <c r="I18" i="22"/>
  <c r="J53" i="22" s="1"/>
  <c r="H18" i="22"/>
  <c r="I53" i="22" s="1"/>
  <c r="J17" i="22"/>
  <c r="K52" i="22" s="1"/>
  <c r="I17" i="22"/>
  <c r="J52" i="22" s="1"/>
  <c r="H17" i="22"/>
  <c r="I52" i="22" s="1"/>
  <c r="J16" i="22"/>
  <c r="I16" i="22"/>
  <c r="H16" i="22"/>
  <c r="R3" i="22" s="1"/>
  <c r="J15" i="22"/>
  <c r="K50" i="22" s="1"/>
  <c r="I15" i="22"/>
  <c r="J50" i="22" s="1"/>
  <c r="H15" i="22"/>
  <c r="I50" i="22" s="1"/>
  <c r="J14" i="22"/>
  <c r="K49" i="22" s="1"/>
  <c r="I14" i="22"/>
  <c r="J49" i="22" s="1"/>
  <c r="H14" i="22"/>
  <c r="I49" i="22" s="1"/>
  <c r="J13" i="22"/>
  <c r="K48" i="22" s="1"/>
  <c r="I13" i="22"/>
  <c r="J48" i="22" s="1"/>
  <c r="H13" i="22"/>
  <c r="I48" i="22" s="1"/>
  <c r="J12" i="22"/>
  <c r="I12" i="22"/>
  <c r="H12" i="22"/>
  <c r="J11" i="22"/>
  <c r="I11" i="22"/>
  <c r="H11" i="22"/>
  <c r="J10" i="22"/>
  <c r="I10" i="22"/>
  <c r="H10" i="22"/>
  <c r="J9" i="22"/>
  <c r="I9" i="22"/>
  <c r="H9" i="22"/>
  <c r="J8" i="22"/>
  <c r="D108" i="5" s="1"/>
  <c r="I8" i="22"/>
  <c r="C108" i="5" s="1"/>
  <c r="H8" i="22"/>
  <c r="B108" i="5" s="1"/>
  <c r="J7" i="22"/>
  <c r="I7" i="22"/>
  <c r="H7" i="22"/>
  <c r="J6" i="22"/>
  <c r="I6" i="22"/>
  <c r="H6" i="22"/>
  <c r="J5" i="22"/>
  <c r="I5" i="22"/>
  <c r="H5" i="22"/>
  <c r="J4" i="22"/>
  <c r="I4" i="22"/>
  <c r="H4" i="22"/>
  <c r="J3" i="22"/>
  <c r="I3" i="22"/>
  <c r="H3" i="22"/>
  <c r="T2" i="22"/>
  <c r="S2" i="22"/>
  <c r="R2" i="22"/>
  <c r="J2" i="22"/>
  <c r="I2" i="22"/>
  <c r="H2" i="22"/>
  <c r="C116" i="21"/>
  <c r="C115" i="21"/>
  <c r="C114" i="21"/>
  <c r="C113" i="21"/>
  <c r="C112" i="21"/>
  <c r="C111" i="21"/>
  <c r="C110" i="21"/>
  <c r="C109" i="21"/>
  <c r="C108" i="21"/>
  <c r="C107" i="21"/>
  <c r="C106" i="21"/>
  <c r="C105" i="21"/>
  <c r="C104" i="21"/>
  <c r="C103" i="21"/>
  <c r="C102" i="21"/>
  <c r="C101" i="21"/>
  <c r="C100" i="21"/>
  <c r="D115" i="5"/>
  <c r="C115" i="5"/>
  <c r="B115" i="5"/>
  <c r="E113" i="5"/>
  <c r="D113" i="5"/>
  <c r="C113" i="5"/>
  <c r="D112" i="5"/>
  <c r="C112" i="5"/>
  <c r="E109" i="5"/>
  <c r="D109" i="5"/>
  <c r="C109" i="5"/>
  <c r="I103" i="5"/>
  <c r="H103" i="5"/>
  <c r="G103" i="5"/>
  <c r="I102" i="5"/>
  <c r="H102" i="5"/>
  <c r="G102" i="5"/>
  <c r="G101" i="5"/>
  <c r="D95" i="5"/>
  <c r="C73" i="23" s="1"/>
  <c r="C95" i="5"/>
  <c r="C72" i="23" s="1"/>
  <c r="B95" i="5"/>
  <c r="C70" i="23" s="1"/>
  <c r="J87" i="5"/>
  <c r="F87" i="5"/>
  <c r="B87" i="5"/>
  <c r="J85" i="5"/>
  <c r="D10" i="6" s="1"/>
  <c r="F85" i="5"/>
  <c r="C10" i="6" s="1"/>
  <c r="B85" i="5"/>
  <c r="B10" i="6" s="1"/>
  <c r="J84" i="5"/>
  <c r="D4" i="6" s="1"/>
  <c r="F84" i="5"/>
  <c r="C4" i="6" s="1"/>
  <c r="B84" i="5"/>
  <c r="B4" i="6" s="1"/>
  <c r="J82" i="5"/>
  <c r="F82" i="5"/>
  <c r="B82" i="5"/>
  <c r="B9" i="6" s="1"/>
  <c r="P76" i="5"/>
  <c r="D6" i="6" s="1"/>
  <c r="O76" i="5"/>
  <c r="C6" i="6" s="1"/>
  <c r="N76" i="5"/>
  <c r="B6" i="6" s="1"/>
  <c r="P74" i="5"/>
  <c r="O74" i="5"/>
  <c r="N74" i="5"/>
  <c r="P70" i="5"/>
  <c r="O70" i="5"/>
  <c r="N70" i="5"/>
  <c r="B67" i="5"/>
  <c r="P61" i="5"/>
  <c r="B3" i="6" s="1"/>
  <c r="O61" i="5"/>
  <c r="C3" i="6" s="1"/>
  <c r="N61" i="5"/>
  <c r="D3" i="6" s="1"/>
  <c r="J58" i="5"/>
  <c r="J67" i="5" s="1"/>
  <c r="F58" i="5"/>
  <c r="F67" i="5" s="1"/>
  <c r="B58" i="5"/>
  <c r="O54" i="5"/>
  <c r="N54" i="5"/>
  <c r="B36" i="6" s="1"/>
  <c r="R51" i="5"/>
  <c r="S51" i="5" s="1"/>
  <c r="P50" i="5"/>
  <c r="O50" i="5"/>
  <c r="N50" i="5"/>
  <c r="B38" i="6" s="1"/>
  <c r="O48" i="5"/>
  <c r="B2" i="5"/>
  <c r="F2" i="5" s="1"/>
  <c r="J2" i="5" s="1"/>
  <c r="J13" i="5" s="1"/>
  <c r="J22" i="5" s="1"/>
  <c r="I65" i="4"/>
  <c r="K43" i="4"/>
  <c r="K65" i="4" s="1"/>
  <c r="J43" i="4"/>
  <c r="J65" i="4" s="1"/>
  <c r="I43" i="4"/>
  <c r="H43" i="4"/>
  <c r="H65" i="4" s="1"/>
  <c r="G43" i="4"/>
  <c r="G65" i="4" s="1"/>
  <c r="F43" i="4"/>
  <c r="F65" i="4" s="1"/>
  <c r="E43" i="4"/>
  <c r="E65" i="4" s="1"/>
  <c r="D43" i="4"/>
  <c r="D65" i="4" s="1"/>
  <c r="C43" i="4"/>
  <c r="C65" i="4" s="1"/>
  <c r="B43" i="4"/>
  <c r="B65" i="4" s="1"/>
  <c r="M88" i="3"/>
  <c r="K88" i="3"/>
  <c r="C88" i="3"/>
  <c r="M86" i="3"/>
  <c r="A84" i="3"/>
  <c r="L83" i="3"/>
  <c r="M80" i="3"/>
  <c r="E80" i="3"/>
  <c r="K79" i="3"/>
  <c r="B79" i="3"/>
  <c r="M74" i="3"/>
  <c r="L74" i="3"/>
  <c r="K74" i="3"/>
  <c r="J74" i="3"/>
  <c r="I74" i="3"/>
  <c r="H74" i="3"/>
  <c r="G74" i="3"/>
  <c r="F74" i="3"/>
  <c r="E74" i="3"/>
  <c r="D74" i="3"/>
  <c r="C74" i="3"/>
  <c r="M73" i="3"/>
  <c r="L73" i="3"/>
  <c r="K73" i="3"/>
  <c r="J73" i="3"/>
  <c r="I73" i="3"/>
  <c r="H73" i="3"/>
  <c r="G73" i="3"/>
  <c r="F73" i="3"/>
  <c r="E73" i="3"/>
  <c r="D73" i="3"/>
  <c r="C73" i="3"/>
  <c r="M72" i="3"/>
  <c r="L72" i="3"/>
  <c r="K72" i="3"/>
  <c r="J72" i="3"/>
  <c r="I72" i="3"/>
  <c r="H72" i="3"/>
  <c r="G72" i="3"/>
  <c r="F72" i="3"/>
  <c r="E72" i="3"/>
  <c r="D72" i="3"/>
  <c r="C72" i="3"/>
  <c r="M71" i="3"/>
  <c r="L71" i="3"/>
  <c r="K71" i="3"/>
  <c r="J71" i="3"/>
  <c r="I71" i="3"/>
  <c r="H71" i="3"/>
  <c r="G71" i="3"/>
  <c r="F71" i="3"/>
  <c r="E71" i="3"/>
  <c r="D71" i="3"/>
  <c r="C71" i="3"/>
  <c r="M70" i="3"/>
  <c r="L70" i="3"/>
  <c r="K70" i="3"/>
  <c r="J70" i="3"/>
  <c r="I70" i="3"/>
  <c r="H70" i="3"/>
  <c r="G70" i="3"/>
  <c r="F70" i="3"/>
  <c r="E70" i="3"/>
  <c r="D70" i="3"/>
  <c r="C70" i="3"/>
  <c r="M69" i="3"/>
  <c r="L69" i="3"/>
  <c r="K69" i="3"/>
  <c r="J69" i="3"/>
  <c r="I69" i="3"/>
  <c r="H69" i="3"/>
  <c r="G69" i="3"/>
  <c r="F69" i="3"/>
  <c r="E69" i="3"/>
  <c r="D69" i="3"/>
  <c r="C69" i="3"/>
  <c r="M68" i="3"/>
  <c r="L68" i="3"/>
  <c r="K68" i="3"/>
  <c r="J68" i="3"/>
  <c r="I68" i="3"/>
  <c r="H68" i="3"/>
  <c r="G68" i="3"/>
  <c r="F68" i="3"/>
  <c r="E68" i="3"/>
  <c r="D68" i="3"/>
  <c r="C68" i="3"/>
  <c r="M67" i="3"/>
  <c r="L67" i="3"/>
  <c r="K67" i="3"/>
  <c r="J67" i="3"/>
  <c r="I67" i="3"/>
  <c r="H67" i="3"/>
  <c r="G67" i="3"/>
  <c r="F67" i="3"/>
  <c r="E67" i="3"/>
  <c r="D67" i="3"/>
  <c r="C67" i="3"/>
  <c r="M66" i="3"/>
  <c r="L66" i="3"/>
  <c r="K66" i="3"/>
  <c r="J66" i="3"/>
  <c r="I66" i="3"/>
  <c r="H66" i="3"/>
  <c r="G66" i="3"/>
  <c r="F66" i="3"/>
  <c r="E66" i="3"/>
  <c r="D66" i="3"/>
  <c r="C66" i="3"/>
  <c r="B66" i="3"/>
  <c r="M65" i="3"/>
  <c r="L65" i="3"/>
  <c r="K65" i="3"/>
  <c r="J65" i="3"/>
  <c r="I65" i="3"/>
  <c r="H65" i="3"/>
  <c r="G65" i="3"/>
  <c r="F65" i="3"/>
  <c r="E65" i="3"/>
  <c r="D65" i="3"/>
  <c r="C65" i="3"/>
  <c r="B65" i="3"/>
  <c r="M61" i="3"/>
  <c r="L61" i="3"/>
  <c r="L88" i="3" s="1"/>
  <c r="K61" i="3"/>
  <c r="J61" i="3"/>
  <c r="J88" i="3" s="1"/>
  <c r="I61" i="3"/>
  <c r="I88" i="3" s="1"/>
  <c r="H61" i="3"/>
  <c r="H88" i="3" s="1"/>
  <c r="G61" i="3"/>
  <c r="G88" i="3" s="1"/>
  <c r="F61" i="3"/>
  <c r="F88" i="3" s="1"/>
  <c r="E61" i="3"/>
  <c r="E88" i="3" s="1"/>
  <c r="D61" i="3"/>
  <c r="D88" i="3" s="1"/>
  <c r="C61" i="3"/>
  <c r="B61" i="3"/>
  <c r="B88" i="3" s="1"/>
  <c r="A61" i="3"/>
  <c r="A88" i="3" s="1"/>
  <c r="M60" i="3"/>
  <c r="M87" i="3" s="1"/>
  <c r="L60" i="3"/>
  <c r="L87" i="3" s="1"/>
  <c r="K60" i="3"/>
  <c r="K87" i="3" s="1"/>
  <c r="J60" i="3"/>
  <c r="J87" i="3" s="1"/>
  <c r="I60" i="3"/>
  <c r="I87" i="3" s="1"/>
  <c r="H60" i="3"/>
  <c r="H87" i="3" s="1"/>
  <c r="G60" i="3"/>
  <c r="G87" i="3" s="1"/>
  <c r="F60" i="3"/>
  <c r="F87" i="3" s="1"/>
  <c r="E60" i="3"/>
  <c r="E87" i="3" s="1"/>
  <c r="D60" i="3"/>
  <c r="D87" i="3" s="1"/>
  <c r="C60" i="3"/>
  <c r="C87" i="3" s="1"/>
  <c r="B60" i="3"/>
  <c r="B87" i="3" s="1"/>
  <c r="A60" i="3"/>
  <c r="A87" i="3" s="1"/>
  <c r="M59" i="3"/>
  <c r="L59" i="3"/>
  <c r="L86" i="3" s="1"/>
  <c r="K59" i="3"/>
  <c r="K86" i="3" s="1"/>
  <c r="J59" i="3"/>
  <c r="J86" i="3" s="1"/>
  <c r="I59" i="3"/>
  <c r="I86" i="3" s="1"/>
  <c r="H59" i="3"/>
  <c r="H86" i="3" s="1"/>
  <c r="G59" i="3"/>
  <c r="G86" i="3" s="1"/>
  <c r="F59" i="3"/>
  <c r="F86" i="3" s="1"/>
  <c r="E59" i="3"/>
  <c r="E86" i="3" s="1"/>
  <c r="D59" i="3"/>
  <c r="D86" i="3" s="1"/>
  <c r="C59" i="3"/>
  <c r="C86" i="3" s="1"/>
  <c r="B59" i="3"/>
  <c r="B86" i="3" s="1"/>
  <c r="A59" i="3"/>
  <c r="A86" i="3" s="1"/>
  <c r="B95" i="3" s="1"/>
  <c r="M58" i="3"/>
  <c r="M85" i="3" s="1"/>
  <c r="L58" i="3"/>
  <c r="L85" i="3" s="1"/>
  <c r="K58" i="3"/>
  <c r="K85" i="3" s="1"/>
  <c r="J58" i="3"/>
  <c r="J85" i="3" s="1"/>
  <c r="I58" i="3"/>
  <c r="I85" i="3" s="1"/>
  <c r="H58" i="3"/>
  <c r="H85" i="3" s="1"/>
  <c r="G58" i="3"/>
  <c r="G85" i="3" s="1"/>
  <c r="F58" i="3"/>
  <c r="F85" i="3" s="1"/>
  <c r="E58" i="3"/>
  <c r="E85" i="3" s="1"/>
  <c r="D58" i="3"/>
  <c r="D85" i="3" s="1"/>
  <c r="C58" i="3"/>
  <c r="C85" i="3" s="1"/>
  <c r="B58" i="3"/>
  <c r="B85" i="3" s="1"/>
  <c r="A58" i="3"/>
  <c r="A85" i="3" s="1"/>
  <c r="M57" i="3"/>
  <c r="M84" i="3" s="1"/>
  <c r="L57" i="3"/>
  <c r="L84" i="3" s="1"/>
  <c r="K57" i="3"/>
  <c r="K84" i="3" s="1"/>
  <c r="J57" i="3"/>
  <c r="J84" i="3" s="1"/>
  <c r="I57" i="3"/>
  <c r="I84" i="3" s="1"/>
  <c r="H57" i="3"/>
  <c r="H84" i="3" s="1"/>
  <c r="G57" i="3"/>
  <c r="G84" i="3" s="1"/>
  <c r="F57" i="3"/>
  <c r="F84" i="3" s="1"/>
  <c r="E57" i="3"/>
  <c r="E84" i="3" s="1"/>
  <c r="D57" i="3"/>
  <c r="D84" i="3" s="1"/>
  <c r="C57" i="3"/>
  <c r="C84" i="3" s="1"/>
  <c r="B57" i="3"/>
  <c r="B84" i="3" s="1"/>
  <c r="A57" i="3"/>
  <c r="M56" i="3"/>
  <c r="M83" i="3" s="1"/>
  <c r="L56" i="3"/>
  <c r="K56" i="3"/>
  <c r="K83" i="3" s="1"/>
  <c r="J56" i="3"/>
  <c r="J83" i="3" s="1"/>
  <c r="I56" i="3"/>
  <c r="I83" i="3" s="1"/>
  <c r="H56" i="3"/>
  <c r="H83" i="3" s="1"/>
  <c r="G56" i="3"/>
  <c r="G83" i="3" s="1"/>
  <c r="F56" i="3"/>
  <c r="F83" i="3" s="1"/>
  <c r="E56" i="3"/>
  <c r="E83" i="3" s="1"/>
  <c r="D56" i="3"/>
  <c r="D83" i="3" s="1"/>
  <c r="C56" i="3"/>
  <c r="C83" i="3" s="1"/>
  <c r="B56" i="3"/>
  <c r="B83" i="3" s="1"/>
  <c r="A56" i="3"/>
  <c r="A83" i="3" s="1"/>
  <c r="M55" i="3"/>
  <c r="M82" i="3" s="1"/>
  <c r="L55" i="3"/>
  <c r="L82" i="3" s="1"/>
  <c r="K55" i="3"/>
  <c r="K82" i="3" s="1"/>
  <c r="J55" i="3"/>
  <c r="J82" i="3" s="1"/>
  <c r="I55" i="3"/>
  <c r="I82" i="3" s="1"/>
  <c r="H55" i="3"/>
  <c r="H82" i="3" s="1"/>
  <c r="G55" i="3"/>
  <c r="G82" i="3" s="1"/>
  <c r="F55" i="3"/>
  <c r="F82" i="3" s="1"/>
  <c r="E55" i="3"/>
  <c r="E82" i="3" s="1"/>
  <c r="D55" i="3"/>
  <c r="D82" i="3" s="1"/>
  <c r="C55" i="3"/>
  <c r="C82" i="3" s="1"/>
  <c r="B55" i="3"/>
  <c r="B82" i="3" s="1"/>
  <c r="A55" i="3"/>
  <c r="A82" i="3" s="1"/>
  <c r="M54" i="3"/>
  <c r="M81" i="3" s="1"/>
  <c r="L54" i="3"/>
  <c r="L81" i="3" s="1"/>
  <c r="K54" i="3"/>
  <c r="K81" i="3" s="1"/>
  <c r="J54" i="3"/>
  <c r="J81" i="3" s="1"/>
  <c r="I54" i="3"/>
  <c r="I81" i="3" s="1"/>
  <c r="H54" i="3"/>
  <c r="H81" i="3" s="1"/>
  <c r="G54" i="3"/>
  <c r="G81" i="3" s="1"/>
  <c r="F54" i="3"/>
  <c r="F81" i="3" s="1"/>
  <c r="E54" i="3"/>
  <c r="E81" i="3" s="1"/>
  <c r="D54" i="3"/>
  <c r="D81" i="3" s="1"/>
  <c r="C54" i="3"/>
  <c r="C81" i="3" s="1"/>
  <c r="B54" i="3"/>
  <c r="B81" i="3" s="1"/>
  <c r="A54" i="3"/>
  <c r="A81" i="3" s="1"/>
  <c r="B106" i="3" s="1"/>
  <c r="E44" i="6" s="1"/>
  <c r="M53" i="3"/>
  <c r="L53" i="3"/>
  <c r="L80" i="3" s="1"/>
  <c r="K53" i="3"/>
  <c r="K80" i="3" s="1"/>
  <c r="J53" i="3"/>
  <c r="J80" i="3" s="1"/>
  <c r="I53" i="3"/>
  <c r="I80" i="3" s="1"/>
  <c r="H53" i="3"/>
  <c r="H80" i="3" s="1"/>
  <c r="G53" i="3"/>
  <c r="G80" i="3" s="1"/>
  <c r="F53" i="3"/>
  <c r="F80" i="3" s="1"/>
  <c r="E53" i="3"/>
  <c r="D53" i="3"/>
  <c r="D80" i="3" s="1"/>
  <c r="C53" i="3"/>
  <c r="C80" i="3" s="1"/>
  <c r="B53" i="3"/>
  <c r="B80" i="3" s="1"/>
  <c r="A53" i="3"/>
  <c r="A80" i="3" s="1"/>
  <c r="M52" i="3"/>
  <c r="M79" i="3" s="1"/>
  <c r="L52" i="3"/>
  <c r="L79" i="3" s="1"/>
  <c r="K52" i="3"/>
  <c r="J52" i="3"/>
  <c r="J79" i="3" s="1"/>
  <c r="I52" i="3"/>
  <c r="I79" i="3" s="1"/>
  <c r="H52" i="3"/>
  <c r="H79" i="3" s="1"/>
  <c r="G52" i="3"/>
  <c r="G79" i="3" s="1"/>
  <c r="F52" i="3"/>
  <c r="F79" i="3" s="1"/>
  <c r="E52" i="3"/>
  <c r="E79" i="3" s="1"/>
  <c r="D52" i="3"/>
  <c r="D79" i="3" s="1"/>
  <c r="C52" i="3"/>
  <c r="C79" i="3" s="1"/>
  <c r="B52" i="3"/>
  <c r="A52" i="3"/>
  <c r="A79" i="3" s="1"/>
  <c r="M51" i="3"/>
  <c r="M78" i="3" s="1"/>
  <c r="L51" i="3"/>
  <c r="L78" i="3" s="1"/>
  <c r="K51" i="3"/>
  <c r="K78" i="3" s="1"/>
  <c r="J51" i="3"/>
  <c r="J78" i="3" s="1"/>
  <c r="I51" i="3"/>
  <c r="I78" i="3" s="1"/>
  <c r="H51" i="3"/>
  <c r="H78" i="3" s="1"/>
  <c r="G51" i="3"/>
  <c r="G78" i="3" s="1"/>
  <c r="F51" i="3"/>
  <c r="F78" i="3" s="1"/>
  <c r="E51" i="3"/>
  <c r="E78" i="3" s="1"/>
  <c r="D51" i="3"/>
  <c r="D78" i="3" s="1"/>
  <c r="C51" i="3"/>
  <c r="C78" i="3" s="1"/>
  <c r="B51" i="3"/>
  <c r="B78" i="3" s="1"/>
  <c r="A51" i="3"/>
  <c r="A78" i="3" s="1"/>
  <c r="B100" i="3" s="1"/>
  <c r="C44" i="6" s="1"/>
  <c r="M50" i="3"/>
  <c r="M77" i="3" s="1"/>
  <c r="L50" i="3"/>
  <c r="L77" i="3" s="1"/>
  <c r="K50" i="3"/>
  <c r="K77" i="3" s="1"/>
  <c r="J50" i="3"/>
  <c r="J77" i="3" s="1"/>
  <c r="I50" i="3"/>
  <c r="I77" i="3" s="1"/>
  <c r="H50" i="3"/>
  <c r="H77" i="3" s="1"/>
  <c r="G50" i="3"/>
  <c r="G77" i="3" s="1"/>
  <c r="F50" i="3"/>
  <c r="F77" i="3" s="1"/>
  <c r="E50" i="3"/>
  <c r="E77" i="3" s="1"/>
  <c r="D50" i="3"/>
  <c r="D77" i="3" s="1"/>
  <c r="C50" i="3"/>
  <c r="C77" i="3" s="1"/>
  <c r="B50" i="3"/>
  <c r="B77" i="3" s="1"/>
  <c r="A50" i="3"/>
  <c r="A77" i="3" s="1"/>
  <c r="M49" i="3"/>
  <c r="L49" i="3"/>
  <c r="K49" i="3"/>
  <c r="J49" i="3"/>
  <c r="I49" i="3"/>
  <c r="H49" i="3"/>
  <c r="G49" i="3"/>
  <c r="F49" i="3"/>
  <c r="E49" i="3"/>
  <c r="D49" i="3"/>
  <c r="C49" i="3"/>
  <c r="B49" i="3"/>
  <c r="A49" i="3"/>
  <c r="M48" i="3"/>
  <c r="M76" i="3" s="1"/>
  <c r="L48" i="3"/>
  <c r="L76" i="3" s="1"/>
  <c r="K48" i="3"/>
  <c r="K76" i="3" s="1"/>
  <c r="J48" i="3"/>
  <c r="J76" i="3" s="1"/>
  <c r="I48" i="3"/>
  <c r="I76" i="3" s="1"/>
  <c r="H48" i="3"/>
  <c r="H76" i="3" s="1"/>
  <c r="G48" i="3"/>
  <c r="G76" i="3" s="1"/>
  <c r="F48" i="3"/>
  <c r="F76" i="3" s="1"/>
  <c r="E48" i="3"/>
  <c r="E76" i="3" s="1"/>
  <c r="D48" i="3"/>
  <c r="D76" i="3" s="1"/>
  <c r="C48" i="3"/>
  <c r="C76" i="3" s="1"/>
  <c r="B48" i="3"/>
  <c r="B76" i="3" s="1"/>
  <c r="A48" i="3"/>
  <c r="A76" i="3" s="1"/>
  <c r="M47" i="3"/>
  <c r="M75" i="3" s="1"/>
  <c r="L47" i="3"/>
  <c r="L75" i="3" s="1"/>
  <c r="K47" i="3"/>
  <c r="K75" i="3" s="1"/>
  <c r="J47" i="3"/>
  <c r="J75" i="3" s="1"/>
  <c r="I47" i="3"/>
  <c r="I75" i="3" s="1"/>
  <c r="H47" i="3"/>
  <c r="H75" i="3" s="1"/>
  <c r="G47" i="3"/>
  <c r="G75" i="3" s="1"/>
  <c r="F47" i="3"/>
  <c r="F75" i="3" s="1"/>
  <c r="E47" i="3"/>
  <c r="E75" i="3" s="1"/>
  <c r="D47" i="3"/>
  <c r="D75" i="3" s="1"/>
  <c r="C47" i="3"/>
  <c r="C75" i="3" s="1"/>
  <c r="B47" i="3"/>
  <c r="B75" i="3" s="1"/>
  <c r="A47" i="3"/>
  <c r="A75" i="3" s="1"/>
  <c r="B93" i="3" s="1"/>
  <c r="M46" i="3"/>
  <c r="L46" i="3"/>
  <c r="K46" i="3"/>
  <c r="J46" i="3"/>
  <c r="I46" i="3"/>
  <c r="H46" i="3"/>
  <c r="G46" i="3"/>
  <c r="F46" i="3"/>
  <c r="E46" i="3"/>
  <c r="D46" i="3"/>
  <c r="C46" i="3"/>
  <c r="B46" i="3"/>
  <c r="A46" i="3"/>
  <c r="B45" i="3"/>
  <c r="B74" i="3" s="1"/>
  <c r="A45" i="3"/>
  <c r="A74" i="3" s="1"/>
  <c r="B44" i="3"/>
  <c r="B73" i="3" s="1"/>
  <c r="A44" i="3"/>
  <c r="A73" i="3" s="1"/>
  <c r="B43" i="3"/>
  <c r="B72" i="3" s="1"/>
  <c r="A43" i="3"/>
  <c r="A72" i="3" s="1"/>
  <c r="B42" i="3"/>
  <c r="B71" i="3" s="1"/>
  <c r="A42" i="3"/>
  <c r="A71" i="3" s="1"/>
  <c r="B41" i="3"/>
  <c r="B70" i="3" s="1"/>
  <c r="A41" i="3"/>
  <c r="A70" i="3" s="1"/>
  <c r="B40" i="3"/>
  <c r="B69" i="3" s="1"/>
  <c r="A40" i="3"/>
  <c r="A69" i="3" s="1"/>
  <c r="B39" i="3"/>
  <c r="B68" i="3" s="1"/>
  <c r="A39" i="3"/>
  <c r="A68" i="3" s="1"/>
  <c r="B38" i="3"/>
  <c r="B67" i="3" s="1"/>
  <c r="A38" i="3"/>
  <c r="A67" i="3" s="1"/>
  <c r="A37" i="3"/>
  <c r="A66" i="3" s="1"/>
  <c r="A36" i="3"/>
  <c r="A65" i="3" s="1"/>
  <c r="B92" i="3" s="1"/>
  <c r="M35" i="3"/>
  <c r="L35" i="3"/>
  <c r="K35" i="3"/>
  <c r="J35" i="3"/>
  <c r="I35" i="3"/>
  <c r="H35" i="3"/>
  <c r="G35" i="3"/>
  <c r="F35" i="3"/>
  <c r="E35" i="3"/>
  <c r="D35" i="3"/>
  <c r="C35" i="3"/>
  <c r="B35" i="3"/>
  <c r="A35" i="3"/>
  <c r="M34" i="3"/>
  <c r="M64" i="3" s="1"/>
  <c r="L34" i="3"/>
  <c r="L64" i="3" s="1"/>
  <c r="K34" i="3"/>
  <c r="K64" i="3" s="1"/>
  <c r="J34" i="3"/>
  <c r="J64" i="3" s="1"/>
  <c r="I34" i="3"/>
  <c r="I64" i="3" s="1"/>
  <c r="H34" i="3"/>
  <c r="H64" i="3" s="1"/>
  <c r="G34" i="3"/>
  <c r="G64" i="3" s="1"/>
  <c r="F34" i="3"/>
  <c r="F64" i="3" s="1"/>
  <c r="E34" i="3"/>
  <c r="E64" i="3" s="1"/>
  <c r="D34" i="3"/>
  <c r="D64" i="3" s="1"/>
  <c r="C34" i="3"/>
  <c r="C64" i="3" s="1"/>
  <c r="B34" i="3"/>
  <c r="B64" i="3" s="1"/>
  <c r="A34" i="3"/>
  <c r="A64" i="3" s="1"/>
  <c r="M32" i="3"/>
  <c r="L32" i="3"/>
  <c r="K32" i="3"/>
  <c r="J32" i="3"/>
  <c r="I32" i="3"/>
  <c r="H32" i="3"/>
  <c r="G32" i="3"/>
  <c r="F32" i="3"/>
  <c r="E32" i="3"/>
  <c r="D32" i="3"/>
  <c r="C32" i="3"/>
  <c r="B32" i="3"/>
  <c r="A1" i="2"/>
  <c r="N66" i="1"/>
  <c r="M66" i="1"/>
  <c r="L66" i="1"/>
  <c r="K66" i="1"/>
  <c r="Q66" i="1" s="1"/>
  <c r="J66" i="1"/>
  <c r="I66" i="1"/>
  <c r="H66" i="1"/>
  <c r="G66" i="1"/>
  <c r="F66" i="1"/>
  <c r="E66" i="1"/>
  <c r="D66" i="1"/>
  <c r="C66" i="1"/>
  <c r="N64" i="1"/>
  <c r="M64" i="1"/>
  <c r="L64" i="1"/>
  <c r="K64" i="1"/>
  <c r="J64" i="1"/>
  <c r="I64" i="1"/>
  <c r="H64" i="1"/>
  <c r="G64" i="1"/>
  <c r="F64" i="1"/>
  <c r="E64" i="1"/>
  <c r="D64" i="1"/>
  <c r="C64" i="1"/>
  <c r="N62" i="1"/>
  <c r="M62" i="1"/>
  <c r="L62" i="1"/>
  <c r="K62" i="1"/>
  <c r="J62" i="1"/>
  <c r="I62" i="1"/>
  <c r="H62" i="1"/>
  <c r="G62" i="1"/>
  <c r="Q63" i="1" s="1"/>
  <c r="F62" i="1"/>
  <c r="E62" i="1"/>
  <c r="D62" i="1"/>
  <c r="C62" i="1"/>
  <c r="N60" i="1"/>
  <c r="M60" i="1"/>
  <c r="L60" i="1"/>
  <c r="K60" i="1"/>
  <c r="J60" i="1"/>
  <c r="I60" i="1"/>
  <c r="H60" i="1"/>
  <c r="G60" i="1"/>
  <c r="F60" i="1"/>
  <c r="E60" i="1"/>
  <c r="D60" i="1"/>
  <c r="C60" i="1"/>
  <c r="N58" i="1"/>
  <c r="M58" i="1"/>
  <c r="L58" i="1"/>
  <c r="K58" i="1"/>
  <c r="J58" i="1"/>
  <c r="I58" i="1"/>
  <c r="H58" i="1"/>
  <c r="G58" i="1"/>
  <c r="F58" i="1"/>
  <c r="E58" i="1"/>
  <c r="D58" i="1"/>
  <c r="C58" i="1"/>
  <c r="N56" i="1"/>
  <c r="M56" i="1"/>
  <c r="L56" i="1"/>
  <c r="K56" i="1"/>
  <c r="J56" i="1"/>
  <c r="I56" i="1"/>
  <c r="H56" i="1"/>
  <c r="G56" i="1"/>
  <c r="F56" i="1"/>
  <c r="E56" i="1"/>
  <c r="D56" i="1"/>
  <c r="D55" i="2" s="1"/>
  <c r="C56" i="1"/>
  <c r="N55" i="1"/>
  <c r="M55" i="1"/>
  <c r="L55" i="1"/>
  <c r="K55" i="1"/>
  <c r="J55" i="1"/>
  <c r="I55" i="1"/>
  <c r="H55" i="1"/>
  <c r="G55" i="1"/>
  <c r="F55" i="1"/>
  <c r="E55" i="1"/>
  <c r="D55" i="1"/>
  <c r="C55" i="1"/>
  <c r="K51" i="1"/>
  <c r="G51" i="1"/>
  <c r="C51" i="1"/>
  <c r="K49" i="1"/>
  <c r="G49" i="1"/>
  <c r="Q50" i="1" s="1"/>
  <c r="C49" i="1"/>
  <c r="Q48" i="1"/>
  <c r="K47" i="1"/>
  <c r="G47" i="1"/>
  <c r="C47" i="1"/>
  <c r="O47" i="1" s="1"/>
  <c r="K45" i="1"/>
  <c r="K54" i="1" s="1"/>
  <c r="G45" i="1"/>
  <c r="G54" i="1" s="1"/>
  <c r="C45" i="1"/>
  <c r="C54" i="1" s="1"/>
  <c r="K42" i="1"/>
  <c r="Q43" i="1" s="1"/>
  <c r="G42" i="1"/>
  <c r="C42" i="1"/>
  <c r="K40" i="1"/>
  <c r="G40" i="1"/>
  <c r="O40" i="1" s="1"/>
  <c r="C40" i="1"/>
  <c r="K38" i="1"/>
  <c r="G38" i="1"/>
  <c r="C38" i="1"/>
  <c r="K36" i="1"/>
  <c r="G36" i="1"/>
  <c r="C36" i="1"/>
  <c r="O36" i="1" s="1"/>
  <c r="E14" i="9" l="1"/>
  <c r="B116" i="5"/>
  <c r="Q57" i="1"/>
  <c r="Q37" i="1"/>
  <c r="O56" i="1"/>
  <c r="A42" i="6"/>
  <c r="B104" i="3"/>
  <c r="E42" i="6" s="1"/>
  <c r="O64" i="1"/>
  <c r="Q65" i="1"/>
  <c r="C116" i="5"/>
  <c r="B46" i="6"/>
  <c r="A96" i="3" s="1"/>
  <c r="A99" i="3"/>
  <c r="D43" i="6" s="1"/>
  <c r="C52" i="20" s="1"/>
  <c r="D116" i="5"/>
  <c r="Q39" i="1"/>
  <c r="O42" i="1"/>
  <c r="Q52" i="1"/>
  <c r="O60" i="1"/>
  <c r="B37" i="6"/>
  <c r="O38" i="1"/>
  <c r="Q59" i="1"/>
  <c r="Q61" i="1"/>
  <c r="B42" i="6"/>
  <c r="C48" i="20" s="1"/>
  <c r="F13" i="5"/>
  <c r="F22" i="5" s="1"/>
  <c r="B9" i="1"/>
  <c r="A79" i="22"/>
  <c r="A87" i="22" s="1"/>
  <c r="E87" i="22" s="1"/>
  <c r="E98" i="22" s="1"/>
  <c r="A82" i="22"/>
  <c r="A90" i="22" s="1"/>
  <c r="E90" i="22" s="1"/>
  <c r="E101" i="22" s="1"/>
  <c r="A83" i="22"/>
  <c r="A91" i="22" s="1"/>
  <c r="E91" i="22" s="1"/>
  <c r="E102" i="22" s="1"/>
  <c r="T4" i="22"/>
  <c r="I51" i="22"/>
  <c r="S3" i="22"/>
  <c r="J51" i="22"/>
  <c r="Q41" i="1"/>
  <c r="O66" i="1"/>
  <c r="K51" i="22"/>
  <c r="T3" i="22"/>
  <c r="A81" i="22"/>
  <c r="A102" i="3"/>
  <c r="D46" i="6" s="1"/>
  <c r="C64" i="20" s="1"/>
  <c r="A101" i="3"/>
  <c r="D45" i="6" s="1"/>
  <c r="C61" i="20" s="1"/>
  <c r="B96" i="3"/>
  <c r="A46" i="6" s="1"/>
  <c r="B107" i="3"/>
  <c r="E45" i="6" s="1"/>
  <c r="B102" i="3"/>
  <c r="C46" i="6" s="1"/>
  <c r="A43" i="6"/>
  <c r="B105" i="3"/>
  <c r="E43" i="6" s="1"/>
  <c r="O51" i="1"/>
  <c r="O62" i="1"/>
  <c r="B94" i="3"/>
  <c r="A44" i="6" s="1"/>
  <c r="A80" i="22"/>
  <c r="C119" i="5"/>
  <c r="O49" i="1"/>
  <c r="B43" i="6"/>
  <c r="A107" i="3"/>
  <c r="F45" i="6" s="1"/>
  <c r="C65" i="20" s="1"/>
  <c r="B44" i="6"/>
  <c r="A106" i="3"/>
  <c r="F44" i="6" s="1"/>
  <c r="C59" i="20" s="1"/>
  <c r="B99" i="3"/>
  <c r="C43" i="6" s="1"/>
  <c r="A78" i="22"/>
  <c r="D85" i="22"/>
  <c r="C85" i="22"/>
  <c r="B85" i="22"/>
  <c r="I54" i="22"/>
  <c r="B35" i="6"/>
  <c r="O58" i="1"/>
  <c r="B101" i="3"/>
  <c r="C45" i="6" s="1"/>
  <c r="A45" i="6"/>
  <c r="A104" i="3"/>
  <c r="F42" i="6" s="1"/>
  <c r="C50" i="20" s="1"/>
  <c r="C118" i="5"/>
  <c r="J54" i="22"/>
  <c r="B98" i="3"/>
  <c r="C42" i="6" s="1"/>
  <c r="B13" i="5"/>
  <c r="B22" i="5" s="1"/>
  <c r="E7" i="9"/>
  <c r="B10" i="1"/>
  <c r="A100" i="3"/>
  <c r="D44" i="6" s="1"/>
  <c r="C55" i="20" s="1"/>
  <c r="A105" i="3"/>
  <c r="F43" i="6" s="1"/>
  <c r="C53" i="20" s="1"/>
  <c r="B45" i="6"/>
  <c r="E8" i="9"/>
  <c r="B10" i="9"/>
  <c r="C9" i="1" s="1"/>
  <c r="B18" i="13"/>
  <c r="D18" i="13" s="1"/>
  <c r="E13" i="9"/>
  <c r="B11" i="9"/>
  <c r="C10" i="1" s="1"/>
  <c r="A98" i="3"/>
  <c r="D42" i="6" s="1"/>
  <c r="C49" i="20" s="1"/>
  <c r="C63" i="20" l="1"/>
  <c r="A92" i="3"/>
  <c r="D87" i="22"/>
  <c r="F87" i="22" s="1"/>
  <c r="H98" i="22" s="1"/>
  <c r="C87" i="22"/>
  <c r="C54" i="20"/>
  <c r="A94" i="3"/>
  <c r="D90" i="22"/>
  <c r="F90" i="22" s="1"/>
  <c r="H101" i="22" s="1"/>
  <c r="A88" i="22"/>
  <c r="E88" i="22" s="1"/>
  <c r="E99" i="22" s="1"/>
  <c r="A89" i="22"/>
  <c r="E89" i="22" s="1"/>
  <c r="E100" i="22" s="1"/>
  <c r="C90" i="22"/>
  <c r="A93" i="3"/>
  <c r="C51" i="20"/>
  <c r="C60" i="20"/>
  <c r="A95" i="3"/>
  <c r="B90" i="22"/>
  <c r="A86" i="22"/>
  <c r="E86" i="22" s="1"/>
  <c r="E97" i="22" s="1"/>
  <c r="B91" i="22"/>
  <c r="C91" i="22"/>
  <c r="D91" i="22"/>
  <c r="F91" i="22" s="1"/>
  <c r="H102" i="22" s="1"/>
  <c r="B87" i="22"/>
  <c r="D89" i="22" l="1"/>
  <c r="F89" i="22" s="1"/>
  <c r="H100" i="22" s="1"/>
  <c r="B88" i="22"/>
  <c r="D86" i="22"/>
  <c r="F86" i="22" s="1"/>
  <c r="H97" i="22" s="1"/>
  <c r="C88" i="22"/>
  <c r="C86" i="22"/>
  <c r="D88" i="22"/>
  <c r="F88" i="22" s="1"/>
  <c r="H99" i="22" s="1"/>
  <c r="B89" i="22"/>
  <c r="B86" i="22"/>
  <c r="C89" i="22"/>
</calcChain>
</file>

<file path=xl/comments1.xml><?xml version="1.0" encoding="utf-8"?>
<comments xmlns="http://schemas.openxmlformats.org/spreadsheetml/2006/main">
  <authors>
    <author>Shubham Upadhyay</author>
  </authors>
  <commentList>
    <comment ref="G3" authorId="0" shapeId="0">
      <text>
        <r>
          <rPr>
            <b/>
            <sz val="9"/>
            <color indexed="81"/>
            <rFont val="Tahoma"/>
            <family val="2"/>
          </rPr>
          <t>Shubham Upadhyay:</t>
        </r>
        <r>
          <rPr>
            <sz val="9"/>
            <color indexed="81"/>
            <rFont val="Tahoma"/>
            <family val="2"/>
          </rPr>
          <t xml:space="preserve">
Cashflow From Operations/Long Term Liability+Short Term Liability.</t>
        </r>
      </text>
    </comment>
    <comment ref="G15" authorId="0" shapeId="0">
      <text>
        <r>
          <rPr>
            <b/>
            <sz val="9"/>
            <color indexed="81"/>
            <rFont val="Tahoma"/>
            <family val="2"/>
          </rPr>
          <t>Shubham Upadhyay:</t>
        </r>
        <r>
          <rPr>
            <sz val="9"/>
            <color indexed="81"/>
            <rFont val="Tahoma"/>
            <family val="2"/>
          </rPr>
          <t xml:space="preserve">
DEBT/Equity</t>
        </r>
      </text>
    </comment>
  </commentList>
</comments>
</file>

<file path=xl/comments2.xml><?xml version="1.0" encoding="utf-8"?>
<comments xmlns="http://schemas.openxmlformats.org/spreadsheetml/2006/main">
  <authors>
    <author>Shubham Upadhyay</author>
  </authors>
  <commentList>
    <comment ref="A3" authorId="0" shapeId="0">
      <text>
        <r>
          <rPr>
            <b/>
            <sz val="9"/>
            <color indexed="81"/>
            <rFont val="Tahoma"/>
            <family val="2"/>
          </rPr>
          <t>Shubham Upadhyay:</t>
        </r>
        <r>
          <rPr>
            <sz val="9"/>
            <color indexed="81"/>
            <rFont val="Tahoma"/>
            <family val="2"/>
          </rPr>
          <t xml:space="preserve">
Cashflow From Operations/Long Term Liability+Short Term Liability.</t>
        </r>
      </text>
    </comment>
    <comment ref="A15" authorId="0" shapeId="0">
      <text>
        <r>
          <rPr>
            <b/>
            <sz val="9"/>
            <color indexed="81"/>
            <rFont val="Tahoma"/>
            <family val="2"/>
          </rPr>
          <t>Shubham Upadhyay:</t>
        </r>
        <r>
          <rPr>
            <sz val="9"/>
            <color indexed="81"/>
            <rFont val="Tahoma"/>
            <family val="2"/>
          </rPr>
          <t xml:space="preserve">
DEBT/Equity</t>
        </r>
      </text>
    </comment>
    <comment ref="A36" authorId="0" shapeId="0">
      <text>
        <r>
          <rPr>
            <b/>
            <sz val="9"/>
            <color indexed="81"/>
            <rFont val="Tahoma"/>
            <family val="2"/>
          </rPr>
          <t>Shubham Upadhyay:</t>
        </r>
        <r>
          <rPr>
            <sz val="9"/>
            <color indexed="81"/>
            <rFont val="Tahoma"/>
            <family val="2"/>
          </rPr>
          <t xml:space="preserve">
Finance Cost/Avg of last 2 yrs Borrowings</t>
        </r>
      </text>
    </comment>
    <comment ref="A37" authorId="0" shapeId="0">
      <text>
        <r>
          <rPr>
            <b/>
            <sz val="9"/>
            <color indexed="81"/>
            <rFont val="Tahoma"/>
            <family val="2"/>
          </rPr>
          <t>Shubham Upadhyay:</t>
        </r>
        <r>
          <rPr>
            <sz val="9"/>
            <color indexed="81"/>
            <rFont val="Tahoma"/>
            <family val="2"/>
          </rPr>
          <t xml:space="preserve">
Total Income-Finance Cost/Avg Loans &amp; Advances of 2 Yrs given.</t>
        </r>
      </text>
    </comment>
    <comment ref="A38" authorId="0" shapeId="0">
      <text>
        <r>
          <rPr>
            <b/>
            <sz val="9"/>
            <color indexed="81"/>
            <rFont val="Tahoma"/>
            <family val="2"/>
          </rPr>
          <t>Shubham Upadhyay:</t>
        </r>
        <r>
          <rPr>
            <sz val="9"/>
            <color indexed="81"/>
            <rFont val="Tahoma"/>
            <family val="2"/>
          </rPr>
          <t xml:space="preserve">
 It reflects the amount of money an NBFC must set aside to cover potential loan defaults.
Bad Debts+Write Offs+Provision/Avg Loans and Advances.</t>
        </r>
      </text>
    </comment>
    <comment ref="A39" authorId="0" shapeId="0">
      <text>
        <r>
          <rPr>
            <b/>
            <sz val="9"/>
            <color indexed="81"/>
            <rFont val="Tahoma"/>
            <family val="2"/>
          </rPr>
          <t>Shubham Upadhyay:</t>
        </r>
        <r>
          <rPr>
            <sz val="9"/>
            <color indexed="81"/>
            <rFont val="Tahoma"/>
            <family val="2"/>
          </rPr>
          <t xml:space="preserve">
How much of your loans turn in to NPA's. Gross NPA/Standard Advances at the beginning of the year.</t>
        </r>
      </text>
    </comment>
  </commentList>
</comments>
</file>

<file path=xl/connections.xml><?xml version="1.0" encoding="utf-8"?>
<connections xmlns="http://schemas.openxmlformats.org/spreadsheetml/2006/main">
  <connection id="1" keepAlive="1" name="Query - For Me PH Sorted" description="Connection to the 'For Me PH Sorted' query in the workbook." type="5" refreshedVersion="0" background="1">
    <dbPr connection="Provider=Microsoft.Mashup.OleDb.1;Data Source=$Workbook$;Location=&quot;For Me PH Sorted&quot;;Extended Properties=&quot;&quot;" command="SELECT * FROM [For Me PH Sorted]"/>
  </connection>
  <connection id="2" keepAlive="1" name="Query - Our Pivot" description="Connection to the 'Our Pivot' query in the workbook." type="5" refreshedVersion="6" background="1" saveData="1">
    <dbPr connection="Provider=Microsoft.Mashup.OleDb.1;Data Source=$Workbook$;Location=Our Pivot;Extended Properties=&quot;&quot;" command="SELECT * FROM [Our Pivot]"/>
  </connection>
  <connection id="3" keepAlive="1" name="Query - Our Pivot PH" description="Connection to the 'Our Pivot PH' query in the workbook." type="5" refreshedVersion="6" background="1" saveData="1">
    <dbPr connection="Provider=Microsoft.Mashup.OleDb.1;Data Source=$Workbook$;Location=Our Pivot PH;Extended Properties=&quot;&quot;" command="SELECT * FROM [Our Pivot PH]"/>
  </connection>
  <connection id="4" keepAlive="1" name="Query - Our_Pivot-Full" description="Connection to the 'Our_Pivot-Full' query in the workbook." type="5" refreshedVersion="6" background="1" saveData="1">
    <dbPr connection="Provider=Microsoft.Mashup.OleDb.1;Data Source=$Workbook$;Location=Our_Pivot-Full;Extended Properties=&quot;&quot;" command="SELECT * FROM [Our_Pivot-Full]"/>
  </connection>
  <connection id="5" keepAlive="1" name="Query - PHSORTED" description="Connection to the 'PHSORTED' query in the workbook." type="5" refreshedVersion="6" background="1">
    <dbPr connection="Provider=Microsoft.Mashup.OleDb.1;Data Source=$Workbook$;Location=PHSORTED;Extended Properties=&quot;&quot;" command="SELECT * FROM [PHSORTED]"/>
  </connection>
  <connection id="6" keepAlive="1" name="Query - Poonawalla%20Fincorp%20GID%20&amp;%20KID-Short" description="Connection to the 'Poonawalla%20Fincorp%20GID%20&amp;%20KID-Short' query in the workbook." type="5" refreshedVersion="6" background="1" saveData="1">
    <dbPr connection="Provider=Microsoft.Mashup.OleDb.1;Data Source=$Workbook$;Location=Poonawalla%20Fincorp%20GID%20&amp;%20KID-Short;Extended Properties=&quot;&quot;" command="SELECT * FROM [Poonawalla%20Fincorp%20GID%20&amp;%20KID-Short]"/>
  </connection>
  <connection id="7" keepAlive="1" name="Query - QONQ" description="Connection to the 'QONQ' query in the workbook." type="5" refreshedVersion="0" background="1">
    <dbPr connection="Provider=Microsoft.Mashup.OleDb.1;Data Source=$Workbook$;Location=QONQ;Extended Properties=&quot;&quot;" command="SELECT * FROM [QONQ]"/>
  </connection>
  <connection id="8" keepAlive="1" name="Query - Ratio" description="Connection to the 'Ratio' query in the workbook." type="5" refreshedVersion="0" background="1">
    <dbPr connection="Provider=Microsoft.Mashup.OleDb.1;Data Source=$Workbook$;Location=Ratio;Extended Properties=&quot;&quot;" command="SELECT * FROM [Ratio]"/>
  </connection>
  <connection id="9" keepAlive="1" name="Query - SegmentRetail" description="Connection to the 'SegmentRetail' query in the workbook." type="5" refreshedVersion="0" background="1">
    <dbPr connection="Provider=Microsoft.Mashup.OleDb.1;Data Source=$Workbook$;Location=SegmentRetail;Extended Properties=&quot;&quot;" command="SELECT * FROM [SegmentRetail]"/>
  </connection>
  <connection id="10" keepAlive="1" name="Query - SPREADCALCI" description="Connection to the 'SPREADCALCI' query in the workbook." type="5" refreshedVersion="0" background="1">
    <dbPr connection="Provider=Microsoft.Mashup.OleDb.1;Data Source=$Workbook$;Location=SPREADCALCI;Extended Properties=&quot;&quot;" command="SELECT * FROM [SPREADCALCI]"/>
  </connection>
  <connection id="11" keepAlive="1" interval="1" name="Query - Stock" description="Connection to the 'Stock' query in the workbook." type="5" refreshedVersion="6" background="1" saveData="1">
    <dbPr connection="Provider=Microsoft.Mashup.OleDb.1;Data Source=$Workbook$;Location=Stock;Extended Properties=&quot;&quot;" command="SELECT * FROM [Stock]"/>
  </connection>
  <connection id="12" keepAlive="1" interval="60" name="Query - Stock 2" description="Connection to the 'Stock 2' query in the workbook." type="5" refreshedVersion="6" background="1" saveData="1">
    <dbPr connection="Provider=Microsoft.Mashup.OleDb.1;Data Source=$Workbook$;Location=Stock 2;Extended Properties=&quot;&quot;" command="SELECT * FROM [Stock 2]"/>
  </connection>
  <connection id="13" keepAlive="1" name="Query - TicketSizeatthetimeoforigination" description="Connection to the 'TicketSizeatthetimeoforigination' query in the workbook." type="5" refreshedVersion="0" background="1">
    <dbPr connection="Provider=Microsoft.Mashup.OleDb.1;Data Source=$Workbook$;Location=TicketSizeatthetimeoforigination;Extended Properties=&quot;&quot;" command="SELECT * FROM [TicketSizeatthetimeoforigination]"/>
  </connection>
  <connection id="14" keepAlive="1" name="Query - Top5states" description="Connection to the 'Top5states' query in the workbook." type="5" refreshedVersion="0" background="1">
    <dbPr connection="Provider=Microsoft.Mashup.OleDb.1;Data Source=$Workbook$;Location=Top5states;Extended Properties=&quot;&quot;" command="SELECT * FROM [Top5states]"/>
  </connection>
  <connection id="15" keepAlive="1" name="Query - YONY" description="Connection to the 'YONY' query in the workbook." type="5" refreshedVersion="0" background="1">
    <dbPr connection="Provider=Microsoft.Mashup.OleDb.1;Data Source=$Workbook$;Location=YONY;Extended Properties=&quot;&quot;" command="SELECT * FROM [YONY]"/>
  </connection>
</connections>
</file>

<file path=xl/sharedStrings.xml><?xml version="1.0" encoding="utf-8"?>
<sst xmlns="http://schemas.openxmlformats.org/spreadsheetml/2006/main" count="1127" uniqueCount="402">
  <si>
    <t>Promoter Holdings</t>
  </si>
  <si>
    <t>For a Non-Banking Financial Company (NBFC), understanding the key headers in the balance sheet, cash flow statement, and income statement is crucial for assessing financial health and performance. Here are the important headers to look at and why they matter:</t>
  </si>
  <si>
    <t>Balance Sheet</t>
  </si>
  <si>
    <t>.</t>
  </si>
  <si>
    <t>Cash Flow Statement</t>
  </si>
  <si>
    <t>Income Statement</t>
  </si>
  <si>
    <t>Understanding these headers helps in evaluating the financial stability, profitability, and operational efficiency of an NBFC.</t>
  </si>
  <si>
    <t>1. Loans and Advances: This is the primary asset for NBFCs, representing the loans extended to customers. It indicates the company's core business activity and potential revenue generation</t>
  </si>
  <si>
    <t>2. Investments: NBFCs often invest in securities, bonds, and shares. This header shows the diversification of assets and potential income from investments</t>
  </si>
  <si>
    <t>3. Borrowings: This is a significant part of an NBFC's liabilities, showing the funds borrowed from banks or other financial institutions to finance lending operations</t>
  </si>
  <si>
    <t>4. Shareholders' Funds: Includes equity share capital, preference share capital, and reserves and surplus. It reflects the owners' investment and retained earnings</t>
  </si>
  <si>
    <t>1. Cash Flow from Operating Activities: This section shows the cash generated or used in the core business operations, including interest received from loans and interest paid on borrowings</t>
  </si>
  <si>
    <t>2. Cash Flow from Investing Activities: Reflects cash used for or generated from investments in securities, bonds, and other assets. It indicates how the company is managing its investment portfolio</t>
  </si>
  <si>
    <t>3. Cash Flow from Financing Activities: Shows the cash flow related to borrowing and repaying loans, issuing shares, and paying dividends. It highlights how the company finances its operations and growth</t>
  </si>
  <si>
    <t>1. Interest Income: The primary revenue source for NBFCs, earned from the interest on loans extended to customers</t>
  </si>
  <si>
    <t>2. Interest Expense: The cost incurred on borrowed funds. The difference between interest income and interest expense is the net interest income, a key profitability indicator</t>
  </si>
  <si>
    <t>3. Non-Interest Income: Includes fees, commissions, and income from investments. It shows the diversification of revenue sources</t>
  </si>
  <si>
    <t>4. Operating Expenses: Costs related to running the business, such as salaries, administrative expenses, and marketing costs. Managing these expenses is crucial for profitability</t>
  </si>
  <si>
    <t>5. Provisions and Bad Debts: Funds set aside to cover potential losses from non-performing assets (NPAs). This reflects the company's risk management practices</t>
  </si>
  <si>
    <t>A LOOK AT FINANCIAL STATEMENTS</t>
  </si>
  <si>
    <t>%Inc/Dec</t>
  </si>
  <si>
    <t>BALANCE SHEET</t>
  </si>
  <si>
    <t>#</t>
  </si>
  <si>
    <t>Loans &amp; Advances</t>
  </si>
  <si>
    <t>Investments</t>
  </si>
  <si>
    <t>Borrowings</t>
  </si>
  <si>
    <t>Shareholders Fund</t>
  </si>
  <si>
    <t>Total</t>
  </si>
  <si>
    <t>Cashflow Statements</t>
  </si>
  <si>
    <t>Cash Flow From Operating Activities</t>
  </si>
  <si>
    <t>Cash Flow From Investing Activities</t>
  </si>
  <si>
    <t>Cash Flow From Financing Activities</t>
  </si>
  <si>
    <t>Interest Income</t>
  </si>
  <si>
    <t>Interest Expense</t>
  </si>
  <si>
    <t>Non- Interest Income</t>
  </si>
  <si>
    <t>Operating Expense</t>
  </si>
  <si>
    <t>Provision &amp; Bad Debts</t>
  </si>
  <si>
    <t>Structure Of The Issuer</t>
  </si>
  <si>
    <t>Promoters -</t>
  </si>
  <si>
    <t>Rising Sun Holdings Pvt Ltd</t>
  </si>
  <si>
    <t>Mayank Poddar</t>
  </si>
  <si>
    <t>Sanjay Chamria</t>
  </si>
  <si>
    <t>Microfirm Capital Private Limited</t>
  </si>
  <si>
    <t>Celica Developers Pvt Ltd</t>
  </si>
  <si>
    <t>Magma Consumer Finance Pvt Ltd</t>
  </si>
  <si>
    <t>Mansi Poddar</t>
  </si>
  <si>
    <t>Shaili Poddar</t>
  </si>
  <si>
    <t>Kalpana Poddar</t>
  </si>
  <si>
    <t>Ashita Poddar</t>
  </si>
  <si>
    <t>FIIs -</t>
  </si>
  <si>
    <t>Amansa Holdings Private Limited</t>
  </si>
  <si>
    <t>Bank Muscat India Fund</t>
  </si>
  <si>
    <t>DIIs -</t>
  </si>
  <si>
    <t>Sbi Life Insurance Co. Ltd</t>
  </si>
  <si>
    <t>Nippon Life India Trustee Ltd- A/C Nippo</t>
  </si>
  <si>
    <t>Aditya Birla Sun Life Trustee Private Limited A/C</t>
  </si>
  <si>
    <t>Nippon Life India Trustee Ltd-A/C Nippon India Sma...</t>
  </si>
  <si>
    <t>Quant Mutual Fund - Quant Mid Cap Fund</t>
  </si>
  <si>
    <t>Life Insurance Corporation Of India</t>
  </si>
  <si>
    <t>Aditya Birla Sun Life Trustee Private Limited A/C ...</t>
  </si>
  <si>
    <t>Nippon Life India Trustee Ltd-A/C</t>
  </si>
  <si>
    <t>Max Life Insurance Company Limited A/C - Ulif01108...</t>
  </si>
  <si>
    <t>Aditya Birla Sun Life Trustee Private Limited</t>
  </si>
  <si>
    <t>Max Life Insurance Co Ltd A/C Participating Fund</t>
  </si>
  <si>
    <t>Bandhan Sterling Value Fund</t>
  </si>
  <si>
    <t>Date</t>
  </si>
  <si>
    <t>-</t>
  </si>
  <si>
    <t>IMPORTANT PARAMETERS</t>
  </si>
  <si>
    <t>Figures in INR Crores</t>
  </si>
  <si>
    <t>Sales</t>
  </si>
  <si>
    <t>Sales Growth</t>
  </si>
  <si>
    <t>COGS</t>
  </si>
  <si>
    <t>COGS % Sales</t>
  </si>
  <si>
    <t>Gross Profit</t>
  </si>
  <si>
    <t>Gross Margins</t>
  </si>
  <si>
    <t>Selling &amp; General Expenses</t>
  </si>
  <si>
    <t>S&amp;G Exp % Sales</t>
  </si>
  <si>
    <t>EBITDA</t>
  </si>
  <si>
    <t>EBITDA Margins</t>
  </si>
  <si>
    <t>Interest</t>
  </si>
  <si>
    <t>Interest % Sales</t>
  </si>
  <si>
    <t>Depreciation</t>
  </si>
  <si>
    <t>Depreciation%Sales</t>
  </si>
  <si>
    <t>Earnings Before Tax</t>
  </si>
  <si>
    <t>EBT % Sales</t>
  </si>
  <si>
    <t>Tax</t>
  </si>
  <si>
    <t>Effective Tax Rate</t>
  </si>
  <si>
    <t>Net Profit</t>
  </si>
  <si>
    <t>Net Margins</t>
  </si>
  <si>
    <t>No of Equity Shares</t>
  </si>
  <si>
    <t>Earnings per Share</t>
  </si>
  <si>
    <t>EPS Growth %</t>
  </si>
  <si>
    <t>Dividend per Share</t>
  </si>
  <si>
    <t>Dividend payout ratio</t>
  </si>
  <si>
    <t>Retained Earnings</t>
  </si>
  <si>
    <t>Equity Share Capital</t>
  </si>
  <si>
    <t>Reserves</t>
  </si>
  <si>
    <t>Other Liabilities</t>
  </si>
  <si>
    <t>Total Liabilities</t>
  </si>
  <si>
    <t>Fixed Assets Net Block</t>
  </si>
  <si>
    <t>Capital Work in Progress</t>
  </si>
  <si>
    <t>Other Assets</t>
  </si>
  <si>
    <t>Total Non Current Assets</t>
  </si>
  <si>
    <t>Receivables</t>
  </si>
  <si>
    <t>Inventory</t>
  </si>
  <si>
    <t>Cash &amp; Bank</t>
  </si>
  <si>
    <t>Total Current Assets</t>
  </si>
  <si>
    <t>Total Assets</t>
  </si>
  <si>
    <t>Balance Sheet Check</t>
  </si>
  <si>
    <t>Cash Flow Statements</t>
  </si>
  <si>
    <t>Operating Activities</t>
  </si>
  <si>
    <t>Profit from operations</t>
  </si>
  <si>
    <t>Payables</t>
  </si>
  <si>
    <t>Other WC items</t>
  </si>
  <si>
    <t>Working capital changes</t>
  </si>
  <si>
    <t>Direct taxes</t>
  </si>
  <si>
    <t>Cash from Operating Activities</t>
  </si>
  <si>
    <t>Investing Activities</t>
  </si>
  <si>
    <t>Fixed assets purchased</t>
  </si>
  <si>
    <t>Fixed assets sold</t>
  </si>
  <si>
    <t>Investments purchased</t>
  </si>
  <si>
    <t>Investments sold</t>
  </si>
  <si>
    <t>Interest received</t>
  </si>
  <si>
    <t>Dividends received</t>
  </si>
  <si>
    <t>Redemption &amp; cancellation of shares</t>
  </si>
  <si>
    <t>Acquisition of companies</t>
  </si>
  <si>
    <t>Inter corporate deposits</t>
  </si>
  <si>
    <t>Other investing items</t>
  </si>
  <si>
    <t>Cash from Investing Activities</t>
  </si>
  <si>
    <t>Financing Activities</t>
  </si>
  <si>
    <t>Proceeds from shares</t>
  </si>
  <si>
    <t>Proceeds from borrowings</t>
  </si>
  <si>
    <t>Repayment of borrowings</t>
  </si>
  <si>
    <t>Interest paid fin</t>
  </si>
  <si>
    <t>Dividends paid</t>
  </si>
  <si>
    <t>Financial liabilities</t>
  </si>
  <si>
    <t>Other financing items</t>
  </si>
  <si>
    <t>Cash from Financing Activities</t>
  </si>
  <si>
    <t>Net Cash Flow</t>
  </si>
  <si>
    <t>Segment Wise Breakup Of AUM</t>
  </si>
  <si>
    <t>Important Ratios</t>
  </si>
  <si>
    <t>Bucketing With Similar Paper &amp; G-Sec</t>
  </si>
  <si>
    <t>AVG(₹Crs)</t>
  </si>
  <si>
    <t>Q1</t>
  </si>
  <si>
    <t>Q2</t>
  </si>
  <si>
    <t>Q3</t>
  </si>
  <si>
    <t>Q4</t>
  </si>
  <si>
    <t>Q ON Q</t>
  </si>
  <si>
    <t>Profit After Tax</t>
  </si>
  <si>
    <t>lmpainnent on financial instruments</t>
  </si>
  <si>
    <t>Employee benefits expenses</t>
  </si>
  <si>
    <t>Depreciation and amortisation expense</t>
  </si>
  <si>
    <t>Net loss on derecognition of financial instruments</t>
  </si>
  <si>
    <t>Y ON Y</t>
  </si>
  <si>
    <t>Cash Flow To Debt</t>
  </si>
  <si>
    <t>Ratios</t>
  </si>
  <si>
    <t>Impairment on financial instruments</t>
  </si>
  <si>
    <t>Other expenses</t>
  </si>
  <si>
    <t>Finance costs</t>
  </si>
  <si>
    <t>Other Expense</t>
  </si>
  <si>
    <t>Finace Cost -For NBFC as well because it's business is lending.</t>
  </si>
  <si>
    <t>Employee Expense</t>
  </si>
  <si>
    <t>Operating Cost</t>
  </si>
  <si>
    <t>Operational Matrix</t>
  </si>
  <si>
    <t>Financial Performance Matrix</t>
  </si>
  <si>
    <t>Finance Cost</t>
  </si>
  <si>
    <t>PAT</t>
  </si>
  <si>
    <t>Net Interest Income</t>
  </si>
  <si>
    <t>Net Interest Margin %</t>
  </si>
  <si>
    <t>AUM</t>
  </si>
  <si>
    <t>Asset &amp; Liability Management</t>
  </si>
  <si>
    <t xml:space="preserve">Net Worth </t>
  </si>
  <si>
    <t>Total Debt</t>
  </si>
  <si>
    <t>Cash &amp; Cash Equivalent</t>
  </si>
  <si>
    <t>Total Debt To Total Asset</t>
  </si>
  <si>
    <t xml:space="preserve">Loans Disbursed </t>
  </si>
  <si>
    <t>Gearing Ratio Times</t>
  </si>
  <si>
    <t>Credit &amp; Risk Metrics</t>
  </si>
  <si>
    <t>Gross NPA %</t>
  </si>
  <si>
    <t>Net NPA %</t>
  </si>
  <si>
    <t>PCR %</t>
  </si>
  <si>
    <t>Collection Efficiency 96%-100%</t>
  </si>
  <si>
    <t>Profitability Metrics</t>
  </si>
  <si>
    <t>ROA</t>
  </si>
  <si>
    <t>ROE</t>
  </si>
  <si>
    <t>Regulatory &amp; Financial Metrics</t>
  </si>
  <si>
    <t>CRAR%</t>
  </si>
  <si>
    <t>Column1</t>
  </si>
  <si>
    <t>Column2</t>
  </si>
  <si>
    <t>Column3</t>
  </si>
  <si>
    <t/>
  </si>
  <si>
    <t>Cost Of Borrowing</t>
  </si>
  <si>
    <t>Cost Of Lending</t>
  </si>
  <si>
    <t>Total Income</t>
  </si>
  <si>
    <t>Spread  Calculation</t>
  </si>
  <si>
    <t>CREDIT COST</t>
  </si>
  <si>
    <t>Bad Debts</t>
  </si>
  <si>
    <t>Writeoffs</t>
  </si>
  <si>
    <t>Slipage Ratio</t>
  </si>
  <si>
    <t>Dates</t>
  </si>
  <si>
    <t>10Y Gsec (%)</t>
  </si>
  <si>
    <t>5Y Gsec (%)</t>
  </si>
  <si>
    <t>AAA PSU CORP. Bonds - 10 Y</t>
  </si>
  <si>
    <t>AAA PSU CORP. Bonds - 5 Y</t>
  </si>
  <si>
    <t>Liquidity</t>
  </si>
  <si>
    <t>Repo Rate</t>
  </si>
  <si>
    <t>R.Repo Rate</t>
  </si>
  <si>
    <t>CRR</t>
  </si>
  <si>
    <t>SLR</t>
  </si>
  <si>
    <t>USD/INR</t>
  </si>
  <si>
    <t xml:space="preserve">Trade Date </t>
  </si>
  <si>
    <t>Settelment Date</t>
  </si>
  <si>
    <t>QTM</t>
  </si>
  <si>
    <t xml:space="preserve">Yeild </t>
  </si>
  <si>
    <t>Price</t>
  </si>
  <si>
    <t>POONAWALA FINCORP PAPER</t>
  </si>
  <si>
    <t>Z-Spread</t>
  </si>
  <si>
    <t>Compared to AAA PSU CORP BOND</t>
  </si>
  <si>
    <t>NBFCPH</t>
  </si>
  <si>
    <t>Column4</t>
  </si>
  <si>
    <t>Column5</t>
  </si>
  <si>
    <t>Column6</t>
  </si>
  <si>
    <t>Column7</t>
  </si>
  <si>
    <t>Column8</t>
  </si>
  <si>
    <t>Column9</t>
  </si>
  <si>
    <t>Column10</t>
  </si>
  <si>
    <t>Column11</t>
  </si>
  <si>
    <t>Column12</t>
  </si>
  <si>
    <t>2021</t>
  </si>
  <si>
    <t>2022</t>
  </si>
  <si>
    <t>2023</t>
  </si>
  <si>
    <t>Details of sectoral exposure as on March 31, 2023:</t>
  </si>
  <si>
    <t>Segment wise break up of AUM</t>
  </si>
  <si>
    <t>Percentage of AUM</t>
  </si>
  <si>
    <t>Sr. No</t>
  </si>
  <si>
    <t>Retail</t>
  </si>
  <si>
    <t>A</t>
  </si>
  <si>
    <t>Mortgages (home loans and loans against property)</t>
  </si>
  <si>
    <t>100%</t>
  </si>
  <si>
    <t>B</t>
  </si>
  <si>
    <t>Gold loans</t>
  </si>
  <si>
    <t>C</t>
  </si>
  <si>
    <t>Vehicle finance</t>
  </si>
  <si>
    <t>31%</t>
  </si>
  <si>
    <t>D</t>
  </si>
  <si>
    <t>MFI</t>
  </si>
  <si>
    <t>E</t>
  </si>
  <si>
    <t>M&amp;SME</t>
  </si>
  <si>
    <t>21%</t>
  </si>
  <si>
    <t>F</t>
  </si>
  <si>
    <t>Capital market funding (loans against shares, margin
funding)</t>
  </si>
  <si>
    <t>G</t>
  </si>
  <si>
    <t>Others</t>
  </si>
  <si>
    <t>32%</t>
  </si>
  <si>
    <t>Wholesale</t>
  </si>
  <si>
    <t>Ticket Size (at the time of origination)</t>
  </si>
  <si>
    <t>Upto Rs 2 lakh</t>
  </si>
  <si>
    <t>17.8%</t>
  </si>
  <si>
    <t>Rs. 2-5 lakh</t>
  </si>
  <si>
    <t>13.9%</t>
  </si>
  <si>
    <t>Rs. 5-10 lakh</t>
  </si>
  <si>
    <t>13.5%</t>
  </si>
  <si>
    <t>Rs. 10-25 lakh</t>
  </si>
  <si>
    <t>23.9%</t>
  </si>
  <si>
    <t>Rs. 25-50 lakh</t>
  </si>
  <si>
    <t>14.0%</t>
  </si>
  <si>
    <t>Rs. 50 lakh- 1 Crore</t>
  </si>
  <si>
    <t>3.5%</t>
  </si>
  <si>
    <t>Rs. 1 - 5 Crore</t>
  </si>
  <si>
    <t>9.6%</t>
  </si>
  <si>
    <t>Rs. 5 - 25 Crore</t>
  </si>
  <si>
    <t>3.8%</t>
  </si>
  <si>
    <t>Rs. 25 - 100 Crore</t>
  </si>
  <si>
    <t>0%</t>
  </si>
  <si>
    <t>Rs. &gt; 100 Crore</t>
  </si>
  <si>
    <t>H</t>
  </si>
  <si>
    <t>Sl. No.</t>
  </si>
  <si>
    <t>Top 5 states</t>
  </si>
  <si>
    <t>Maharashtra</t>
  </si>
  <si>
    <t>Gujarat</t>
  </si>
  <si>
    <t>Tamil Nadu</t>
  </si>
  <si>
    <t>Karnataka</t>
  </si>
  <si>
    <t>Telangana</t>
  </si>
  <si>
    <t>NAME</t>
  </si>
  <si>
    <t>USECASE</t>
  </si>
  <si>
    <t>LIVE STOCK</t>
  </si>
  <si>
    <t>Top 5 States Geographical Breakup</t>
  </si>
  <si>
    <t>AAA NBFC CORP. Bonds - 3 Y</t>
  </si>
  <si>
    <t>AAA NBFC CORP. Bonds - 5 Y</t>
  </si>
  <si>
    <t>AAA NBFC CORP. Bonds - 10 Y</t>
  </si>
  <si>
    <t>Compared to AAA NBFC BOND-5Yr</t>
  </si>
  <si>
    <t>Compared to AAA NBFC BOND-10Yr</t>
  </si>
  <si>
    <t>AAA NBFC BOND-5Yr</t>
  </si>
  <si>
    <t>AAA NBFC BOND-10Yr</t>
  </si>
  <si>
    <t>Nifty 50</t>
  </si>
  <si>
    <t>Quality Check</t>
  </si>
  <si>
    <t>Secured</t>
  </si>
  <si>
    <t>Unsecured</t>
  </si>
  <si>
    <t>Poonawalla Fincorp</t>
  </si>
  <si>
    <t>(All)</t>
  </si>
  <si>
    <t>Column Labels</t>
  </si>
  <si>
    <t>Grand Total</t>
  </si>
  <si>
    <t>Row Labels</t>
  </si>
  <si>
    <t>Value</t>
  </si>
  <si>
    <t>Years</t>
  </si>
  <si>
    <t>Promoter Holdings2</t>
  </si>
  <si>
    <t>Promoter Holdings3</t>
  </si>
  <si>
    <t>Year</t>
  </si>
  <si>
    <t>Ratios/Stake Holders</t>
  </si>
  <si>
    <t>Values</t>
  </si>
  <si>
    <t>Sum of Value</t>
  </si>
  <si>
    <t>Promoter</t>
  </si>
  <si>
    <t>Stake Holders</t>
  </si>
  <si>
    <t>QonQ</t>
  </si>
  <si>
    <t>YonY</t>
  </si>
  <si>
    <t>Holdings %</t>
  </si>
  <si>
    <t>Image</t>
  </si>
  <si>
    <t>Image Cell Name</t>
  </si>
  <si>
    <t>Logo_1</t>
  </si>
  <si>
    <t>Logo_2</t>
  </si>
  <si>
    <t>Logo_3</t>
  </si>
  <si>
    <t>Logo_4</t>
  </si>
  <si>
    <t>Logo_5</t>
  </si>
  <si>
    <t>Logo_6</t>
  </si>
  <si>
    <t>img</t>
  </si>
  <si>
    <t>It reflects the amount of money an NBFC must set aside to cover potential loan defaults.</t>
  </si>
  <si>
    <t>Credit Cost</t>
  </si>
  <si>
    <t>How much of your loans turn in to NPA's. Gross NPA/Standard Advances at the beginning of the year.</t>
  </si>
  <si>
    <t>Ratio</t>
  </si>
  <si>
    <t>Statement</t>
  </si>
  <si>
    <t>All the figures mentioned above are in ₹Crs</t>
  </si>
  <si>
    <t>Yes</t>
  </si>
  <si>
    <t xml:space="preserve">3 -4 Days </t>
  </si>
  <si>
    <t>No</t>
  </si>
  <si>
    <t>In time</t>
  </si>
  <si>
    <t>A Part of TVS Motor Group which holds more than 80% Share in the Company.</t>
  </si>
  <si>
    <t>Bond</t>
  </si>
  <si>
    <t>Ticket Size</t>
  </si>
  <si>
    <t>Percentage Of AUM</t>
  </si>
  <si>
    <t>Rs. 50 lakh- 1Crore</t>
  </si>
  <si>
    <t>As on 31st March 2023</t>
  </si>
  <si>
    <t>Ticket Size as a % of AUM</t>
  </si>
  <si>
    <t>ALM statement and Liquidity</t>
  </si>
  <si>
    <t>Structural Liquidity Statement as on December 31, 2024</t>
  </si>
  <si>
    <t>Liquidity as on Dec 31, 2024, for PFL stood at ? 4,808 crore in the form of cash, cash equivalents and undrawn bank lines</t>
  </si>
  <si>
    <t>0-7 days</t>
  </si>
  <si>
    <t>8-14 days</t>
  </si>
  <si>
    <t>15-30 days</t>
  </si>
  <si>
    <t>1-2 m</t>
  </si>
  <si>
    <t>2-3 m</t>
  </si>
  <si>
    <t>3-6 m</t>
  </si>
  <si>
    <t>6-12 m</t>
  </si>
  <si>
    <t>1-3 Y</t>
  </si>
  <si>
    <t>3-5 Y</t>
  </si>
  <si>
    <t>&gt;5 Y</t>
  </si>
  <si>
    <t>Cumulative Positive Gap</t>
  </si>
  <si>
    <t>Cumulative (%)</t>
  </si>
  <si>
    <t>Cumulative inflows (₹ crore)</t>
  </si>
  <si>
    <t>Cumulative outflows (₹ crore)</t>
  </si>
  <si>
    <t>ALM STATEMENT</t>
  </si>
  <si>
    <t>PRODUCT OFFERINGS</t>
  </si>
  <si>
    <t>Distribution Model</t>
  </si>
  <si>
    <t>Particulars</t>
  </si>
  <si>
    <t>Collection Efficiency</t>
  </si>
  <si>
    <t>Type of Facility</t>
  </si>
  <si>
    <t>Instrument</t>
  </si>
  <si>
    <t>Bank Name</t>
  </si>
  <si>
    <t>Rated Amount ( ₹ Cr )</t>
  </si>
  <si>
    <t>Fund-based</t>
  </si>
  <si>
    <t>Long Term</t>
  </si>
  <si>
    <t>HSBC Ltd.</t>
  </si>
  <si>
    <t>ICICI Bank Ltd.</t>
  </si>
  <si>
    <t>Proposed</t>
  </si>
  <si>
    <t>Fund-based - LT</t>
  </si>
  <si>
    <t>Cash Credit</t>
  </si>
  <si>
    <t>Bank of Baroda</t>
  </si>
  <si>
    <t>HDFC Bank Ltd.</t>
  </si>
  <si>
    <t>IDBI Bank Ltd.</t>
  </si>
  <si>
    <t>Indian Bank</t>
  </si>
  <si>
    <t>Indian Overseas Bank</t>
  </si>
  <si>
    <t>Punjab National Bank</t>
  </si>
  <si>
    <t>State Bank of India</t>
  </si>
  <si>
    <t>Union Bank of India</t>
  </si>
  <si>
    <t>Fund-based - ST</t>
  </si>
  <si>
    <t>Working Capital Limits</t>
  </si>
  <si>
    <t>Non-fund-based - LT/ ST</t>
  </si>
  <si>
    <t>BG/LC</t>
  </si>
  <si>
    <t>Term Loan</t>
  </si>
  <si>
    <t>Axis Bank Ltd.</t>
  </si>
  <si>
    <t>Bank of India</t>
  </si>
  <si>
    <t>Bank of Maharashtra</t>
  </si>
  <si>
    <t>IDFC First Bank Ltd.</t>
  </si>
  <si>
    <t>Small Industries Development Bank of India</t>
  </si>
  <si>
    <t>UCO Bank</t>
  </si>
  <si>
    <t>Lenders</t>
  </si>
  <si>
    <t>Amount(₹ Crs)</t>
  </si>
  <si>
    <t xml:space="preserve"> </t>
  </si>
  <si>
    <t>Standard Advances</t>
  </si>
  <si>
    <t>Gross Npa</t>
  </si>
  <si>
    <t>Spread Calculation</t>
  </si>
  <si>
    <t>Formula1</t>
  </si>
  <si>
    <t>How much of your loans turn in to NPA's. 
Gross NPA/Standard Advances at the beginning of the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</si>
</sst>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F800]dddd\,\ mmmm\ dd\,\ yyyy"/>
    <numFmt numFmtId="165" formatCode="0.0%"/>
    <numFmt numFmtId="166" formatCode="&quot;₹&quot;\ #,##0.0"/>
    <numFmt numFmtId="167" formatCode="&quot;₹&quot;\ #,##0.0;\(&quot;₹&quot;\ #,##0.0\);\-"/>
    <numFmt numFmtId="168" formatCode="&quot;₹&quot;\ #,##0.00"/>
    <numFmt numFmtId="169" formatCode="yyyy"/>
    <numFmt numFmtId="170" formatCode="0.0"/>
    <numFmt numFmtId="171" formatCode="[$-409]d/mmm/yy;@"/>
    <numFmt numFmtId="172" formatCode="0.000"/>
  </numFmts>
  <fonts count="63">
    <font>
      <sz val="11"/>
      <color theme="1"/>
      <name val="Calibri"/>
      <family val="2"/>
      <scheme val="minor"/>
    </font>
    <font>
      <sz val="11"/>
      <color theme="1"/>
      <name val="Calibri"/>
      <family val="2"/>
      <scheme val="minor"/>
    </font>
    <font>
      <sz val="11"/>
      <color theme="0"/>
      <name val="Calibri"/>
      <family val="2"/>
      <scheme val="minor"/>
    </font>
    <font>
      <sz val="11"/>
      <color theme="0"/>
      <name val="Bahnschrift Light"/>
      <family val="2"/>
    </font>
    <font>
      <sz val="20"/>
      <color theme="0"/>
      <name val="Bahnschrift Light"/>
      <family val="2"/>
    </font>
    <font>
      <b/>
      <sz val="16"/>
      <color theme="4" tint="-0.499984740745262"/>
      <name val="Bahnschrift Light SemiCondensed"/>
      <family val="2"/>
    </font>
    <font>
      <sz val="16"/>
      <color theme="8" tint="-0.249977111117893"/>
      <name val="Bahnschrift Light"/>
      <family val="2"/>
    </font>
    <font>
      <sz val="14"/>
      <color theme="0" tint="-0.499984740745262"/>
      <name val="Bahnschrift Light"/>
      <family val="2"/>
    </font>
    <font>
      <sz val="16"/>
      <color theme="6"/>
      <name val="Bahnschrift Light"/>
      <family val="2"/>
    </font>
    <font>
      <sz val="11"/>
      <color theme="8"/>
      <name val="Calibri"/>
      <family val="2"/>
      <scheme val="minor"/>
    </font>
    <font>
      <sz val="11"/>
      <color theme="8" tint="-0.499984740745262"/>
      <name val="Bahnschrift Light SemiCondensed"/>
      <family val="2"/>
    </font>
    <font>
      <sz val="11"/>
      <color theme="0" tint="-0.499984740745262"/>
      <name val="Calibri"/>
      <family val="2"/>
      <scheme val="minor"/>
    </font>
    <font>
      <sz val="8"/>
      <color theme="0"/>
      <name val="Bahnschrift Light"/>
      <family val="2"/>
    </font>
    <font>
      <sz val="11"/>
      <color theme="7" tint="-0.249977111117893"/>
      <name val="Calibri"/>
      <family val="2"/>
      <scheme val="minor"/>
    </font>
    <font>
      <sz val="11"/>
      <color theme="9"/>
      <name val="Calibri"/>
      <family val="2"/>
      <scheme val="minor"/>
    </font>
    <font>
      <sz val="11"/>
      <color rgb="FF22222F"/>
      <name val="Arial"/>
      <family val="2"/>
    </font>
    <font>
      <sz val="11"/>
      <color rgb="FF22222F"/>
      <name val="Arial"/>
      <family val="2"/>
    </font>
    <font>
      <sz val="11"/>
      <color rgb="FF22222F"/>
      <name val="Arial"/>
      <family val="2"/>
    </font>
    <font>
      <u/>
      <sz val="11"/>
      <color theme="10"/>
      <name val="Calibri"/>
      <family val="2"/>
      <scheme val="minor"/>
    </font>
    <font>
      <sz val="11"/>
      <color theme="1"/>
      <name val="calibri"/>
      <family val="2"/>
    </font>
    <font>
      <b/>
      <i/>
      <sz val="11"/>
      <name val="calibri"/>
      <family val="2"/>
    </font>
    <font>
      <b/>
      <sz val="12"/>
      <color theme="0"/>
      <name val="Calibri"/>
      <family val="2"/>
    </font>
    <font>
      <i/>
      <sz val="11"/>
      <color theme="0" tint="-0.499984740745262"/>
      <name val="calibri"/>
      <family val="2"/>
    </font>
    <font>
      <b/>
      <sz val="11"/>
      <color theme="1"/>
      <name val="calibri"/>
      <family val="2"/>
    </font>
    <font>
      <i/>
      <sz val="11"/>
      <color theme="1"/>
      <name val="calibri"/>
      <family val="2"/>
    </font>
    <font>
      <b/>
      <sz val="11"/>
      <color theme="0"/>
      <name val="calibri"/>
      <family val="2"/>
    </font>
    <font>
      <sz val="9"/>
      <color indexed="81"/>
      <name val="Tahoma"/>
      <family val="2"/>
    </font>
    <font>
      <b/>
      <sz val="9"/>
      <color indexed="81"/>
      <name val="Tahoma"/>
      <family val="2"/>
    </font>
    <font>
      <sz val="10"/>
      <name val="Arial"/>
      <family val="2"/>
    </font>
    <font>
      <b/>
      <sz val="10"/>
      <name val="Calibri"/>
      <family val="2"/>
      <scheme val="minor"/>
    </font>
    <font>
      <sz val="10"/>
      <name val="Calibri"/>
      <family val="2"/>
      <scheme val="minor"/>
    </font>
    <font>
      <sz val="14"/>
      <color rgb="FF666666"/>
      <name val="Roboto"/>
    </font>
    <font>
      <b/>
      <sz val="10"/>
      <color theme="0"/>
      <name val="Calibri"/>
      <family val="2"/>
      <scheme val="minor"/>
    </font>
    <font>
      <b/>
      <sz val="11"/>
      <color theme="1"/>
      <name val="Calibri"/>
      <family val="2"/>
      <scheme val="minor"/>
    </font>
    <font>
      <sz val="9"/>
      <color theme="0"/>
      <name val="Bahnschrift Light"/>
      <family val="2"/>
    </font>
    <font>
      <sz val="11"/>
      <color rgb="FF232526"/>
      <name val="Segoe UI"/>
      <family val="2"/>
    </font>
    <font>
      <sz val="11"/>
      <color rgb="FF232526"/>
      <name val="Segoe UI"/>
      <family val="2"/>
    </font>
    <font>
      <sz val="12"/>
      <color theme="8"/>
      <name val="Bahnschrift Light"/>
      <family val="2"/>
    </font>
    <font>
      <sz val="12"/>
      <color theme="4"/>
      <name val="Bahnschrift Light"/>
      <family val="2"/>
    </font>
    <font>
      <sz val="11"/>
      <color theme="8" tint="-0.249977111117893"/>
      <name val="Bahnschrift Light"/>
      <family val="2"/>
    </font>
    <font>
      <sz val="11"/>
      <color theme="9"/>
      <name val="Bahnschrift Condensed"/>
      <family val="2"/>
    </font>
    <font>
      <sz val="11"/>
      <color theme="5"/>
      <name val="Bahnschrift Condensed"/>
      <family val="2"/>
    </font>
    <font>
      <sz val="11"/>
      <color theme="4" tint="-0.249977111117893"/>
      <name val="Bahnschrift Condensed"/>
      <family val="2"/>
    </font>
    <font>
      <sz val="11"/>
      <color theme="6"/>
      <name val="Bahnschrift Condensed"/>
      <family val="2"/>
    </font>
    <font>
      <sz val="11"/>
      <color theme="7"/>
      <name val="Bahnschrift Condensed"/>
      <family val="2"/>
    </font>
    <font>
      <sz val="11"/>
      <color theme="1"/>
      <name val="Bahnschrift Light"/>
      <family val="2"/>
    </font>
    <font>
      <sz val="11"/>
      <color theme="8"/>
      <name val="Bahnschrift Light"/>
      <family val="2"/>
    </font>
    <font>
      <sz val="11"/>
      <color theme="9" tint="-0.499984740745262"/>
      <name val="Calibri"/>
      <family val="2"/>
      <scheme val="minor"/>
    </font>
    <font>
      <sz val="11"/>
      <color theme="5"/>
      <name val="Bahnschrift Light"/>
      <family val="2"/>
    </font>
    <font>
      <sz val="12"/>
      <color rgb="FF00B0F0"/>
      <name val="Bahnschrift Light"/>
      <family val="2"/>
    </font>
    <font>
      <b/>
      <sz val="11"/>
      <color theme="1"/>
      <name val="Bahnschrift Condensed"/>
      <family val="2"/>
    </font>
    <font>
      <u/>
      <sz val="16"/>
      <color theme="8" tint="-0.249977111117893"/>
      <name val="Bahnschrift Light"/>
      <family val="2"/>
    </font>
    <font>
      <sz val="11"/>
      <color theme="8" tint="-0.499984740745262"/>
      <name val="Bahnschrift Condensed"/>
      <family val="2"/>
    </font>
    <font>
      <b/>
      <sz val="11"/>
      <color theme="0"/>
      <name val="Calibri"/>
      <family val="2"/>
      <scheme val="minor"/>
    </font>
    <font>
      <sz val="11"/>
      <color theme="9" tint="-0.249977111117893"/>
      <name val="Bahnschrift Light"/>
      <family val="2"/>
    </font>
    <font>
      <u/>
      <sz val="16"/>
      <color theme="4"/>
      <name val="Bahnschrift Light"/>
      <family val="2"/>
    </font>
    <font>
      <u/>
      <sz val="16"/>
      <color theme="8"/>
      <name val="Bahnschrift Light"/>
      <family val="2"/>
    </font>
    <font>
      <u/>
      <sz val="24"/>
      <color theme="7"/>
      <name val="Bahnschrift Light"/>
      <family val="2"/>
    </font>
    <font>
      <sz val="24"/>
      <color theme="1"/>
      <name val="Calibri"/>
      <family val="2"/>
      <scheme val="minor"/>
    </font>
    <font>
      <sz val="8"/>
      <color rgb="FFFFFFFF"/>
      <name val="Gotham-book"/>
    </font>
    <font>
      <sz val="8"/>
      <color rgb="FF000000"/>
      <name val="Gotham-book"/>
    </font>
    <font>
      <sz val="11"/>
      <color rgb="FFB8469A"/>
      <name val="Bahnschrift Light"/>
      <family val="2"/>
    </font>
    <font>
      <sz val="12"/>
      <color rgb="FF000000"/>
      <name val="Bahnschrift Light Condensed"/>
      <family val="2"/>
    </font>
  </fonts>
  <fills count="27">
    <fill>
      <patternFill patternType="none"/>
    </fill>
    <fill>
      <patternFill patternType="gray125"/>
    </fill>
    <fill>
      <patternFill patternType="solid">
        <fgColor theme="0" tint="-4.9989318521683403E-2"/>
        <bgColor indexed="64"/>
      </patternFill>
    </fill>
    <fill>
      <patternFill patternType="solid">
        <fgColor theme="8" tint="-0.499984740745262"/>
        <bgColor indexed="64"/>
      </patternFill>
    </fill>
    <fill>
      <patternFill patternType="solid">
        <fgColor theme="7" tint="0.79998168889431442"/>
        <bgColor indexed="64"/>
      </patternFill>
    </fill>
    <fill>
      <patternFill patternType="solid">
        <fgColor theme="0"/>
        <bgColor indexed="64"/>
      </patternFill>
    </fill>
    <fill>
      <patternFill patternType="solid">
        <fgColor theme="8" tint="-0.249977111117893"/>
        <bgColor indexed="64"/>
      </patternFill>
    </fill>
    <fill>
      <patternFill patternType="solid">
        <fgColor rgb="FFFFFFFF"/>
        <bgColor indexed="64"/>
      </patternFill>
    </fill>
    <fill>
      <patternFill patternType="solid">
        <fgColor rgb="FF0275D8"/>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9" tint="0.79998168889431442"/>
        <bgColor theme="9" tint="0.79998168889431442"/>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FAFAFA"/>
        <bgColor indexed="64"/>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theme="9"/>
        <bgColor indexed="64"/>
      </patternFill>
    </fill>
    <fill>
      <patternFill patternType="solid">
        <fgColor theme="4"/>
        <bgColor theme="4"/>
      </patternFill>
    </fill>
    <fill>
      <patternFill patternType="solid">
        <fgColor theme="0" tint="-4.9989318521683403E-2"/>
        <bgColor theme="9" tint="0.79998168889431442"/>
      </patternFill>
    </fill>
    <fill>
      <patternFill patternType="solid">
        <fgColor rgb="FF1C304C"/>
        <bgColor indexed="64"/>
      </patternFill>
    </fill>
    <fill>
      <patternFill patternType="solid">
        <fgColor rgb="FFF5F5F5"/>
        <bgColor indexed="64"/>
      </patternFill>
    </fill>
    <fill>
      <patternFill patternType="solid">
        <fgColor theme="8" tint="0.39997558519241921"/>
        <bgColor indexed="64"/>
      </patternFill>
    </fill>
  </fills>
  <borders count="161">
    <border>
      <left/>
      <right/>
      <top/>
      <bottom/>
      <diagonal/>
    </border>
    <border>
      <left/>
      <right/>
      <top style="thin">
        <color theme="7" tint="0.79998168889431442"/>
      </top>
      <bottom/>
      <diagonal/>
    </border>
    <border>
      <left style="thin">
        <color theme="7" tint="0.79998168889431442"/>
      </left>
      <right/>
      <top/>
      <bottom/>
      <diagonal/>
    </border>
    <border>
      <left style="thin">
        <color theme="7" tint="0.79998168889431442"/>
      </left>
      <right/>
      <top/>
      <bottom style="thin">
        <color theme="7" tint="0.79998168889431442"/>
      </bottom>
      <diagonal/>
    </border>
    <border>
      <left style="hair">
        <color rgb="FFCC3300"/>
      </left>
      <right/>
      <top style="hair">
        <color rgb="FFCC3300"/>
      </top>
      <bottom/>
      <diagonal/>
    </border>
    <border>
      <left style="hair">
        <color rgb="FFCC3300"/>
      </left>
      <right/>
      <top/>
      <bottom/>
      <diagonal/>
    </border>
    <border>
      <left/>
      <right style="hair">
        <color rgb="FFCC3300"/>
      </right>
      <top/>
      <bottom/>
      <diagonal/>
    </border>
    <border>
      <left style="hair">
        <color theme="0"/>
      </left>
      <right style="hair">
        <color rgb="FFCC3300"/>
      </right>
      <top/>
      <bottom/>
      <diagonal/>
    </border>
    <border>
      <left/>
      <right/>
      <top/>
      <bottom style="hair">
        <color theme="0" tint="-0.24994659260841701"/>
      </bottom>
      <diagonal/>
    </border>
    <border>
      <left/>
      <right/>
      <top style="thin">
        <color theme="0"/>
      </top>
      <bottom/>
      <diagonal/>
    </border>
    <border>
      <left/>
      <right/>
      <top style="hair">
        <color theme="0" tint="-0.24994659260841701"/>
      </top>
      <bottom/>
      <diagonal/>
    </border>
    <border>
      <left/>
      <right style="hair">
        <color theme="0"/>
      </right>
      <top style="thin">
        <color theme="0"/>
      </top>
      <bottom/>
      <diagonal/>
    </border>
    <border>
      <left/>
      <right style="hair">
        <color theme="0"/>
      </right>
      <top/>
      <bottom/>
      <diagonal/>
    </border>
    <border>
      <left/>
      <right/>
      <top/>
      <bottom style="hair">
        <color theme="0" tint="-0.14996795556505021"/>
      </bottom>
      <diagonal/>
    </border>
    <border>
      <left/>
      <right/>
      <top style="hair">
        <color theme="0" tint="-0.34998626667073579"/>
      </top>
      <bottom/>
      <diagonal/>
    </border>
    <border>
      <left/>
      <right/>
      <top/>
      <bottom style="hair">
        <color theme="0" tint="-0.34998626667073579"/>
      </bottom>
      <diagonal/>
    </border>
    <border>
      <left/>
      <right/>
      <top style="thin">
        <color indexed="64"/>
      </top>
      <bottom style="thin">
        <color indexed="64"/>
      </bottom>
      <diagonal/>
    </border>
    <border>
      <left/>
      <right/>
      <top style="thin">
        <color indexed="64"/>
      </top>
      <bottom style="double">
        <color indexed="64"/>
      </bottom>
      <diagonal/>
    </border>
    <border>
      <left/>
      <right/>
      <top style="thin">
        <color auto="1"/>
      </top>
      <bottom/>
      <diagonal/>
    </border>
    <border>
      <left/>
      <right style="hair">
        <color theme="0" tint="-0.24994659260841701"/>
      </right>
      <top/>
      <bottom style="hair">
        <color theme="0" tint="-0.24994659260841701"/>
      </bottom>
      <diagonal/>
    </border>
    <border>
      <left style="slantDashDot">
        <color theme="0" tint="-4.9989318521683403E-2"/>
      </left>
      <right/>
      <top/>
      <bottom/>
      <diagonal/>
    </border>
    <border>
      <left style="slantDashDot">
        <color theme="0" tint="-4.9989318521683403E-2"/>
      </left>
      <right style="hair">
        <color theme="0" tint="-0.24994659260841701"/>
      </right>
      <top style="hair">
        <color theme="0" tint="-0.24994659260841701"/>
      </top>
      <bottom/>
      <diagonal/>
    </border>
    <border>
      <left style="slantDashDot">
        <color theme="0" tint="-4.9989318521683403E-2"/>
      </left>
      <right style="hair">
        <color theme="0" tint="-0.24994659260841701"/>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style="hair">
        <color theme="0" tint="-0.24994659260841701"/>
      </top>
      <bottom/>
      <diagonal/>
    </border>
    <border>
      <left/>
      <right style="hair">
        <color theme="0" tint="-0.24994659260841701"/>
      </right>
      <top/>
      <bottom/>
      <diagonal/>
    </border>
    <border>
      <left style="hair">
        <color theme="0" tint="-0.24994659260841701"/>
      </left>
      <right/>
      <top/>
      <bottom style="hair">
        <color theme="0" tint="-0.24994659260841701"/>
      </bottom>
      <diagonal/>
    </border>
    <border>
      <left style="hair">
        <color theme="0" tint="-0.24994659260841701"/>
      </left>
      <right/>
      <top/>
      <bottom/>
      <diagonal/>
    </border>
    <border>
      <left style="hair">
        <color theme="0" tint="-0.24994659260841701"/>
      </left>
      <right/>
      <top style="hair">
        <color theme="0" tint="-0.24994659260841701"/>
      </top>
      <bottom/>
      <diagonal/>
    </border>
    <border>
      <left style="hair">
        <color theme="8" tint="0.59996337778862885"/>
      </left>
      <right style="hair">
        <color theme="8" tint="0.59996337778862885"/>
      </right>
      <top style="hair">
        <color theme="8" tint="0.59996337778862885"/>
      </top>
      <bottom style="hair">
        <color theme="8" tint="0.59996337778862885"/>
      </bottom>
      <diagonal/>
    </border>
    <border>
      <left style="hair">
        <color theme="8" tint="0.59996337778862885"/>
      </left>
      <right style="hair">
        <color theme="8" tint="0.59996337778862885"/>
      </right>
      <top/>
      <bottom style="hair">
        <color theme="8" tint="0.59996337778862885"/>
      </bottom>
      <diagonal/>
    </border>
    <border>
      <left style="hair">
        <color theme="9" tint="0.59996337778862885"/>
      </left>
      <right style="hair">
        <color theme="9" tint="0.59996337778862885"/>
      </right>
      <top style="hair">
        <color theme="9" tint="0.59996337778862885"/>
      </top>
      <bottom style="hair">
        <color theme="9" tint="0.59996337778862885"/>
      </bottom>
      <diagonal/>
    </border>
    <border>
      <left style="hair">
        <color theme="8" tint="0.59996337778862885"/>
      </left>
      <right/>
      <top/>
      <bottom style="hair">
        <color theme="8" tint="0.59996337778862885"/>
      </bottom>
      <diagonal/>
    </border>
    <border>
      <left style="hair">
        <color theme="8" tint="0.59996337778862885"/>
      </left>
      <right/>
      <top style="hair">
        <color theme="8" tint="0.59996337778862885"/>
      </top>
      <bottom style="hair">
        <color theme="8" tint="0.59996337778862885"/>
      </bottom>
      <diagonal/>
    </border>
    <border>
      <left style="hair">
        <color theme="9" tint="0.59996337778862885"/>
      </left>
      <right style="hair">
        <color theme="9" tint="0.59996337778862885"/>
      </right>
      <top/>
      <bottom style="hair">
        <color theme="9" tint="0.59996337778862885"/>
      </bottom>
      <diagonal/>
    </border>
    <border>
      <left/>
      <right style="hair">
        <color theme="5" tint="-0.24994659260841701"/>
      </right>
      <top/>
      <bottom/>
      <diagonal/>
    </border>
    <border>
      <left style="hair">
        <color theme="9" tint="0.59996337778862885"/>
      </left>
      <right/>
      <top/>
      <bottom/>
      <diagonal/>
    </border>
    <border>
      <left/>
      <right style="hair">
        <color theme="0" tint="-0.14996795556505021"/>
      </right>
      <top/>
      <bottom/>
      <diagonal/>
    </border>
    <border>
      <left style="hair">
        <color rgb="FFCC3300"/>
      </left>
      <right/>
      <top/>
      <bottom style="thin">
        <color theme="0"/>
      </bottom>
      <diagonal/>
    </border>
    <border>
      <left/>
      <right style="hair">
        <color theme="0"/>
      </right>
      <top/>
      <bottom style="thin">
        <color theme="0"/>
      </bottom>
      <diagonal/>
    </border>
    <border>
      <left/>
      <right style="slantDashDot">
        <color theme="0" tint="-4.9989318521683403E-2"/>
      </right>
      <top/>
      <bottom/>
      <diagonal/>
    </border>
    <border>
      <left style="slantDashDot">
        <color theme="0" tint="-4.9989318521683403E-2"/>
      </left>
      <right style="hair">
        <color theme="0" tint="-0.24994659260841701"/>
      </right>
      <top/>
      <bottom/>
      <diagonal/>
    </border>
    <border>
      <left style="hair">
        <color theme="8" tint="0.59996337778862885"/>
      </left>
      <right style="hair">
        <color theme="8" tint="0.59996337778862885"/>
      </right>
      <top style="hair">
        <color theme="8" tint="0.59996337778862885"/>
      </top>
      <bottom/>
      <diagonal/>
    </border>
    <border>
      <left style="hair">
        <color theme="8" tint="0.59996337778862885"/>
      </left>
      <right/>
      <top style="hair">
        <color theme="8" tint="0.59996337778862885"/>
      </top>
      <bottom/>
      <diagonal/>
    </border>
    <border>
      <left style="hair">
        <color theme="9" tint="0.59996337778862885"/>
      </left>
      <right style="hair">
        <color theme="9" tint="0.59996337778862885"/>
      </right>
      <top style="hair">
        <color theme="9" tint="0.59996337778862885"/>
      </top>
      <bottom/>
      <diagonal/>
    </border>
    <border>
      <left/>
      <right/>
      <top/>
      <bottom style="hair">
        <color theme="8" tint="0.59996337778862885"/>
      </bottom>
      <diagonal/>
    </border>
    <border>
      <left/>
      <right/>
      <top/>
      <bottom style="hair">
        <color theme="9" tint="0.59996337778862885"/>
      </bottom>
      <diagonal/>
    </border>
    <border>
      <left/>
      <right/>
      <top style="hair">
        <color theme="8" tint="0.59996337778862885"/>
      </top>
      <bottom/>
      <diagonal/>
    </border>
    <border>
      <left/>
      <right/>
      <top style="hair">
        <color theme="9" tint="0.59996337778862885"/>
      </top>
      <bottom/>
      <diagonal/>
    </border>
    <border>
      <left style="hair">
        <color theme="9" tint="0.59996337778862885"/>
      </left>
      <right style="hair">
        <color rgb="FFCC3300"/>
      </right>
      <top style="hair">
        <color theme="9" tint="0.59996337778862885"/>
      </top>
      <bottom style="hair">
        <color theme="9" tint="0.59996337778862885"/>
      </bottom>
      <diagonal/>
    </border>
    <border>
      <left style="slantDashDot">
        <color theme="0" tint="-4.9989318521683403E-2"/>
      </left>
      <right style="hair">
        <color theme="0" tint="-0.24994659260841701"/>
      </right>
      <top/>
      <bottom style="slantDashDot">
        <color theme="0" tint="-4.9989318521683403E-2"/>
      </bottom>
      <diagonal/>
    </border>
    <border>
      <left style="hair">
        <color theme="0" tint="-0.24994659260841701"/>
      </left>
      <right style="hair">
        <color theme="0" tint="-0.24994659260841701"/>
      </right>
      <top/>
      <bottom style="slantDashDot">
        <color theme="0" tint="-4.9989318521683403E-2"/>
      </bottom>
      <diagonal/>
    </border>
    <border>
      <left style="hair">
        <color theme="0" tint="-0.24994659260841701"/>
      </left>
      <right/>
      <top/>
      <bottom style="slantDashDot">
        <color theme="0" tint="-4.9989318521683403E-2"/>
      </bottom>
      <diagonal/>
    </border>
    <border>
      <left style="hair">
        <color theme="8" tint="0.59996337778862885"/>
      </left>
      <right style="hair">
        <color theme="8" tint="0.59996337778862885"/>
      </right>
      <top style="hair">
        <color theme="8" tint="0.59996337778862885"/>
      </top>
      <bottom style="slantDashDot">
        <color theme="0" tint="-4.9989318521683403E-2"/>
      </bottom>
      <diagonal/>
    </border>
    <border>
      <left style="hair">
        <color theme="8" tint="0.59996337778862885"/>
      </left>
      <right/>
      <top style="hair">
        <color theme="8" tint="0.59996337778862885"/>
      </top>
      <bottom style="slantDashDot">
        <color theme="0" tint="-4.9989318521683403E-2"/>
      </bottom>
      <diagonal/>
    </border>
    <border>
      <left style="hair">
        <color theme="9" tint="0.59996337778862885"/>
      </left>
      <right style="hair">
        <color theme="9" tint="0.59996337778862885"/>
      </right>
      <top style="hair">
        <color theme="9" tint="0.59996337778862885"/>
      </top>
      <bottom style="slantDashDot">
        <color theme="0" tint="-4.9989318521683403E-2"/>
      </bottom>
      <diagonal/>
    </border>
    <border>
      <left style="hair">
        <color theme="9" tint="0.59996337778862885"/>
      </left>
      <right style="hair">
        <color rgb="FFCC3300"/>
      </right>
      <top style="hair">
        <color theme="9" tint="0.59996337778862885"/>
      </top>
      <bottom style="slantDashDot">
        <color theme="0" tint="-4.9989318521683403E-2"/>
      </bottom>
      <diagonal/>
    </border>
    <border>
      <left style="slantDashDot">
        <color theme="0"/>
      </left>
      <right/>
      <top style="slantDashDot">
        <color theme="0"/>
      </top>
      <bottom style="slantDashDot">
        <color theme="0"/>
      </bottom>
      <diagonal/>
    </border>
    <border>
      <left/>
      <right/>
      <top style="slantDashDot">
        <color theme="0"/>
      </top>
      <bottom style="slantDashDot">
        <color theme="0"/>
      </bottom>
      <diagonal/>
    </border>
    <border>
      <left/>
      <right style="slantDashDot">
        <color theme="0"/>
      </right>
      <top style="slantDashDot">
        <color theme="0"/>
      </top>
      <bottom style="slantDashDot">
        <color theme="0"/>
      </bottom>
      <diagonal/>
    </border>
    <border>
      <left/>
      <right style="hair">
        <color rgb="FFCC3300"/>
      </right>
      <top style="hair">
        <color theme="9" tint="0.59996337778862885"/>
      </top>
      <bottom/>
      <diagonal/>
    </border>
    <border>
      <left/>
      <right/>
      <top style="slantDashDot">
        <color theme="0"/>
      </top>
      <bottom/>
      <diagonal/>
    </border>
    <border>
      <left/>
      <right style="hair">
        <color rgb="FFCC3300"/>
      </right>
      <top style="slantDashDot">
        <color theme="0"/>
      </top>
      <bottom/>
      <diagonal/>
    </border>
    <border>
      <left/>
      <right style="slantDashDot">
        <color theme="0" tint="-4.9989318521683403E-2"/>
      </right>
      <top style="hair">
        <color theme="0" tint="-0.34998626667073579"/>
      </top>
      <bottom/>
      <diagonal/>
    </border>
    <border>
      <left style="hair">
        <color theme="0" tint="-0.24994659260841701"/>
      </left>
      <right style="hair">
        <color theme="8" tint="0.59996337778862885"/>
      </right>
      <top style="hair">
        <color theme="0" tint="-0.24994659260841701"/>
      </top>
      <bottom/>
      <diagonal/>
    </border>
    <border>
      <left style="hair">
        <color theme="0" tint="-0.24994659260841701"/>
      </left>
      <right style="hair">
        <color theme="8" tint="0.59996337778862885"/>
      </right>
      <top/>
      <bottom/>
      <diagonal/>
    </border>
    <border>
      <left style="hair">
        <color theme="8" tint="0.59996337778862885"/>
      </left>
      <right style="hair">
        <color theme="9" tint="0.59996337778862885"/>
      </right>
      <top style="hair">
        <color theme="8" tint="0.59996337778862885"/>
      </top>
      <bottom/>
      <diagonal/>
    </border>
    <border>
      <left style="hair">
        <color theme="8" tint="0.59996337778862885"/>
      </left>
      <right style="hair">
        <color theme="9" tint="0.59996337778862885"/>
      </right>
      <top/>
      <bottom style="hair">
        <color theme="8" tint="0.59996337778862885"/>
      </bottom>
      <diagonal/>
    </border>
    <border>
      <left style="hair">
        <color theme="9" tint="0.59996337778862885"/>
      </left>
      <right style="hair">
        <color rgb="FFCC3300"/>
      </right>
      <top style="hair">
        <color theme="9" tint="0.59996337778862885"/>
      </top>
      <bottom/>
      <diagonal/>
    </border>
    <border>
      <left style="hair">
        <color theme="9" tint="0.59996337778862885"/>
      </left>
      <right style="hair">
        <color rgb="FFCC3300"/>
      </right>
      <top/>
      <bottom style="hair">
        <color theme="9" tint="0.59996337778862885"/>
      </bottom>
      <diagonal/>
    </border>
    <border>
      <left style="slantDashDot">
        <color theme="0" tint="-4.9989318521683403E-2"/>
      </left>
      <right style="hair">
        <color theme="0" tint="-0.24994659260841701"/>
      </right>
      <top style="slantDashDot">
        <color theme="0" tint="-4.9989318521683403E-2"/>
      </top>
      <bottom style="slantDashDot">
        <color theme="0"/>
      </bottom>
      <diagonal/>
    </border>
    <border>
      <left style="hair">
        <color theme="0" tint="-0.24994659260841701"/>
      </left>
      <right style="hair">
        <color theme="0" tint="-0.24994659260841701"/>
      </right>
      <top style="slantDashDot">
        <color theme="0" tint="-4.9989318521683403E-2"/>
      </top>
      <bottom style="slantDashDot">
        <color theme="0"/>
      </bottom>
      <diagonal/>
    </border>
    <border>
      <left style="hair">
        <color theme="0" tint="-0.24994659260841701"/>
      </left>
      <right style="hair">
        <color theme="8" tint="0.59996337778862885"/>
      </right>
      <top style="slantDashDot">
        <color theme="0" tint="-4.9989318521683403E-2"/>
      </top>
      <bottom style="slantDashDot">
        <color theme="0"/>
      </bottom>
      <diagonal/>
    </border>
    <border>
      <left/>
      <right style="slantDashDot">
        <color theme="0" tint="-4.9989318521683403E-2"/>
      </right>
      <top style="hair">
        <color theme="0" tint="-0.24994659260841701"/>
      </top>
      <bottom style="hair">
        <color theme="0" tint="-0.34998626667073579"/>
      </bottom>
      <diagonal/>
    </border>
    <border>
      <left style="slantDashDot">
        <color theme="0"/>
      </left>
      <right/>
      <top/>
      <bottom style="slantDashDot">
        <color theme="0"/>
      </bottom>
      <diagonal/>
    </border>
    <border>
      <left/>
      <right/>
      <top/>
      <bottom style="slantDashDot">
        <color theme="0"/>
      </bottom>
      <diagonal/>
    </border>
    <border>
      <left/>
      <right style="slantDashDot">
        <color theme="0"/>
      </right>
      <top/>
      <bottom style="slantDashDot">
        <color theme="0"/>
      </bottom>
      <diagonal/>
    </border>
    <border>
      <left style="hair">
        <color theme="0" tint="-0.14996795556505021"/>
      </left>
      <right/>
      <top style="hair">
        <color theme="0" tint="-0.14996795556505021"/>
      </top>
      <bottom/>
      <diagonal/>
    </border>
    <border>
      <left/>
      <right/>
      <top style="hair">
        <color theme="0" tint="-0.14996795556505021"/>
      </top>
      <bottom/>
      <diagonal/>
    </border>
    <border>
      <left/>
      <right style="hair">
        <color theme="0" tint="-0.14996795556505021"/>
      </right>
      <top style="hair">
        <color theme="0" tint="-0.14996795556505021"/>
      </top>
      <bottom/>
      <diagonal/>
    </border>
    <border>
      <left style="hair">
        <color theme="0" tint="-0.14996795556505021"/>
      </left>
      <right/>
      <top/>
      <bottom style="hair">
        <color theme="0" tint="-0.14996795556505021"/>
      </bottom>
      <diagonal/>
    </border>
    <border>
      <left/>
      <right style="hair">
        <color theme="0" tint="-0.14996795556505021"/>
      </right>
      <top/>
      <bottom style="hair">
        <color theme="0" tint="-0.14996795556505021"/>
      </bottom>
      <diagonal/>
    </border>
    <border>
      <left style="hair">
        <color theme="0" tint="-0.14996795556505021"/>
      </left>
      <right/>
      <top style="slantDashDot">
        <color theme="0"/>
      </top>
      <bottom/>
      <diagonal/>
    </border>
    <border>
      <left/>
      <right style="hair">
        <color theme="9" tint="0.59996337778862885"/>
      </right>
      <top style="slantDashDot">
        <color theme="0"/>
      </top>
      <bottom/>
      <diagonal/>
    </border>
    <border>
      <left style="hair">
        <color theme="0" tint="-0.14996795556505021"/>
      </left>
      <right/>
      <top/>
      <bottom style="hair">
        <color theme="8" tint="0.59996337778862885"/>
      </bottom>
      <diagonal/>
    </border>
    <border>
      <left/>
      <right style="hair">
        <color theme="9" tint="0.59996337778862885"/>
      </right>
      <top/>
      <bottom style="hair">
        <color theme="8" tint="0.59996337778862885"/>
      </bottom>
      <diagonal/>
    </border>
    <border>
      <left style="hair">
        <color theme="0" tint="-0.14996795556505021"/>
      </left>
      <right/>
      <top style="hair">
        <color theme="8" tint="0.59996337778862885"/>
      </top>
      <bottom/>
      <diagonal/>
    </border>
    <border>
      <left/>
      <right style="hair">
        <color theme="9" tint="0.59996337778862885"/>
      </right>
      <top style="hair">
        <color theme="8" tint="0.59996337778862885"/>
      </top>
      <bottom/>
      <diagonal/>
    </border>
    <border>
      <left style="hair">
        <color theme="0" tint="-0.14996795556505021"/>
      </left>
      <right/>
      <top/>
      <bottom style="slantDashDot">
        <color theme="0" tint="-4.9989318521683403E-2"/>
      </bottom>
      <diagonal/>
    </border>
    <border>
      <left/>
      <right/>
      <top/>
      <bottom style="slantDashDot">
        <color theme="0" tint="-4.9989318521683403E-2"/>
      </bottom>
      <diagonal/>
    </border>
    <border>
      <left/>
      <right style="hair">
        <color theme="9" tint="0.59996337778862885"/>
      </right>
      <top/>
      <bottom style="slantDashDot">
        <color theme="0" tint="-4.9989318521683403E-2"/>
      </bottom>
      <diagonal/>
    </border>
    <border>
      <left style="hair">
        <color theme="9" tint="0.59996337778862885"/>
      </left>
      <right/>
      <top style="slantDashDot">
        <color theme="0"/>
      </top>
      <bottom/>
      <diagonal/>
    </border>
    <border>
      <left style="hair">
        <color theme="9" tint="0.59996337778862885"/>
      </left>
      <right/>
      <top/>
      <bottom style="hair">
        <color theme="9" tint="0.59996337778862885"/>
      </bottom>
      <diagonal/>
    </border>
    <border>
      <left/>
      <right style="hair">
        <color rgb="FFCC3300"/>
      </right>
      <top/>
      <bottom style="hair">
        <color theme="9" tint="0.59996337778862885"/>
      </bottom>
      <diagonal/>
    </border>
    <border>
      <left style="hair">
        <color theme="9" tint="0.59996337778862885"/>
      </left>
      <right/>
      <top style="hair">
        <color theme="9" tint="0.59996337778862885"/>
      </top>
      <bottom/>
      <diagonal/>
    </border>
    <border>
      <left style="hair">
        <color theme="9" tint="0.59996337778862885"/>
      </left>
      <right/>
      <top/>
      <bottom style="slantDashDot">
        <color theme="0" tint="-4.9989318521683403E-2"/>
      </bottom>
      <diagonal/>
    </border>
    <border>
      <left/>
      <right style="hair">
        <color rgb="FFCC3300"/>
      </right>
      <top/>
      <bottom style="slantDashDot">
        <color theme="0" tint="-4.9989318521683403E-2"/>
      </bottom>
      <diagonal/>
    </border>
    <border>
      <left style="hair">
        <color theme="0" tint="-0.14996795556505021"/>
      </left>
      <right/>
      <top/>
      <bottom/>
      <diagonal/>
    </border>
    <border>
      <left/>
      <right/>
      <top/>
      <bottom style="medium">
        <color theme="8" tint="-0.24994659260841701"/>
      </bottom>
      <diagonal/>
    </border>
    <border>
      <left/>
      <right style="hair">
        <color theme="9" tint="0.59996337778862885"/>
      </right>
      <top/>
      <bottom/>
      <diagonal/>
    </border>
    <border>
      <left/>
      <right/>
      <top/>
      <bottom style="medium">
        <color theme="9" tint="0.39994506668294322"/>
      </bottom>
      <diagonal/>
    </border>
    <border>
      <left/>
      <right/>
      <top/>
      <bottom style="medium">
        <color theme="0" tint="-0.14996795556505021"/>
      </bottom>
      <diagonal/>
    </border>
    <border>
      <left style="slantDashDot">
        <color theme="0" tint="-4.9989318521683403E-2"/>
      </left>
      <right style="hair">
        <color theme="0" tint="-0.24994659260841701"/>
      </right>
      <top style="hair">
        <color theme="0" tint="-0.24994659260841701"/>
      </top>
      <bottom style="slantDashDot">
        <color theme="0" tint="-4.9989318521683403E-2"/>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right style="hair">
        <color theme="5"/>
      </right>
      <top/>
      <bottom/>
      <diagonal/>
    </border>
    <border>
      <left style="thin">
        <color theme="9" tint="0.39997558519241921"/>
      </left>
      <right/>
      <top style="thin">
        <color theme="9" tint="0.39997558519241921"/>
      </top>
      <bottom style="thin">
        <color theme="9" tint="0.39997558519241921"/>
      </bottom>
      <diagonal/>
    </border>
    <border>
      <left style="thin">
        <color indexed="64"/>
      </left>
      <right style="thin">
        <color indexed="64"/>
      </right>
      <top style="thin">
        <color indexed="64"/>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thin">
        <color theme="0" tint="-4.9989318521683403E-2"/>
      </left>
      <right style="thin">
        <color theme="4" tint="-0.24994659260841701"/>
      </right>
      <top style="thin">
        <color theme="0" tint="-4.9989318521683403E-2"/>
      </top>
      <bottom style="thin">
        <color theme="0" tint="-4.9989318521683403E-2"/>
      </bottom>
      <diagonal/>
    </border>
    <border>
      <left/>
      <right/>
      <top/>
      <bottom style="thin">
        <color theme="4" tint="0.39997558519241921"/>
      </bottom>
      <diagonal/>
    </border>
    <border>
      <left style="hair">
        <color theme="8" tint="0.59996337778862885"/>
      </left>
      <right style="hair">
        <color theme="8" tint="0.59996337778862885"/>
      </right>
      <top/>
      <bottom style="hair">
        <color theme="9" tint="0.59996337778862885"/>
      </bottom>
      <diagonal/>
    </border>
    <border>
      <left style="hair">
        <color theme="8" tint="0.59996337778862885"/>
      </left>
      <right style="hair">
        <color theme="8" tint="0.59996337778862885"/>
      </right>
      <top/>
      <bottom/>
      <diagonal/>
    </border>
    <border>
      <left style="slantDashDot">
        <color theme="0" tint="-4.9989318521683403E-2"/>
      </left>
      <right style="hair">
        <color theme="0" tint="-0.24994659260841701"/>
      </right>
      <top/>
      <bottom style="slantDashDot">
        <color theme="0"/>
      </bottom>
      <diagonal/>
    </border>
    <border>
      <left style="hair">
        <color theme="0" tint="-0.24994659260841701"/>
      </left>
      <right style="hair">
        <color theme="0" tint="-0.24994659260841701"/>
      </right>
      <top/>
      <bottom style="slantDashDot">
        <color theme="0"/>
      </bottom>
      <diagonal/>
    </border>
    <border>
      <left style="hair">
        <color theme="0" tint="-0.24994659260841701"/>
      </left>
      <right/>
      <top/>
      <bottom style="slantDashDot">
        <color theme="0"/>
      </bottom>
      <diagonal/>
    </border>
    <border>
      <left style="hair">
        <color theme="8" tint="0.59996337778862885"/>
      </left>
      <right style="hair">
        <color theme="8" tint="0.59996337778862885"/>
      </right>
      <top/>
      <bottom style="slantDashDot">
        <color theme="0"/>
      </bottom>
      <diagonal/>
    </border>
    <border>
      <left style="hair">
        <color theme="8" tint="0.59996337778862885"/>
      </left>
      <right style="hair">
        <color theme="8" tint="0.59996337778862885"/>
      </right>
      <top/>
      <bottom style="slantDashDot">
        <color theme="0" tint="-4.9989318521683403E-2"/>
      </bottom>
      <diagonal/>
    </border>
    <border>
      <left style="hair">
        <color theme="8" tint="0.59996337778862885"/>
      </left>
      <right style="hair">
        <color theme="8" tint="0.59996337778862885"/>
      </right>
      <top/>
      <bottom style="hair">
        <color theme="0" tint="-0.24994659260841701"/>
      </bottom>
      <diagonal/>
    </border>
    <border>
      <left style="hair">
        <color theme="8" tint="0.59996337778862885"/>
      </left>
      <right/>
      <top/>
      <bottom style="hair">
        <color theme="0" tint="-0.24994659260841701"/>
      </bottom>
      <diagonal/>
    </border>
    <border>
      <left style="hair">
        <color theme="9" tint="0.59996337778862885"/>
      </left>
      <right style="hair">
        <color theme="9" tint="0.59996337778862885"/>
      </right>
      <top/>
      <bottom style="hair">
        <color theme="0" tint="-0.24994659260841701"/>
      </bottom>
      <diagonal/>
    </border>
    <border>
      <left style="hair">
        <color theme="0" tint="-0.14996795556505021"/>
      </left>
      <right/>
      <top style="hair">
        <color theme="0" tint="-0.14996795556505021"/>
      </top>
      <bottom style="hair">
        <color theme="0" tint="-0.14996795556505021"/>
      </bottom>
      <diagonal/>
    </border>
    <border>
      <left/>
      <right style="hair">
        <color theme="0" tint="-0.14996795556505021"/>
      </right>
      <top style="hair">
        <color theme="0" tint="-0.14996795556505021"/>
      </top>
      <bottom style="hair">
        <color theme="0" tint="-0.14996795556505021"/>
      </bottom>
      <diagonal/>
    </border>
    <border>
      <left style="hair">
        <color theme="8" tint="0.39994506668294322"/>
      </left>
      <right/>
      <top style="hair">
        <color theme="8" tint="0.39994506668294322"/>
      </top>
      <bottom style="hair">
        <color theme="8" tint="0.39994506668294322"/>
      </bottom>
      <diagonal/>
    </border>
    <border>
      <left/>
      <right style="hair">
        <color theme="8" tint="0.39994506668294322"/>
      </right>
      <top style="hair">
        <color theme="8" tint="0.39994506668294322"/>
      </top>
      <bottom style="hair">
        <color theme="8" tint="0.39994506668294322"/>
      </bottom>
      <diagonal/>
    </border>
    <border>
      <left style="hair">
        <color theme="8" tint="0.59996337778862885"/>
      </left>
      <right/>
      <top/>
      <bottom style="hair">
        <color theme="9" tint="0.59996337778862885"/>
      </bottom>
      <diagonal/>
    </border>
    <border>
      <left style="hair">
        <color theme="8" tint="0.59996337778862885"/>
      </left>
      <right/>
      <top/>
      <bottom style="slantDashDot">
        <color theme="0" tint="-4.9989318521683403E-2"/>
      </bottom>
      <diagonal/>
    </border>
    <border>
      <left style="hair">
        <color theme="8" tint="0.59996337778862885"/>
      </left>
      <right/>
      <top/>
      <bottom/>
      <diagonal/>
    </border>
    <border>
      <left style="hair">
        <color theme="8" tint="0.59996337778862885"/>
      </left>
      <right/>
      <top/>
      <bottom style="slantDashDot">
        <color theme="0"/>
      </bottom>
      <diagonal/>
    </border>
    <border>
      <left style="hair">
        <color theme="9" tint="0.59996337778862885"/>
      </left>
      <right/>
      <top style="hair">
        <color theme="9" tint="0.59996337778862885"/>
      </top>
      <bottom style="hair">
        <color theme="9" tint="0.59996337778862885"/>
      </bottom>
      <diagonal/>
    </border>
    <border>
      <left/>
      <right style="hair">
        <color theme="9" tint="0.59996337778862885"/>
      </right>
      <top style="hair">
        <color theme="9" tint="0.59996337778862885"/>
      </top>
      <bottom style="hair">
        <color theme="9" tint="0.59996337778862885"/>
      </bottom>
      <diagonal/>
    </border>
    <border>
      <left style="hair">
        <color theme="0"/>
      </left>
      <right style="hair">
        <color theme="0"/>
      </right>
      <top style="hair">
        <color theme="0"/>
      </top>
      <bottom style="hair">
        <color theme="0"/>
      </bottom>
      <diagonal/>
    </border>
    <border>
      <left/>
      <right style="hair">
        <color theme="9" tint="0.59996337778862885"/>
      </right>
      <top/>
      <bottom style="hair">
        <color theme="9" tint="0.59996337778862885"/>
      </bottom>
      <diagonal/>
    </border>
    <border>
      <left style="hair">
        <color theme="0" tint="-0.14996795556505021"/>
      </left>
      <right style="hair">
        <color theme="5" tint="-0.24994659260841701"/>
      </right>
      <top style="hair">
        <color theme="0" tint="-0.14993743705557422"/>
      </top>
      <bottom style="hair">
        <color theme="0" tint="-0.14993743705557422"/>
      </bottom>
      <diagonal/>
    </border>
    <border>
      <left style="hair">
        <color theme="8" tint="0.39994506668294322"/>
      </left>
      <right style="hair">
        <color theme="5" tint="-0.24994659260841701"/>
      </right>
      <top style="hair">
        <color theme="8" tint="0.39991454817346722"/>
      </top>
      <bottom style="hair">
        <color theme="8" tint="0.39991454817346722"/>
      </bottom>
      <diagonal/>
    </border>
    <border>
      <left style="hair">
        <color theme="9" tint="0.59996337778862885"/>
      </left>
      <right style="hair">
        <color theme="5" tint="-0.24994659260841701"/>
      </right>
      <top style="hair">
        <color theme="9" tint="0.59996337778862885"/>
      </top>
      <bottom style="hair">
        <color theme="9" tint="0.59996337778862885"/>
      </bottom>
      <diagonal/>
    </border>
    <border>
      <left/>
      <right style="thin">
        <color theme="0"/>
      </right>
      <top/>
      <bottom/>
      <diagonal/>
    </border>
    <border>
      <left style="hair">
        <color theme="5"/>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n">
        <color auto="1"/>
      </bottom>
      <diagonal/>
    </border>
    <border>
      <left style="thin">
        <color theme="4"/>
      </left>
      <right style="thin">
        <color theme="4"/>
      </right>
      <top style="thin">
        <color theme="4"/>
      </top>
      <bottom style="thin">
        <color theme="4"/>
      </bottom>
      <diagonal/>
    </border>
    <border>
      <left style="thin">
        <color theme="4" tint="0.39997558519241921"/>
      </left>
      <right/>
      <top style="thin">
        <color theme="9" tint="0.39997558519241921"/>
      </top>
      <bottom/>
      <diagonal/>
    </border>
    <border>
      <left/>
      <right style="thin">
        <color theme="4" tint="0.39997558519241921"/>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theme="0"/>
      </left>
      <right/>
      <top/>
      <bottom/>
      <diagonal/>
    </border>
    <border>
      <left/>
      <right/>
      <top/>
      <bottom style="medium">
        <color rgb="FFDDDDDD"/>
      </bottom>
      <diagonal/>
    </border>
  </borders>
  <cellStyleXfs count="6">
    <xf numFmtId="0" fontId="0" fillId="0" borderId="0"/>
    <xf numFmtId="9" fontId="1" fillId="0" borderId="0" applyFont="0" applyFill="0" applyBorder="0" applyAlignment="0" applyProtection="0"/>
    <xf numFmtId="0" fontId="18" fillId="0" borderId="0" applyNumberFormat="0" applyFill="0" applyBorder="0" applyAlignment="0" applyProtection="0"/>
    <xf numFmtId="0" fontId="19" fillId="0" borderId="0"/>
    <xf numFmtId="9" fontId="19" fillId="0" borderId="0" applyFont="0" applyFill="0" applyBorder="0" applyAlignment="0" applyProtection="0"/>
    <xf numFmtId="171" fontId="28" fillId="0" borderId="0"/>
  </cellStyleXfs>
  <cellXfs count="45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3" borderId="4" xfId="0" applyFill="1" applyBorder="1"/>
    <xf numFmtId="0" fontId="0" fillId="3" borderId="5" xfId="0" applyFill="1" applyBorder="1"/>
    <xf numFmtId="0" fontId="0" fillId="5" borderId="5" xfId="0" applyFill="1" applyBorder="1"/>
    <xf numFmtId="0" fontId="0" fillId="0" borderId="0" xfId="0" applyBorder="1"/>
    <xf numFmtId="0" fontId="9" fillId="2" borderId="0" xfId="0" applyFont="1" applyFill="1"/>
    <xf numFmtId="0" fontId="10" fillId="5" borderId="8" xfId="0" applyFont="1" applyFill="1" applyBorder="1" applyAlignment="1">
      <alignment horizontal="center"/>
    </xf>
    <xf numFmtId="0" fontId="12" fillId="6" borderId="0" xfId="0" applyFont="1" applyFill="1" applyAlignment="1">
      <alignment horizontal="center"/>
    </xf>
    <xf numFmtId="0" fontId="13" fillId="2" borderId="0" xfId="0" applyFont="1" applyFill="1"/>
    <xf numFmtId="0" fontId="14" fillId="2" borderId="0" xfId="0" applyFont="1" applyFill="1"/>
    <xf numFmtId="0" fontId="12" fillId="5" borderId="0" xfId="0" applyFont="1" applyFill="1" applyAlignment="1">
      <alignment horizontal="center"/>
    </xf>
    <xf numFmtId="0" fontId="10" fillId="5" borderId="0" xfId="0" applyFont="1" applyFill="1" applyBorder="1" applyAlignment="1">
      <alignment horizontal="center"/>
    </xf>
    <xf numFmtId="0" fontId="0" fillId="5" borderId="0" xfId="0" applyFill="1" applyBorder="1"/>
    <xf numFmtId="0" fontId="16" fillId="7" borderId="0" xfId="0" applyFont="1" applyFill="1" applyAlignment="1">
      <alignment horizontal="center" vertical="center" wrapText="1"/>
    </xf>
    <xf numFmtId="0" fontId="18" fillId="7" borderId="0" xfId="2" applyFill="1" applyAlignment="1">
      <alignment horizontal="center" vertical="center" wrapText="1"/>
    </xf>
    <xf numFmtId="17" fontId="15" fillId="7" borderId="0" xfId="0" applyNumberFormat="1" applyFont="1" applyFill="1" applyAlignment="1">
      <alignment horizontal="center" vertical="center" wrapText="1"/>
    </xf>
    <xf numFmtId="10" fontId="16" fillId="7" borderId="0" xfId="0" applyNumberFormat="1" applyFont="1" applyFill="1" applyAlignment="1">
      <alignment horizontal="center" vertical="center" wrapText="1"/>
    </xf>
    <xf numFmtId="0" fontId="17" fillId="7" borderId="0" xfId="0" applyFont="1" applyFill="1" applyAlignment="1">
      <alignment horizontal="center" vertical="center" wrapText="1"/>
    </xf>
    <xf numFmtId="0" fontId="0" fillId="0" borderId="0" xfId="0" applyAlignment="1">
      <alignment horizontal="center"/>
    </xf>
    <xf numFmtId="164" fontId="0" fillId="0" borderId="0" xfId="0" applyNumberFormat="1" applyAlignment="1">
      <alignment horizontal="center"/>
    </xf>
    <xf numFmtId="9" fontId="0" fillId="0" borderId="0" xfId="1" applyFont="1" applyAlignment="1">
      <alignment horizontal="center"/>
    </xf>
    <xf numFmtId="165" fontId="0" fillId="0" borderId="0" xfId="1" applyNumberFormat="1" applyFont="1" applyAlignment="1">
      <alignment horizontal="center"/>
    </xf>
    <xf numFmtId="10" fontId="0" fillId="0" borderId="0" xfId="1" applyNumberFormat="1" applyFont="1" applyAlignment="1">
      <alignment horizontal="center"/>
    </xf>
    <xf numFmtId="10" fontId="0" fillId="0" borderId="0" xfId="1" applyNumberFormat="1" applyFont="1"/>
    <xf numFmtId="165" fontId="0" fillId="0" borderId="0" xfId="0" applyNumberFormat="1" applyAlignment="1">
      <alignment horizontal="center"/>
    </xf>
    <xf numFmtId="17" fontId="0" fillId="0" borderId="0" xfId="0" applyNumberFormat="1"/>
    <xf numFmtId="17" fontId="0" fillId="0" borderId="0" xfId="0" applyNumberFormat="1" applyAlignment="1">
      <alignment horizontal="center"/>
    </xf>
    <xf numFmtId="0" fontId="12" fillId="6" borderId="0" xfId="0" applyFont="1" applyFill="1" applyAlignment="1">
      <alignment horizontal="center" vertical="center"/>
    </xf>
    <xf numFmtId="0" fontId="20" fillId="0" borderId="0" xfId="3" applyFont="1"/>
    <xf numFmtId="166" fontId="21" fillId="8" borderId="0" xfId="3" applyNumberFormat="1" applyFont="1" applyFill="1"/>
    <xf numFmtId="166" fontId="19" fillId="0" borderId="0" xfId="3" applyNumberFormat="1"/>
    <xf numFmtId="167" fontId="19" fillId="0" borderId="0" xfId="3" applyNumberFormat="1"/>
    <xf numFmtId="166" fontId="22" fillId="0" borderId="0" xfId="3" applyNumberFormat="1" applyFont="1"/>
    <xf numFmtId="10" fontId="22" fillId="0" borderId="0" xfId="4" applyNumberFormat="1" applyFont="1" applyAlignment="1">
      <alignment horizontal="right"/>
    </xf>
    <xf numFmtId="10" fontId="22" fillId="0" borderId="0" xfId="4" applyNumberFormat="1" applyFont="1"/>
    <xf numFmtId="166" fontId="19" fillId="0" borderId="0" xfId="3" quotePrefix="1" applyNumberFormat="1"/>
    <xf numFmtId="167" fontId="19" fillId="0" borderId="0" xfId="3" quotePrefix="1" applyNumberFormat="1"/>
    <xf numFmtId="166" fontId="23" fillId="0" borderId="16" xfId="3" applyNumberFormat="1" applyFont="1" applyBorder="1"/>
    <xf numFmtId="167" fontId="23" fillId="0" borderId="16" xfId="3" applyNumberFormat="1" applyFont="1" applyBorder="1"/>
    <xf numFmtId="166" fontId="23" fillId="0" borderId="17" xfId="3" applyNumberFormat="1" applyFont="1" applyBorder="1"/>
    <xf numFmtId="167" fontId="23" fillId="0" borderId="17" xfId="3" applyNumberFormat="1" applyFont="1" applyBorder="1"/>
    <xf numFmtId="0" fontId="19" fillId="0" borderId="0" xfId="3"/>
    <xf numFmtId="168" fontId="19" fillId="0" borderId="0" xfId="3" applyNumberFormat="1"/>
    <xf numFmtId="10" fontId="19" fillId="0" borderId="0" xfId="4" applyNumberFormat="1" applyFont="1"/>
    <xf numFmtId="9" fontId="19" fillId="0" borderId="0" xfId="4" applyFont="1"/>
    <xf numFmtId="166" fontId="23" fillId="0" borderId="0" xfId="3" applyNumberFormat="1" applyFont="1"/>
    <xf numFmtId="167" fontId="23" fillId="0" borderId="0" xfId="3" applyNumberFormat="1" applyFont="1"/>
    <xf numFmtId="166" fontId="24" fillId="0" borderId="0" xfId="3" applyNumberFormat="1" applyFont="1"/>
    <xf numFmtId="166" fontId="23" fillId="0" borderId="18" xfId="3" applyNumberFormat="1" applyFont="1" applyBorder="1"/>
    <xf numFmtId="167" fontId="23" fillId="0" borderId="18" xfId="3" applyNumberFormat="1" applyFont="1" applyBorder="1"/>
    <xf numFmtId="167" fontId="0" fillId="0" borderId="0" xfId="0" applyNumberFormat="1"/>
    <xf numFmtId="3" fontId="19" fillId="0" borderId="0" xfId="3" applyNumberFormat="1"/>
    <xf numFmtId="3" fontId="0" fillId="0" borderId="0" xfId="0" applyNumberFormat="1"/>
    <xf numFmtId="169" fontId="25" fillId="8" borderId="0" xfId="3" applyNumberFormat="1" applyFont="1" applyFill="1" applyAlignment="1">
      <alignment horizontal="center"/>
    </xf>
    <xf numFmtId="0" fontId="0" fillId="0" borderId="20" xfId="0" applyBorder="1"/>
    <xf numFmtId="0" fontId="0" fillId="0" borderId="26" xfId="0" applyBorder="1"/>
    <xf numFmtId="0" fontId="0" fillId="0" borderId="28" xfId="0" applyBorder="1"/>
    <xf numFmtId="0" fontId="0" fillId="0" borderId="31" xfId="0" applyBorder="1"/>
    <xf numFmtId="0" fontId="0" fillId="0" borderId="33" xfId="0" applyBorder="1"/>
    <xf numFmtId="0" fontId="0" fillId="0" borderId="35" xfId="0" applyBorder="1"/>
    <xf numFmtId="0" fontId="0" fillId="5" borderId="36" xfId="0" applyFill="1" applyBorder="1"/>
    <xf numFmtId="0" fontId="0" fillId="5" borderId="38" xfId="0" applyFill="1" applyBorder="1"/>
    <xf numFmtId="0" fontId="0" fillId="3" borderId="39" xfId="0" applyFill="1" applyBorder="1"/>
    <xf numFmtId="0" fontId="0" fillId="3" borderId="40" xfId="0" applyFill="1" applyBorder="1"/>
    <xf numFmtId="0" fontId="0" fillId="5" borderId="30" xfId="0" applyFill="1" applyBorder="1" applyAlignment="1">
      <alignment horizontal="center"/>
    </xf>
    <xf numFmtId="0" fontId="0" fillId="5" borderId="32" xfId="0" applyFill="1" applyBorder="1" applyAlignment="1">
      <alignment horizontal="center"/>
    </xf>
    <xf numFmtId="0" fontId="10" fillId="5" borderId="19" xfId="0" applyFont="1" applyFill="1" applyBorder="1" applyAlignment="1">
      <alignment horizontal="center"/>
    </xf>
    <xf numFmtId="0" fontId="0" fillId="11" borderId="58" xfId="0" applyFill="1" applyBorder="1"/>
    <xf numFmtId="0" fontId="0" fillId="11" borderId="59" xfId="0" applyFill="1" applyBorder="1"/>
    <xf numFmtId="0" fontId="0" fillId="11" borderId="60" xfId="0" applyFill="1" applyBorder="1"/>
    <xf numFmtId="0" fontId="0" fillId="0" borderId="0" xfId="0" applyAlignment="1">
      <alignment horizontal="center"/>
    </xf>
    <xf numFmtId="0" fontId="0" fillId="0" borderId="35" xfId="0" applyBorder="1" applyAlignment="1">
      <alignment horizontal="center"/>
    </xf>
    <xf numFmtId="0" fontId="0" fillId="5" borderId="32" xfId="0" applyFill="1" applyBorder="1" applyAlignment="1"/>
    <xf numFmtId="0" fontId="0" fillId="5" borderId="30" xfId="0" applyFill="1" applyBorder="1" applyAlignment="1"/>
    <xf numFmtId="0" fontId="0" fillId="5" borderId="34" xfId="0" applyFill="1" applyBorder="1" applyAlignment="1"/>
    <xf numFmtId="0" fontId="0" fillId="5" borderId="71" xfId="0" applyFill="1" applyBorder="1" applyAlignment="1"/>
    <xf numFmtId="0" fontId="0" fillId="5" borderId="72" xfId="0" applyFill="1" applyBorder="1" applyAlignment="1"/>
    <xf numFmtId="0" fontId="0" fillId="5" borderId="73" xfId="0" applyFill="1" applyBorder="1" applyAlignment="1"/>
    <xf numFmtId="0" fontId="11" fillId="5" borderId="74" xfId="0" applyFont="1" applyFill="1" applyBorder="1" applyAlignment="1">
      <alignment horizontal="center" vertical="center"/>
    </xf>
    <xf numFmtId="167" fontId="23" fillId="12" borderId="17" xfId="3" applyNumberFormat="1" applyFont="1" applyFill="1" applyBorder="1"/>
    <xf numFmtId="2" fontId="0" fillId="0" borderId="0" xfId="0" applyNumberFormat="1" applyAlignment="1">
      <alignment horizontal="center"/>
    </xf>
    <xf numFmtId="0" fontId="0" fillId="12" borderId="0" xfId="0" applyFill="1"/>
    <xf numFmtId="0" fontId="0" fillId="0" borderId="0" xfId="0" applyFill="1" applyBorder="1" applyAlignment="1">
      <alignment horizontal="center"/>
    </xf>
    <xf numFmtId="10" fontId="0" fillId="0" borderId="0" xfId="0" applyNumberFormat="1"/>
    <xf numFmtId="0" fontId="0" fillId="0" borderId="0" xfId="0" applyAlignment="1">
      <alignment horizontal="center"/>
    </xf>
    <xf numFmtId="0" fontId="0" fillId="12" borderId="0" xfId="0" applyFill="1" applyAlignment="1">
      <alignment horizontal="center"/>
    </xf>
    <xf numFmtId="0" fontId="2" fillId="14" borderId="0" xfId="0" applyFont="1" applyFill="1" applyBorder="1" applyAlignment="1">
      <alignment horizontal="center"/>
    </xf>
    <xf numFmtId="0" fontId="0" fillId="15" borderId="0" xfId="0" applyFill="1" applyBorder="1" applyAlignment="1">
      <alignment horizontal="center"/>
    </xf>
    <xf numFmtId="0" fontId="0" fillId="16" borderId="0" xfId="0" applyFill="1" applyBorder="1" applyAlignment="1">
      <alignment horizontal="center"/>
    </xf>
    <xf numFmtId="4" fontId="0" fillId="0" borderId="0" xfId="0" applyNumberFormat="1"/>
    <xf numFmtId="0" fontId="2" fillId="14" borderId="0" xfId="0" applyFont="1" applyFill="1" applyAlignment="1">
      <alignment horizontal="center"/>
    </xf>
    <xf numFmtId="171" fontId="29" fillId="17" borderId="105" xfId="5" applyFont="1" applyFill="1" applyBorder="1" applyAlignment="1">
      <alignment horizontal="center" vertical="center"/>
    </xf>
    <xf numFmtId="171" fontId="30" fillId="0" borderId="105" xfId="5" applyFont="1" applyBorder="1"/>
    <xf numFmtId="2" fontId="30" fillId="0" borderId="105" xfId="5" applyNumberFormat="1" applyFont="1" applyBorder="1"/>
    <xf numFmtId="171" fontId="30" fillId="14" borderId="105" xfId="5" applyFont="1" applyFill="1" applyBorder="1"/>
    <xf numFmtId="171" fontId="30" fillId="15" borderId="105" xfId="5" applyFont="1" applyFill="1" applyBorder="1"/>
    <xf numFmtId="15" fontId="31" fillId="7" borderId="106" xfId="0" applyNumberFormat="1" applyFont="1" applyFill="1" applyBorder="1" applyAlignment="1">
      <alignment horizontal="center" vertical="center" wrapText="1"/>
    </xf>
    <xf numFmtId="0" fontId="31" fillId="7" borderId="106" xfId="0" applyFont="1" applyFill="1" applyBorder="1" applyAlignment="1">
      <alignment horizontal="center" vertical="center" wrapText="1"/>
    </xf>
    <xf numFmtId="15" fontId="31" fillId="18" borderId="106" xfId="0" applyNumberFormat="1" applyFont="1" applyFill="1" applyBorder="1" applyAlignment="1">
      <alignment horizontal="center" vertical="center" wrapText="1"/>
    </xf>
    <xf numFmtId="0" fontId="31" fillId="18" borderId="106" xfId="0" applyFont="1" applyFill="1" applyBorder="1" applyAlignment="1">
      <alignment horizontal="center" vertical="center" wrapText="1"/>
    </xf>
    <xf numFmtId="0" fontId="2" fillId="6" borderId="107" xfId="0" applyFont="1" applyFill="1" applyBorder="1" applyAlignment="1">
      <alignment horizontal="center"/>
    </xf>
    <xf numFmtId="171" fontId="32" fillId="6" borderId="108" xfId="5" applyFont="1" applyFill="1" applyBorder="1" applyAlignment="1">
      <alignment horizontal="center" vertical="center"/>
    </xf>
    <xf numFmtId="15" fontId="0" fillId="0" borderId="0" xfId="0" applyNumberFormat="1"/>
    <xf numFmtId="2" fontId="30" fillId="0" borderId="108" xfId="5" applyNumberFormat="1" applyFont="1" applyFill="1" applyBorder="1" applyAlignment="1">
      <alignment horizontal="center"/>
    </xf>
    <xf numFmtId="164" fontId="0" fillId="0" borderId="0" xfId="0" applyNumberFormat="1"/>
    <xf numFmtId="14" fontId="31" fillId="7" borderId="106" xfId="0" applyNumberFormat="1" applyFont="1" applyFill="1" applyBorder="1" applyAlignment="1">
      <alignment horizontal="center" vertical="center" wrapText="1"/>
    </xf>
    <xf numFmtId="171" fontId="30" fillId="14" borderId="105" xfId="5" applyFont="1" applyFill="1" applyBorder="1" applyAlignment="1">
      <alignment horizontal="center"/>
    </xf>
    <xf numFmtId="2" fontId="30" fillId="0" borderId="105" xfId="5" applyNumberFormat="1" applyFont="1" applyBorder="1" applyAlignment="1">
      <alignment horizontal="center"/>
    </xf>
    <xf numFmtId="171" fontId="30" fillId="0" borderId="105" xfId="5" applyFont="1" applyBorder="1" applyAlignment="1">
      <alignment horizontal="center"/>
    </xf>
    <xf numFmtId="15" fontId="0" fillId="0" borderId="0" xfId="0" applyNumberFormat="1" applyAlignment="1">
      <alignment horizontal="center"/>
    </xf>
    <xf numFmtId="171" fontId="29" fillId="9" borderId="108" xfId="5" applyFont="1" applyFill="1" applyBorder="1" applyAlignment="1">
      <alignment horizontal="center" vertical="center"/>
    </xf>
    <xf numFmtId="0" fontId="0" fillId="0" borderId="104" xfId="0" applyFont="1" applyBorder="1" applyAlignment="1">
      <alignment horizontal="center"/>
    </xf>
    <xf numFmtId="0" fontId="0" fillId="13" borderId="104" xfId="0" applyFont="1" applyFill="1" applyBorder="1" applyAlignment="1">
      <alignment horizontal="center"/>
    </xf>
    <xf numFmtId="0" fontId="0" fillId="0" borderId="0" xfId="0" applyFont="1" applyFill="1" applyBorder="1" applyAlignment="1">
      <alignment horizontal="center"/>
    </xf>
    <xf numFmtId="9" fontId="0" fillId="0" borderId="0" xfId="0" applyNumberFormat="1" applyAlignment="1">
      <alignment horizontal="center"/>
    </xf>
    <xf numFmtId="0" fontId="0" fillId="5" borderId="109" xfId="0" applyFill="1" applyBorder="1"/>
    <xf numFmtId="0" fontId="0" fillId="0" borderId="0" xfId="0" applyAlignment="1">
      <alignment horizontal="center"/>
    </xf>
    <xf numFmtId="0" fontId="3" fillId="10" borderId="0" xfId="0" applyFont="1" applyFill="1" applyBorder="1" applyAlignment="1">
      <alignment horizontal="center" vertical="center"/>
    </xf>
    <xf numFmtId="0" fontId="11" fillId="5" borderId="64" xfId="0" applyFont="1" applyFill="1" applyBorder="1" applyAlignment="1">
      <alignment horizontal="center" vertical="center"/>
    </xf>
    <xf numFmtId="0" fontId="11" fillId="5" borderId="41" xfId="0" applyFont="1" applyFill="1" applyBorder="1" applyAlignment="1">
      <alignment horizontal="center" vertical="center"/>
    </xf>
    <xf numFmtId="0" fontId="3" fillId="9" borderId="62" xfId="0" applyFont="1" applyFill="1" applyBorder="1" applyAlignment="1">
      <alignment horizontal="center" vertical="center"/>
    </xf>
    <xf numFmtId="0" fontId="3" fillId="6" borderId="62" xfId="0" applyFont="1" applyFill="1" applyBorder="1" applyAlignment="1">
      <alignment horizontal="center" vertical="center"/>
    </xf>
    <xf numFmtId="0" fontId="3" fillId="10" borderId="62" xfId="0" applyFont="1" applyFill="1" applyBorder="1" applyAlignment="1">
      <alignment horizontal="center" vertical="center"/>
    </xf>
    <xf numFmtId="0" fontId="11" fillId="5" borderId="10" xfId="0" applyFont="1" applyFill="1" applyBorder="1" applyAlignment="1">
      <alignment horizontal="center" vertical="center"/>
    </xf>
    <xf numFmtId="0" fontId="11" fillId="5" borderId="8" xfId="0" applyFont="1" applyFill="1" applyBorder="1" applyAlignment="1">
      <alignment horizontal="center" vertical="center"/>
    </xf>
    <xf numFmtId="0" fontId="2" fillId="3" borderId="0" xfId="0" applyFont="1" applyFill="1" applyAlignment="1">
      <alignment horizontal="center"/>
    </xf>
    <xf numFmtId="0" fontId="3" fillId="9" borderId="0" xfId="0" applyFont="1" applyFill="1" applyBorder="1" applyAlignment="1">
      <alignment horizontal="center" vertical="center"/>
    </xf>
    <xf numFmtId="0" fontId="3" fillId="6" borderId="0" xfId="0" applyFont="1" applyFill="1" applyBorder="1" applyAlignment="1">
      <alignment horizontal="center" vertical="center"/>
    </xf>
    <xf numFmtId="0" fontId="11" fillId="5" borderId="14" xfId="0" applyFont="1" applyFill="1" applyBorder="1" applyAlignment="1">
      <alignment horizontal="center" vertical="center"/>
    </xf>
    <xf numFmtId="0" fontId="11" fillId="5" borderId="15" xfId="0" applyFont="1" applyFill="1" applyBorder="1" applyAlignment="1">
      <alignment horizontal="center" vertical="center"/>
    </xf>
    <xf numFmtId="0" fontId="0" fillId="0" borderId="0" xfId="0" applyAlignment="1">
      <alignment horizontal="center"/>
    </xf>
    <xf numFmtId="2" fontId="30" fillId="0" borderId="0" xfId="5" applyNumberFormat="1" applyFont="1" applyFill="1" applyBorder="1" applyAlignment="1">
      <alignment horizontal="center"/>
    </xf>
    <xf numFmtId="2" fontId="30" fillId="0" borderId="0" xfId="5" applyNumberFormat="1" applyFont="1" applyFill="1" applyBorder="1"/>
    <xf numFmtId="2" fontId="30" fillId="0" borderId="111" xfId="5" applyNumberFormat="1" applyFont="1" applyBorder="1" applyAlignment="1">
      <alignment horizontal="center"/>
    </xf>
    <xf numFmtId="2" fontId="30" fillId="0" borderId="105" xfId="5" applyNumberFormat="1" applyFont="1" applyFill="1" applyBorder="1" applyAlignment="1">
      <alignment horizontal="center"/>
    </xf>
    <xf numFmtId="0" fontId="4" fillId="3" borderId="1" xfId="0" applyFont="1" applyFill="1" applyBorder="1" applyAlignment="1">
      <alignment vertical="center"/>
    </xf>
    <xf numFmtId="0" fontId="4" fillId="3" borderId="0" xfId="0" applyFont="1" applyFill="1" applyBorder="1" applyAlignment="1">
      <alignment vertical="center"/>
    </xf>
    <xf numFmtId="0" fontId="4" fillId="2" borderId="2" xfId="0" applyFont="1" applyFill="1" applyBorder="1" applyAlignment="1">
      <alignment vertical="center"/>
    </xf>
    <xf numFmtId="0" fontId="4" fillId="2" borderId="3" xfId="0" applyFont="1" applyFill="1" applyBorder="1" applyAlignment="1">
      <alignment vertical="center"/>
    </xf>
    <xf numFmtId="0" fontId="0" fillId="0" borderId="0" xfId="0" applyNumberFormat="1"/>
    <xf numFmtId="0" fontId="0" fillId="3" borderId="6" xfId="0" applyFill="1" applyBorder="1"/>
    <xf numFmtId="0" fontId="0" fillId="3" borderId="109" xfId="0" applyFill="1" applyBorder="1"/>
    <xf numFmtId="0" fontId="4" fillId="3" borderId="109" xfId="0" applyFont="1" applyFill="1" applyBorder="1" applyAlignment="1">
      <alignment vertical="center"/>
    </xf>
    <xf numFmtId="0" fontId="35" fillId="7" borderId="112" xfId="0" applyFont="1" applyFill="1" applyBorder="1" applyAlignment="1">
      <alignment horizontal="center" vertical="center" wrapText="1"/>
    </xf>
    <xf numFmtId="0" fontId="36" fillId="7" borderId="112" xfId="0" applyFont="1" applyFill="1" applyBorder="1" applyAlignment="1">
      <alignment horizontal="center" vertical="center" wrapText="1" readingOrder="1"/>
    </xf>
    <xf numFmtId="164" fontId="35" fillId="7" borderId="112" xfId="0" applyNumberFormat="1" applyFont="1" applyFill="1" applyBorder="1" applyAlignment="1">
      <alignment horizontal="center" vertical="center" wrapText="1"/>
    </xf>
    <xf numFmtId="0" fontId="4" fillId="2" borderId="0" xfId="0" applyFont="1" applyFill="1" applyBorder="1" applyAlignment="1">
      <alignment vertical="center"/>
    </xf>
    <xf numFmtId="0" fontId="4" fillId="3" borderId="113" xfId="0" applyFont="1" applyFill="1" applyBorder="1" applyAlignment="1">
      <alignment vertical="center"/>
    </xf>
    <xf numFmtId="0" fontId="4" fillId="3" borderId="114" xfId="0" applyFont="1" applyFill="1" applyBorder="1" applyAlignment="1">
      <alignment vertical="center"/>
    </xf>
    <xf numFmtId="0" fontId="34" fillId="2" borderId="115" xfId="0" applyFont="1" applyFill="1" applyBorder="1" applyAlignment="1">
      <alignment vertical="center"/>
    </xf>
    <xf numFmtId="0" fontId="37" fillId="2" borderId="0" xfId="0" applyFont="1" applyFill="1" applyBorder="1" applyAlignment="1">
      <alignment horizontal="right" vertical="center"/>
    </xf>
    <xf numFmtId="9" fontId="0" fillId="0" borderId="0" xfId="1" applyFont="1"/>
    <xf numFmtId="0" fontId="38" fillId="2" borderId="0" xfId="0" applyFont="1" applyFill="1" applyBorder="1" applyAlignment="1">
      <alignment horizontal="right"/>
    </xf>
    <xf numFmtId="0" fontId="0" fillId="0" borderId="0" xfId="0" applyNumberFormat="1" applyAlignment="1">
      <alignment horizontal="center"/>
    </xf>
    <xf numFmtId="0" fontId="0" fillId="12" borderId="0" xfId="0" applyNumberFormat="1" applyFill="1" applyAlignment="1">
      <alignment horizontal="center"/>
    </xf>
    <xf numFmtId="0" fontId="0" fillId="20" borderId="0" xfId="0" applyFill="1" applyAlignment="1">
      <alignment horizontal="center"/>
    </xf>
    <xf numFmtId="0" fontId="0" fillId="0" borderId="0" xfId="0" pivotButton="1"/>
    <xf numFmtId="0" fontId="0" fillId="0" borderId="0" xfId="0" applyAlignment="1">
      <alignment horizontal="left"/>
    </xf>
    <xf numFmtId="0" fontId="33" fillId="19" borderId="116" xfId="0" applyFont="1" applyFill="1" applyBorder="1" applyAlignment="1">
      <alignment horizontal="center"/>
    </xf>
    <xf numFmtId="0" fontId="0" fillId="0" borderId="110" xfId="0" applyFont="1" applyBorder="1" applyAlignment="1">
      <alignment horizontal="center"/>
    </xf>
    <xf numFmtId="0" fontId="0" fillId="13" borderId="110" xfId="0" applyFont="1" applyFill="1" applyBorder="1" applyAlignment="1">
      <alignment horizontal="center"/>
    </xf>
    <xf numFmtId="0" fontId="0" fillId="0" borderId="0" xfId="1" applyNumberFormat="1" applyFont="1" applyAlignment="1">
      <alignment horizontal="center"/>
    </xf>
    <xf numFmtId="0" fontId="0" fillId="0" borderId="0" xfId="0" applyAlignment="1">
      <alignment horizontal="center"/>
    </xf>
    <xf numFmtId="165" fontId="0" fillId="2" borderId="0" xfId="1" applyNumberFormat="1" applyFont="1" applyFill="1" applyAlignment="1">
      <alignment horizontal="center"/>
    </xf>
    <xf numFmtId="0" fontId="11" fillId="5" borderId="10" xfId="0" applyFont="1" applyFill="1" applyBorder="1" applyAlignment="1">
      <alignment vertical="center"/>
    </xf>
    <xf numFmtId="0" fontId="11" fillId="5" borderId="8" xfId="0" applyFont="1" applyFill="1" applyBorder="1" applyAlignment="1">
      <alignment vertical="center"/>
    </xf>
    <xf numFmtId="0" fontId="0" fillId="5" borderId="98" xfId="0" applyFill="1" applyBorder="1" applyAlignment="1"/>
    <xf numFmtId="0" fontId="0" fillId="5" borderId="0" xfId="0" applyFill="1" applyBorder="1" applyAlignment="1"/>
    <xf numFmtId="0" fontId="0" fillId="5" borderId="38" xfId="0" applyFill="1" applyBorder="1" applyAlignment="1"/>
    <xf numFmtId="0" fontId="0" fillId="5" borderId="81" xfId="0" applyFill="1" applyBorder="1" applyAlignment="1"/>
    <xf numFmtId="0" fontId="0" fillId="5" borderId="13" xfId="0" applyFill="1" applyBorder="1" applyAlignment="1"/>
    <xf numFmtId="0" fontId="0" fillId="5" borderId="82" xfId="0" applyFill="1" applyBorder="1" applyAlignment="1"/>
    <xf numFmtId="0" fontId="0" fillId="5" borderId="78" xfId="0" applyFill="1" applyBorder="1" applyAlignment="1"/>
    <xf numFmtId="0" fontId="0" fillId="5" borderId="79" xfId="0" applyFill="1" applyBorder="1" applyAlignment="1"/>
    <xf numFmtId="0" fontId="0" fillId="5" borderId="80" xfId="0" applyFill="1" applyBorder="1" applyAlignment="1"/>
    <xf numFmtId="0" fontId="0" fillId="5" borderId="87" xfId="0" applyFill="1" applyBorder="1" applyAlignment="1"/>
    <xf numFmtId="0" fontId="0" fillId="5" borderId="48" xfId="0" applyFill="1" applyBorder="1" applyAlignment="1"/>
    <xf numFmtId="0" fontId="0" fillId="5" borderId="88" xfId="0" applyFill="1" applyBorder="1" applyAlignment="1"/>
    <xf numFmtId="0" fontId="0" fillId="5" borderId="85" xfId="0" applyFill="1" applyBorder="1" applyAlignment="1"/>
    <xf numFmtId="0" fontId="0" fillId="5" borderId="46" xfId="0" applyFill="1" applyBorder="1" applyAlignment="1"/>
    <xf numFmtId="0" fontId="0" fillId="5" borderId="86" xfId="0" applyFill="1" applyBorder="1" applyAlignment="1"/>
    <xf numFmtId="0" fontId="0" fillId="5" borderId="95" xfId="0" applyFill="1" applyBorder="1" applyAlignment="1"/>
    <xf numFmtId="0" fontId="0" fillId="5" borderId="49" xfId="0" applyFill="1" applyBorder="1" applyAlignment="1"/>
    <xf numFmtId="0" fontId="0" fillId="5" borderId="61" xfId="0" applyFill="1" applyBorder="1" applyAlignment="1"/>
    <xf numFmtId="0" fontId="0" fillId="5" borderId="93" xfId="0" applyFill="1" applyBorder="1" applyAlignment="1"/>
    <xf numFmtId="0" fontId="0" fillId="5" borderId="47" xfId="0" applyFill="1" applyBorder="1" applyAlignment="1"/>
    <xf numFmtId="0" fontId="0" fillId="5" borderId="94" xfId="0" applyFill="1" applyBorder="1" applyAlignment="1"/>
    <xf numFmtId="0" fontId="0" fillId="5" borderId="89" xfId="0" applyFill="1" applyBorder="1" applyAlignment="1"/>
    <xf numFmtId="0" fontId="0" fillId="5" borderId="90" xfId="0" applyFill="1" applyBorder="1" applyAlignment="1"/>
    <xf numFmtId="0" fontId="0" fillId="5" borderId="91" xfId="0" applyFill="1" applyBorder="1" applyAlignment="1"/>
    <xf numFmtId="0" fontId="0" fillId="5" borderId="96" xfId="0" applyFill="1" applyBorder="1" applyAlignment="1"/>
    <xf numFmtId="0" fontId="0" fillId="5" borderId="97" xfId="0" applyFill="1" applyBorder="1" applyAlignment="1"/>
    <xf numFmtId="0" fontId="11" fillId="5" borderId="14" xfId="0" applyFont="1" applyFill="1" applyBorder="1" applyAlignment="1">
      <alignment vertical="center"/>
    </xf>
    <xf numFmtId="0" fontId="11" fillId="5" borderId="15" xfId="0" applyFont="1" applyFill="1" applyBorder="1" applyAlignment="1">
      <alignment vertical="center"/>
    </xf>
    <xf numFmtId="0" fontId="2" fillId="3" borderId="0" xfId="0" applyFont="1" applyFill="1" applyAlignment="1">
      <alignment horizontal="left"/>
    </xf>
    <xf numFmtId="0" fontId="2" fillId="3" borderId="6" xfId="0" applyFont="1" applyFill="1" applyBorder="1" applyAlignment="1">
      <alignment horizontal="left"/>
    </xf>
    <xf numFmtId="170" fontId="0" fillId="5" borderId="21" xfId="0" applyNumberFormat="1" applyFill="1" applyBorder="1" applyAlignment="1"/>
    <xf numFmtId="170" fontId="0" fillId="5" borderId="22" xfId="0" applyNumberFormat="1" applyFill="1" applyBorder="1" applyAlignment="1"/>
    <xf numFmtId="170" fontId="0" fillId="5" borderId="25" xfId="0" applyNumberFormat="1" applyFill="1" applyBorder="1" applyAlignment="1"/>
    <xf numFmtId="170" fontId="0" fillId="5" borderId="23" xfId="0" applyNumberFormat="1" applyFill="1" applyBorder="1" applyAlignment="1"/>
    <xf numFmtId="170" fontId="0" fillId="5" borderId="42" xfId="0" applyNumberFormat="1" applyFill="1" applyBorder="1" applyAlignment="1"/>
    <xf numFmtId="170" fontId="0" fillId="5" borderId="103" xfId="0" applyNumberFormat="1" applyFill="1" applyBorder="1" applyAlignment="1"/>
    <xf numFmtId="0" fontId="0" fillId="5" borderId="83" xfId="0" applyFill="1" applyBorder="1" applyAlignment="1"/>
    <xf numFmtId="0" fontId="0" fillId="5" borderId="62" xfId="0" applyFill="1" applyBorder="1" applyAlignment="1"/>
    <xf numFmtId="0" fontId="0" fillId="5" borderId="84" xfId="0" applyFill="1" applyBorder="1" applyAlignment="1"/>
    <xf numFmtId="0" fontId="0" fillId="5" borderId="92" xfId="0" applyFill="1" applyBorder="1" applyAlignment="1"/>
    <xf numFmtId="0" fontId="0" fillId="5" borderId="63" xfId="0" applyFill="1" applyBorder="1" applyAlignment="1"/>
    <xf numFmtId="0" fontId="0" fillId="5" borderId="100" xfId="0" applyFill="1" applyBorder="1" applyAlignment="1"/>
    <xf numFmtId="0" fontId="3" fillId="9" borderId="0" xfId="0" applyFont="1" applyFill="1" applyBorder="1" applyAlignment="1">
      <alignment vertical="center"/>
    </xf>
    <xf numFmtId="0" fontId="3" fillId="9" borderId="102" xfId="0" applyFont="1" applyFill="1" applyBorder="1" applyAlignment="1">
      <alignment vertical="center"/>
    </xf>
    <xf numFmtId="0" fontId="3" fillId="6" borderId="0" xfId="0" applyFont="1" applyFill="1" applyBorder="1" applyAlignment="1">
      <alignment vertical="center"/>
    </xf>
    <xf numFmtId="0" fontId="3" fillId="6" borderId="99" xfId="0" applyFont="1" applyFill="1" applyBorder="1" applyAlignment="1">
      <alignment vertical="center"/>
    </xf>
    <xf numFmtId="0" fontId="3" fillId="10" borderId="0" xfId="0" applyFont="1" applyFill="1" applyBorder="1" applyAlignment="1">
      <alignment vertical="center"/>
    </xf>
    <xf numFmtId="0" fontId="3" fillId="10" borderId="101" xfId="0" applyFont="1" applyFill="1" applyBorder="1" applyAlignment="1">
      <alignment vertical="center"/>
    </xf>
    <xf numFmtId="0" fontId="3" fillId="9" borderId="62" xfId="0" applyFont="1" applyFill="1" applyBorder="1" applyAlignment="1">
      <alignment vertical="center"/>
    </xf>
    <xf numFmtId="0" fontId="3" fillId="9" borderId="76" xfId="0" applyFont="1" applyFill="1" applyBorder="1" applyAlignment="1">
      <alignment vertical="center"/>
    </xf>
    <xf numFmtId="0" fontId="3" fillId="6" borderId="62" xfId="0" applyFont="1" applyFill="1" applyBorder="1" applyAlignment="1">
      <alignment vertical="center"/>
    </xf>
    <xf numFmtId="0" fontId="3" fillId="6" borderId="76" xfId="0" applyFont="1" applyFill="1" applyBorder="1" applyAlignment="1">
      <alignment vertical="center"/>
    </xf>
    <xf numFmtId="0" fontId="3" fillId="10" borderId="62" xfId="0" applyFont="1" applyFill="1" applyBorder="1" applyAlignment="1">
      <alignment vertical="center"/>
    </xf>
    <xf numFmtId="0" fontId="3" fillId="10" borderId="76" xfId="0" applyFont="1" applyFill="1" applyBorder="1" applyAlignment="1">
      <alignment vertical="center"/>
    </xf>
    <xf numFmtId="0" fontId="3" fillId="9" borderId="0" xfId="0" applyFont="1" applyFill="1" applyBorder="1" applyAlignment="1"/>
    <xf numFmtId="0" fontId="3" fillId="6" borderId="0" xfId="0" applyFont="1" applyFill="1" applyBorder="1" applyAlignment="1"/>
    <xf numFmtId="0" fontId="3" fillId="10" borderId="0" xfId="0" applyFont="1" applyFill="1" applyBorder="1" applyAlignment="1"/>
    <xf numFmtId="0" fontId="3" fillId="10" borderId="6" xfId="0" applyFont="1" applyFill="1" applyBorder="1" applyAlignment="1"/>
    <xf numFmtId="0" fontId="3" fillId="9" borderId="8" xfId="0" applyFont="1" applyFill="1" applyBorder="1" applyAlignment="1">
      <alignment vertical="center"/>
    </xf>
    <xf numFmtId="0" fontId="3" fillId="6" borderId="46" xfId="0" applyFont="1" applyFill="1" applyBorder="1" applyAlignment="1">
      <alignment vertical="center"/>
    </xf>
    <xf numFmtId="0" fontId="3" fillId="10" borderId="47" xfId="0" applyFont="1" applyFill="1" applyBorder="1" applyAlignment="1">
      <alignment vertical="center"/>
    </xf>
    <xf numFmtId="0" fontId="11" fillId="5" borderId="0" xfId="0" applyFont="1" applyFill="1" applyBorder="1" applyAlignment="1">
      <alignment vertical="center"/>
    </xf>
    <xf numFmtId="170" fontId="0" fillId="5" borderId="29" xfId="0" applyNumberFormat="1" applyFill="1" applyBorder="1" applyAlignment="1"/>
    <xf numFmtId="170" fontId="0" fillId="5" borderId="27" xfId="0" applyNumberFormat="1" applyFill="1" applyBorder="1" applyAlignment="1"/>
    <xf numFmtId="170" fontId="0" fillId="5" borderId="43" xfId="0" applyNumberFormat="1" applyFill="1" applyBorder="1" applyAlignment="1"/>
    <xf numFmtId="170" fontId="0" fillId="5" borderId="44" xfId="0" applyNumberFormat="1" applyFill="1" applyBorder="1" applyAlignment="1"/>
    <xf numFmtId="170" fontId="0" fillId="5" borderId="45" xfId="0" applyNumberFormat="1" applyFill="1" applyBorder="1" applyAlignment="1"/>
    <xf numFmtId="170" fontId="0" fillId="5" borderId="124" xfId="0" applyNumberFormat="1" applyFill="1" applyBorder="1" applyAlignment="1"/>
    <xf numFmtId="170" fontId="0" fillId="5" borderId="125" xfId="0" applyNumberFormat="1" applyFill="1" applyBorder="1" applyAlignment="1"/>
    <xf numFmtId="170" fontId="0" fillId="5" borderId="126" xfId="0" applyNumberFormat="1" applyFill="1" applyBorder="1" applyAlignment="1"/>
    <xf numFmtId="0" fontId="45" fillId="5" borderId="98" xfId="0" applyFont="1" applyFill="1" applyBorder="1" applyAlignment="1"/>
    <xf numFmtId="0" fontId="45" fillId="5" borderId="0" xfId="0" applyFont="1" applyFill="1" applyBorder="1" applyAlignment="1"/>
    <xf numFmtId="0" fontId="45" fillId="5" borderId="38" xfId="0" applyFont="1" applyFill="1" applyBorder="1" applyAlignment="1"/>
    <xf numFmtId="0" fontId="45" fillId="5" borderId="81" xfId="0" applyFont="1" applyFill="1" applyBorder="1" applyAlignment="1"/>
    <xf numFmtId="0" fontId="45" fillId="5" borderId="13" xfId="0" applyFont="1" applyFill="1" applyBorder="1" applyAlignment="1"/>
    <xf numFmtId="0" fontId="45" fillId="5" borderId="82" xfId="0" applyFont="1" applyFill="1" applyBorder="1" applyAlignment="1"/>
    <xf numFmtId="0" fontId="45" fillId="5" borderId="79" xfId="0" applyFont="1" applyFill="1" applyBorder="1" applyAlignment="1"/>
    <xf numFmtId="0" fontId="45" fillId="5" borderId="80" xfId="0" applyFont="1" applyFill="1" applyBorder="1" applyAlignment="1"/>
    <xf numFmtId="0" fontId="45" fillId="5" borderId="98" xfId="0" applyFont="1" applyFill="1" applyBorder="1" applyAlignment="1">
      <alignment horizontal="center"/>
    </xf>
    <xf numFmtId="0" fontId="45" fillId="5" borderId="62" xfId="0" applyFont="1" applyFill="1" applyBorder="1" applyAlignment="1"/>
    <xf numFmtId="0" fontId="45" fillId="5" borderId="84" xfId="0" applyFont="1" applyFill="1" applyBorder="1" applyAlignment="1"/>
    <xf numFmtId="0" fontId="45" fillId="5" borderId="85" xfId="0" applyFont="1" applyFill="1" applyBorder="1" applyAlignment="1"/>
    <xf numFmtId="0" fontId="45" fillId="5" borderId="46" xfId="0" applyFont="1" applyFill="1" applyBorder="1" applyAlignment="1"/>
    <xf numFmtId="0" fontId="45" fillId="5" borderId="86" xfId="0" applyFont="1" applyFill="1" applyBorder="1" applyAlignment="1"/>
    <xf numFmtId="0" fontId="45" fillId="5" borderId="93" xfId="0" applyFont="1" applyFill="1" applyBorder="1" applyAlignment="1"/>
    <xf numFmtId="0" fontId="45" fillId="5" borderId="48" xfId="0" applyFont="1" applyFill="1" applyBorder="1" applyAlignment="1"/>
    <xf numFmtId="0" fontId="45" fillId="5" borderId="88" xfId="0" applyFont="1" applyFill="1" applyBorder="1" applyAlignment="1"/>
    <xf numFmtId="0" fontId="45" fillId="5" borderId="22" xfId="0" applyFont="1" applyFill="1" applyBorder="1" applyAlignment="1"/>
    <xf numFmtId="0" fontId="45" fillId="5" borderId="23" xfId="0" applyFont="1" applyFill="1" applyBorder="1" applyAlignment="1"/>
    <xf numFmtId="0" fontId="45" fillId="5" borderId="27" xfId="0" applyFont="1" applyFill="1" applyBorder="1" applyAlignment="1"/>
    <xf numFmtId="0" fontId="45" fillId="5" borderId="31" xfId="0" applyFont="1" applyFill="1" applyBorder="1" applyAlignment="1"/>
    <xf numFmtId="0" fontId="45" fillId="5" borderId="117" xfId="0" applyFont="1" applyFill="1" applyBorder="1" applyAlignment="1"/>
    <xf numFmtId="0" fontId="45" fillId="5" borderId="51" xfId="0" applyFont="1" applyFill="1" applyBorder="1" applyAlignment="1"/>
    <xf numFmtId="0" fontId="45" fillId="5" borderId="52" xfId="0" applyFont="1" applyFill="1" applyBorder="1" applyAlignment="1"/>
    <xf numFmtId="0" fontId="45" fillId="5" borderId="53" xfId="0" applyFont="1" applyFill="1" applyBorder="1" applyAlignment="1"/>
    <xf numFmtId="0" fontId="45" fillId="5" borderId="123" xfId="0" applyFont="1" applyFill="1" applyBorder="1" applyAlignment="1"/>
    <xf numFmtId="0" fontId="45" fillId="5" borderId="42" xfId="0" applyFont="1" applyFill="1" applyBorder="1" applyAlignment="1">
      <alignment horizontal="center"/>
    </xf>
    <xf numFmtId="0" fontId="45" fillId="5" borderId="24" xfId="0" applyFont="1" applyFill="1" applyBorder="1" applyAlignment="1"/>
    <xf numFmtId="0" fontId="45" fillId="5" borderId="28" xfId="0" applyFont="1" applyFill="1" applyBorder="1" applyAlignment="1"/>
    <xf numFmtId="0" fontId="45" fillId="5" borderId="118" xfId="0" applyFont="1" applyFill="1" applyBorder="1" applyAlignment="1">
      <alignment horizontal="center"/>
    </xf>
    <xf numFmtId="0" fontId="45" fillId="5" borderId="118" xfId="0" applyFont="1" applyFill="1" applyBorder="1" applyAlignment="1"/>
    <xf numFmtId="0" fontId="45" fillId="5" borderId="119" xfId="0" applyFont="1" applyFill="1" applyBorder="1" applyAlignment="1">
      <alignment horizontal="center"/>
    </xf>
    <xf numFmtId="0" fontId="45" fillId="5" borderId="120" xfId="0" applyFont="1" applyFill="1" applyBorder="1" applyAlignment="1"/>
    <xf numFmtId="0" fontId="45" fillId="5" borderId="121" xfId="0" applyFont="1" applyFill="1" applyBorder="1" applyAlignment="1"/>
    <xf numFmtId="0" fontId="45" fillId="5" borderId="122" xfId="0" applyFont="1" applyFill="1" applyBorder="1" applyAlignment="1">
      <alignment horizontal="center"/>
    </xf>
    <xf numFmtId="0" fontId="45" fillId="5" borderId="122" xfId="0" applyFont="1" applyFill="1" applyBorder="1" applyAlignment="1"/>
    <xf numFmtId="0" fontId="45" fillId="5" borderId="131" xfId="0" applyFont="1" applyFill="1" applyBorder="1" applyAlignment="1"/>
    <xf numFmtId="0" fontId="45" fillId="5" borderId="132" xfId="0" applyFont="1" applyFill="1" applyBorder="1" applyAlignment="1"/>
    <xf numFmtId="0" fontId="45" fillId="5" borderId="133" xfId="0" applyFont="1" applyFill="1" applyBorder="1" applyAlignment="1"/>
    <xf numFmtId="0" fontId="45" fillId="5" borderId="134" xfId="0" applyFont="1" applyFill="1" applyBorder="1" applyAlignment="1"/>
    <xf numFmtId="0" fontId="2" fillId="3" borderId="35" xfId="0" applyFont="1" applyFill="1" applyBorder="1" applyAlignment="1">
      <alignment horizontal="center"/>
    </xf>
    <xf numFmtId="0" fontId="47" fillId="21" borderId="35" xfId="0" applyFont="1" applyFill="1" applyBorder="1" applyAlignment="1">
      <alignment horizontal="center"/>
    </xf>
    <xf numFmtId="0" fontId="2" fillId="3" borderId="138" xfId="0" applyFont="1" applyFill="1" applyBorder="1" applyAlignment="1">
      <alignment horizontal="center"/>
    </xf>
    <xf numFmtId="0" fontId="46" fillId="2" borderId="137" xfId="0" applyFont="1" applyFill="1" applyBorder="1" applyAlignment="1">
      <alignment horizontal="center"/>
    </xf>
    <xf numFmtId="0" fontId="45" fillId="5" borderId="36" xfId="0" applyFont="1" applyFill="1" applyBorder="1"/>
    <xf numFmtId="0" fontId="45" fillId="5" borderId="139" xfId="0" applyFont="1" applyFill="1" applyBorder="1"/>
    <xf numFmtId="165" fontId="45" fillId="5" borderId="139" xfId="1" applyNumberFormat="1" applyFont="1" applyFill="1" applyBorder="1" applyAlignment="1">
      <alignment horizontal="center"/>
    </xf>
    <xf numFmtId="0" fontId="45" fillId="5" borderId="140" xfId="0" applyFont="1" applyFill="1" applyBorder="1"/>
    <xf numFmtId="0" fontId="45" fillId="5" borderId="141" xfId="0" applyFont="1" applyFill="1" applyBorder="1"/>
    <xf numFmtId="0" fontId="0" fillId="3" borderId="142" xfId="0" applyFill="1" applyBorder="1"/>
    <xf numFmtId="165" fontId="0" fillId="0" borderId="0" xfId="1" applyNumberFormat="1" applyFont="1"/>
    <xf numFmtId="22" fontId="0" fillId="0" borderId="0" xfId="0" applyNumberFormat="1"/>
    <xf numFmtId="9" fontId="0" fillId="0" borderId="0" xfId="0" applyNumberFormat="1"/>
    <xf numFmtId="165" fontId="0" fillId="0" borderId="0" xfId="0" applyNumberFormat="1"/>
    <xf numFmtId="172" fontId="0" fillId="0" borderId="0" xfId="0" applyNumberFormat="1"/>
    <xf numFmtId="2" fontId="0" fillId="0" borderId="0" xfId="0" applyNumberFormat="1"/>
    <xf numFmtId="0" fontId="0" fillId="0" borderId="0" xfId="0" applyAlignment="1">
      <alignment horizontal="center"/>
    </xf>
    <xf numFmtId="0" fontId="49" fillId="3" borderId="0" xfId="0" applyFont="1" applyFill="1" applyAlignment="1">
      <alignment horizontal="center" vertical="center"/>
    </xf>
    <xf numFmtId="0" fontId="0" fillId="3" borderId="0" xfId="0" applyFill="1" applyBorder="1"/>
    <xf numFmtId="0" fontId="49" fillId="3" borderId="0" xfId="0" applyFont="1" applyFill="1" applyBorder="1" applyAlignment="1">
      <alignment vertical="center"/>
    </xf>
    <xf numFmtId="0" fontId="49" fillId="3" borderId="0" xfId="0" applyFont="1" applyFill="1" applyAlignment="1">
      <alignment vertical="center"/>
    </xf>
    <xf numFmtId="0" fontId="39" fillId="3" borderId="0" xfId="0" applyFont="1" applyFill="1" applyAlignment="1">
      <alignment horizontal="left"/>
    </xf>
    <xf numFmtId="9" fontId="48" fillId="3" borderId="0" xfId="1" applyFont="1" applyFill="1" applyAlignment="1">
      <alignment horizontal="center"/>
    </xf>
    <xf numFmtId="0" fontId="0" fillId="3" borderId="0" xfId="0" applyFill="1" applyBorder="1" applyAlignment="1"/>
    <xf numFmtId="164" fontId="35" fillId="7" borderId="112" xfId="0" applyNumberFormat="1" applyFont="1" applyFill="1" applyBorder="1" applyAlignment="1">
      <alignment horizontal="center" vertical="center"/>
    </xf>
    <xf numFmtId="14" fontId="0" fillId="0" borderId="0" xfId="0" applyNumberFormat="1"/>
    <xf numFmtId="0" fontId="35" fillId="7" borderId="112" xfId="0" applyNumberFormat="1" applyFont="1" applyFill="1" applyBorder="1" applyAlignment="1">
      <alignment horizontal="center" vertical="center" wrapText="1"/>
    </xf>
    <xf numFmtId="0" fontId="36" fillId="7" borderId="112" xfId="0" applyNumberFormat="1" applyFont="1" applyFill="1" applyBorder="1" applyAlignment="1">
      <alignment horizontal="center" vertical="center" wrapText="1" readingOrder="1"/>
    </xf>
    <xf numFmtId="0" fontId="2" fillId="14" borderId="144" xfId="0" applyFont="1" applyFill="1" applyBorder="1" applyAlignment="1">
      <alignment horizontal="center"/>
    </xf>
    <xf numFmtId="165" fontId="0" fillId="19" borderId="145" xfId="1" applyNumberFormat="1" applyFont="1" applyFill="1" applyBorder="1" applyAlignment="1">
      <alignment horizontal="center"/>
    </xf>
    <xf numFmtId="165" fontId="0" fillId="0" borderId="145" xfId="1" applyNumberFormat="1" applyFont="1" applyBorder="1" applyAlignment="1">
      <alignment horizontal="center"/>
    </xf>
    <xf numFmtId="0" fontId="0" fillId="16" borderId="144" xfId="0" applyFont="1" applyFill="1" applyBorder="1" applyAlignment="1">
      <alignment horizontal="center"/>
    </xf>
    <xf numFmtId="9" fontId="0" fillId="0" borderId="145" xfId="1" applyNumberFormat="1" applyFont="1" applyBorder="1" applyAlignment="1">
      <alignment horizontal="center"/>
    </xf>
    <xf numFmtId="0" fontId="0" fillId="15" borderId="144" xfId="0" applyFont="1" applyFill="1" applyBorder="1" applyAlignment="1">
      <alignment horizontal="center"/>
    </xf>
    <xf numFmtId="0" fontId="0" fillId="5" borderId="105" xfId="0" applyFill="1" applyBorder="1" applyAlignment="1">
      <alignment horizontal="center"/>
    </xf>
    <xf numFmtId="0" fontId="50" fillId="5" borderId="105" xfId="0" applyFont="1" applyFill="1" applyBorder="1" applyAlignment="1">
      <alignment horizontal="center" wrapText="1"/>
    </xf>
    <xf numFmtId="0" fontId="0" fillId="0" borderId="146" xfId="0" applyBorder="1"/>
    <xf numFmtId="0" fontId="0" fillId="0" borderId="105" xfId="0" applyBorder="1" applyAlignment="1">
      <alignment horizontal="center"/>
    </xf>
    <xf numFmtId="0" fontId="52" fillId="5" borderId="0" xfId="0" applyFont="1" applyFill="1" applyAlignment="1">
      <alignment horizontal="left"/>
    </xf>
    <xf numFmtId="0" fontId="40" fillId="5" borderId="0" xfId="0" applyFont="1" applyFill="1"/>
    <xf numFmtId="0" fontId="0" fillId="0" borderId="0" xfId="0" applyAlignment="1">
      <alignment horizontal="center"/>
    </xf>
    <xf numFmtId="0" fontId="0" fillId="0" borderId="144" xfId="0" applyFont="1" applyBorder="1" applyAlignment="1">
      <alignment horizontal="center"/>
    </xf>
    <xf numFmtId="0" fontId="0" fillId="19" borderId="144" xfId="0" applyFont="1" applyFill="1" applyBorder="1" applyAlignment="1">
      <alignment horizontal="center"/>
    </xf>
    <xf numFmtId="0" fontId="53" fillId="22" borderId="148" xfId="0" applyFont="1" applyFill="1" applyBorder="1" applyAlignment="1">
      <alignment horizontal="center"/>
    </xf>
    <xf numFmtId="0" fontId="53" fillId="22" borderId="149" xfId="0" applyFont="1" applyFill="1" applyBorder="1" applyAlignment="1">
      <alignment horizontal="center"/>
    </xf>
    <xf numFmtId="0" fontId="45" fillId="2" borderId="147" xfId="0" applyFont="1" applyFill="1" applyBorder="1" applyAlignment="1">
      <alignment horizontal="center"/>
    </xf>
    <xf numFmtId="9" fontId="45" fillId="2" borderId="147" xfId="0" applyNumberFormat="1" applyFont="1" applyFill="1" applyBorder="1" applyAlignment="1">
      <alignment horizontal="center"/>
    </xf>
    <xf numFmtId="0" fontId="45" fillId="23" borderId="147" xfId="0" applyFont="1" applyFill="1" applyBorder="1" applyAlignment="1">
      <alignment horizontal="center"/>
    </xf>
    <xf numFmtId="0" fontId="54" fillId="2" borderId="147" xfId="0" applyFont="1" applyFill="1" applyBorder="1" applyAlignment="1">
      <alignment horizontal="center"/>
    </xf>
    <xf numFmtId="0" fontId="46" fillId="2" borderId="147" xfId="0" applyFont="1" applyFill="1" applyBorder="1" applyAlignment="1">
      <alignment horizontal="center"/>
    </xf>
    <xf numFmtId="0" fontId="0" fillId="12" borderId="144" xfId="0" applyFont="1" applyFill="1" applyBorder="1" applyAlignment="1">
      <alignment horizontal="center"/>
    </xf>
    <xf numFmtId="0" fontId="0" fillId="0" borderId="150" xfId="0" applyBorder="1"/>
    <xf numFmtId="0" fontId="0" fillId="0" borderId="151" xfId="0" applyBorder="1"/>
    <xf numFmtId="0" fontId="0" fillId="0" borderId="152" xfId="0" applyBorder="1"/>
    <xf numFmtId="0" fontId="0" fillId="0" borderId="153" xfId="0" applyBorder="1"/>
    <xf numFmtId="0" fontId="0" fillId="0" borderId="154" xfId="0" applyBorder="1"/>
    <xf numFmtId="0" fontId="0" fillId="0" borderId="155" xfId="0" applyBorder="1"/>
    <xf numFmtId="0" fontId="0" fillId="0" borderId="156" xfId="0" applyBorder="1"/>
    <xf numFmtId="0" fontId="0" fillId="0" borderId="157" xfId="0" applyBorder="1"/>
    <xf numFmtId="0" fontId="0" fillId="0" borderId="158" xfId="0" applyBorder="1"/>
    <xf numFmtId="0" fontId="45" fillId="0" borderId="0" xfId="0" applyFont="1"/>
    <xf numFmtId="0" fontId="0" fillId="0" borderId="0" xfId="0" applyAlignment="1">
      <alignment horizontal="center"/>
    </xf>
    <xf numFmtId="0" fontId="0" fillId="5" borderId="143" xfId="0" applyFill="1" applyBorder="1"/>
    <xf numFmtId="10" fontId="0" fillId="0" borderId="0" xfId="0" applyNumberFormat="1" applyAlignment="1">
      <alignment horizontal="center"/>
    </xf>
    <xf numFmtId="0" fontId="0" fillId="4" borderId="109" xfId="0" applyFill="1" applyBorder="1"/>
    <xf numFmtId="9" fontId="0" fillId="0" borderId="0" xfId="1" applyNumberFormat="1" applyFont="1"/>
    <xf numFmtId="0" fontId="59" fillId="24" borderId="0" xfId="0" applyFont="1" applyFill="1" applyAlignment="1">
      <alignment horizontal="center" vertical="center"/>
    </xf>
    <xf numFmtId="0" fontId="60" fillId="25" borderId="160" xfId="0" applyFont="1" applyFill="1" applyBorder="1" applyAlignment="1">
      <alignment horizontal="right" vertical="center" indent="1"/>
    </xf>
    <xf numFmtId="0" fontId="60" fillId="25" borderId="0" xfId="0" applyFont="1" applyFill="1" applyAlignment="1">
      <alignment horizontal="right" vertical="center" indent="1"/>
    </xf>
    <xf numFmtId="0" fontId="60" fillId="25" borderId="160" xfId="0" applyFont="1" applyFill="1" applyBorder="1" applyAlignment="1">
      <alignment horizontal="center" vertical="center"/>
    </xf>
    <xf numFmtId="0" fontId="60" fillId="25" borderId="0" xfId="0" applyFont="1" applyFill="1" applyBorder="1" applyAlignment="1">
      <alignment horizontal="center" vertical="center"/>
    </xf>
    <xf numFmtId="0" fontId="60" fillId="25" borderId="0" xfId="0" applyFont="1" applyFill="1" applyAlignment="1">
      <alignment horizontal="center" vertical="center"/>
    </xf>
    <xf numFmtId="0" fontId="0" fillId="4" borderId="143" xfId="0" applyFill="1" applyBorder="1"/>
    <xf numFmtId="0" fontId="0" fillId="0" borderId="0" xfId="0" applyAlignment="1">
      <alignment horizontal="center"/>
    </xf>
    <xf numFmtId="0" fontId="0" fillId="0" borderId="0" xfId="0" applyAlignment="1">
      <alignment horizontal="center"/>
    </xf>
    <xf numFmtId="0" fontId="0" fillId="0" borderId="0" xfId="0" quotePrefix="1" applyAlignment="1">
      <alignment horizontal="center"/>
    </xf>
    <xf numFmtId="0" fontId="0" fillId="26" borderId="0" xfId="0" applyFill="1" applyAlignment="1">
      <alignment horizontal="center"/>
    </xf>
    <xf numFmtId="0" fontId="0" fillId="9" borderId="0" xfId="0" applyFill="1" applyAlignment="1">
      <alignment horizontal="center"/>
    </xf>
    <xf numFmtId="0" fontId="61" fillId="0" borderId="0" xfId="0" applyFont="1"/>
    <xf numFmtId="0" fontId="62" fillId="0" borderId="0" xfId="0" applyFont="1" applyAlignment="1">
      <alignment wrapText="1"/>
    </xf>
    <xf numFmtId="0" fontId="0" fillId="0" borderId="0" xfId="0" applyAlignment="1">
      <alignment horizontal="center"/>
    </xf>
    <xf numFmtId="0" fontId="35" fillId="25" borderId="0" xfId="0" applyFont="1" applyFill="1" applyAlignment="1">
      <alignment horizontal="right" vertical="center" wrapText="1"/>
    </xf>
    <xf numFmtId="0" fontId="35" fillId="25" borderId="0" xfId="0" applyFont="1" applyFill="1" applyAlignment="1">
      <alignment horizontal="center" vertical="center" wrapText="1"/>
    </xf>
    <xf numFmtId="0" fontId="56" fillId="4" borderId="5" xfId="0" applyFont="1" applyFill="1" applyBorder="1" applyAlignment="1">
      <alignment horizontal="center" vertical="center"/>
    </xf>
    <xf numFmtId="0" fontId="56" fillId="4" borderId="0" xfId="0" applyFont="1" applyFill="1" applyBorder="1" applyAlignment="1">
      <alignment horizontal="center" vertical="center"/>
    </xf>
    <xf numFmtId="0" fontId="56" fillId="4" borderId="6" xfId="0" applyFont="1" applyFill="1" applyBorder="1" applyAlignment="1">
      <alignment horizontal="center" vertical="center"/>
    </xf>
    <xf numFmtId="0" fontId="45" fillId="5" borderId="135" xfId="0" applyFont="1" applyFill="1" applyBorder="1" applyAlignment="1">
      <alignment horizontal="center"/>
    </xf>
    <xf numFmtId="0" fontId="45" fillId="5" borderId="136" xfId="0" applyFont="1" applyFill="1" applyBorder="1" applyAlignment="1">
      <alignment horizontal="center"/>
    </xf>
    <xf numFmtId="0" fontId="45" fillId="5" borderId="129" xfId="0" applyFont="1" applyFill="1" applyBorder="1" applyAlignment="1">
      <alignment horizontal="center"/>
    </xf>
    <xf numFmtId="0" fontId="45" fillId="5" borderId="130" xfId="0" applyFont="1" applyFill="1" applyBorder="1" applyAlignment="1">
      <alignment horizontal="center"/>
    </xf>
    <xf numFmtId="0" fontId="0" fillId="5" borderId="5" xfId="0" applyFill="1" applyBorder="1" applyAlignment="1">
      <alignment horizontal="center"/>
    </xf>
    <xf numFmtId="0" fontId="0" fillId="5" borderId="38" xfId="0" applyFill="1" applyBorder="1" applyAlignment="1">
      <alignment horizontal="center"/>
    </xf>
    <xf numFmtId="0" fontId="55" fillId="4" borderId="0" xfId="0" applyFont="1" applyFill="1" applyBorder="1" applyAlignment="1">
      <alignment horizontal="center" vertical="center"/>
    </xf>
    <xf numFmtId="0" fontId="0" fillId="5" borderId="0" xfId="0" applyFill="1" applyBorder="1" applyAlignment="1">
      <alignment horizontal="center"/>
    </xf>
    <xf numFmtId="0" fontId="45" fillId="5" borderId="127" xfId="0" applyFont="1" applyFill="1" applyBorder="1" applyAlignment="1">
      <alignment horizontal="center"/>
    </xf>
    <xf numFmtId="0" fontId="45" fillId="5" borderId="128" xfId="0" applyFont="1" applyFill="1" applyBorder="1" applyAlignment="1">
      <alignment horizontal="center"/>
    </xf>
    <xf numFmtId="0" fontId="5" fillId="4" borderId="5" xfId="0" applyFont="1" applyFill="1" applyBorder="1" applyAlignment="1">
      <alignment horizontal="center" vertical="center"/>
    </xf>
    <xf numFmtId="0" fontId="5" fillId="4" borderId="0" xfId="0" applyFont="1" applyFill="1" applyBorder="1" applyAlignment="1">
      <alignment horizontal="center" vertical="center"/>
    </xf>
    <xf numFmtId="0" fontId="8" fillId="4" borderId="7" xfId="0" applyFont="1" applyFill="1" applyBorder="1" applyAlignment="1">
      <alignment horizontal="center" vertical="center"/>
    </xf>
    <xf numFmtId="0" fontId="0" fillId="5" borderId="37" xfId="0" applyFill="1" applyBorder="1" applyAlignment="1">
      <alignment horizontal="center"/>
    </xf>
    <xf numFmtId="0" fontId="39" fillId="5" borderId="5" xfId="0" applyFont="1" applyFill="1" applyBorder="1" applyAlignment="1">
      <alignment horizontal="center"/>
    </xf>
    <xf numFmtId="0" fontId="39" fillId="5" borderId="0" xfId="0" applyFont="1" applyFill="1" applyBorder="1" applyAlignment="1">
      <alignment horizontal="center"/>
    </xf>
    <xf numFmtId="0" fontId="40" fillId="5" borderId="0" xfId="0" applyFont="1" applyFill="1" applyAlignment="1">
      <alignment horizontal="center"/>
    </xf>
    <xf numFmtId="0" fontId="41" fillId="5" borderId="0" xfId="0" applyFont="1" applyFill="1" applyAlignment="1">
      <alignment horizontal="center"/>
    </xf>
    <xf numFmtId="0" fontId="41" fillId="5" borderId="6" xfId="0" applyFont="1" applyFill="1" applyBorder="1" applyAlignment="1">
      <alignment horizontal="center"/>
    </xf>
    <xf numFmtId="0" fontId="42" fillId="5" borderId="143" xfId="0" applyFont="1" applyFill="1" applyBorder="1" applyAlignment="1">
      <alignment horizontal="center"/>
    </xf>
    <xf numFmtId="0" fontId="42" fillId="5" borderId="0" xfId="0" applyFont="1" applyFill="1" applyBorder="1" applyAlignment="1">
      <alignment horizontal="center"/>
    </xf>
    <xf numFmtId="0" fontId="43" fillId="5" borderId="0" xfId="0" applyFont="1" applyFill="1" applyBorder="1" applyAlignment="1">
      <alignment horizontal="center"/>
    </xf>
    <xf numFmtId="0" fontId="44" fillId="5" borderId="0" xfId="0" applyFont="1" applyFill="1" applyBorder="1" applyAlignment="1">
      <alignment horizontal="center"/>
    </xf>
    <xf numFmtId="0" fontId="44" fillId="5" borderId="109" xfId="0" applyFont="1" applyFill="1" applyBorder="1" applyAlignment="1">
      <alignment horizontal="center"/>
    </xf>
    <xf numFmtId="0" fontId="7" fillId="4" borderId="9" xfId="0" applyFont="1" applyFill="1" applyBorder="1" applyAlignment="1">
      <alignment horizontal="center" vertical="center"/>
    </xf>
    <xf numFmtId="0" fontId="7" fillId="4" borderId="11" xfId="0" applyFont="1" applyFill="1" applyBorder="1" applyAlignment="1">
      <alignment horizontal="center" vertical="center"/>
    </xf>
    <xf numFmtId="0" fontId="7" fillId="4" borderId="0" xfId="0" applyFont="1" applyFill="1" applyBorder="1" applyAlignment="1">
      <alignment horizontal="center" vertical="center"/>
    </xf>
    <xf numFmtId="0" fontId="7" fillId="4" borderId="12" xfId="0" applyFont="1" applyFill="1" applyBorder="1" applyAlignment="1">
      <alignment horizontal="center" vertical="center"/>
    </xf>
    <xf numFmtId="0" fontId="55" fillId="4" borderId="5" xfId="0" applyFont="1" applyFill="1" applyBorder="1" applyAlignment="1">
      <alignment horizontal="center" vertical="center"/>
    </xf>
    <xf numFmtId="0" fontId="57" fillId="3" borderId="159" xfId="0" applyFont="1" applyFill="1" applyBorder="1" applyAlignment="1">
      <alignment horizontal="center" vertical="center"/>
    </xf>
    <xf numFmtId="0" fontId="0" fillId="3" borderId="0" xfId="0" applyFill="1" applyAlignment="1">
      <alignment horizontal="center" vertical="center"/>
    </xf>
    <xf numFmtId="0" fontId="0" fillId="3" borderId="159" xfId="0" applyFill="1" applyBorder="1" applyAlignment="1">
      <alignment horizontal="center" vertical="center"/>
    </xf>
    <xf numFmtId="0" fontId="57" fillId="3" borderId="143" xfId="0" applyFont="1" applyFill="1" applyBorder="1" applyAlignment="1">
      <alignment horizontal="center" vertical="center"/>
    </xf>
    <xf numFmtId="0" fontId="58" fillId="3" borderId="0" xfId="0" applyFont="1" applyFill="1" applyAlignment="1">
      <alignment horizontal="center" vertical="center"/>
    </xf>
    <xf numFmtId="0" fontId="58" fillId="3" borderId="143" xfId="0" applyFont="1" applyFill="1" applyBorder="1" applyAlignment="1">
      <alignment horizontal="center" vertical="center"/>
    </xf>
    <xf numFmtId="0" fontId="51" fillId="4" borderId="0" xfId="0" applyFont="1" applyFill="1" applyAlignment="1">
      <alignment horizontal="center" vertical="center"/>
    </xf>
    <xf numFmtId="0" fontId="51" fillId="4" borderId="36" xfId="0" applyFont="1" applyFill="1" applyBorder="1" applyAlignment="1">
      <alignment horizontal="center" vertical="center"/>
    </xf>
    <xf numFmtId="0" fontId="5" fillId="4" borderId="6" xfId="0" applyFont="1" applyFill="1" applyBorder="1" applyAlignment="1">
      <alignment horizontal="center" vertical="center"/>
    </xf>
    <xf numFmtId="0" fontId="6" fillId="4" borderId="0" xfId="0" applyFont="1" applyFill="1" applyAlignment="1">
      <alignment horizontal="center" vertical="center"/>
    </xf>
    <xf numFmtId="0" fontId="6" fillId="4" borderId="36" xfId="0" applyFont="1" applyFill="1" applyBorder="1" applyAlignment="1">
      <alignment horizontal="center" vertical="center"/>
    </xf>
    <xf numFmtId="0" fontId="0" fillId="11" borderId="58" xfId="0" applyFill="1" applyBorder="1" applyAlignment="1">
      <alignment horizontal="center"/>
    </xf>
    <xf numFmtId="0" fontId="0" fillId="11" borderId="59" xfId="0" applyFill="1" applyBorder="1" applyAlignment="1">
      <alignment horizontal="center"/>
    </xf>
    <xf numFmtId="0" fontId="0" fillId="11" borderId="60" xfId="0" applyFill="1" applyBorder="1" applyAlignment="1">
      <alignment horizontal="center"/>
    </xf>
    <xf numFmtId="0" fontId="6" fillId="4" borderId="0" xfId="0" applyFont="1" applyFill="1" applyBorder="1" applyAlignment="1">
      <alignment horizontal="center" vertical="center"/>
    </xf>
    <xf numFmtId="0" fontId="0" fillId="11" borderId="75" xfId="0" applyFill="1" applyBorder="1" applyAlignment="1">
      <alignment horizontal="center"/>
    </xf>
    <xf numFmtId="0" fontId="0" fillId="11" borderId="76" xfId="0" applyFill="1" applyBorder="1" applyAlignment="1">
      <alignment horizontal="center"/>
    </xf>
    <xf numFmtId="0" fontId="0" fillId="11" borderId="77" xfId="0" applyFill="1" applyBorder="1" applyAlignment="1">
      <alignment horizontal="center"/>
    </xf>
    <xf numFmtId="0" fontId="3" fillId="9" borderId="0" xfId="0" applyFont="1" applyFill="1" applyBorder="1" applyAlignment="1">
      <alignment horizontal="center" vertical="center"/>
    </xf>
    <xf numFmtId="0" fontId="3" fillId="6" borderId="0" xfId="0" applyFont="1" applyFill="1" applyBorder="1" applyAlignment="1">
      <alignment horizontal="center" vertical="center"/>
    </xf>
    <xf numFmtId="0" fontId="3" fillId="10" borderId="0" xfId="0" applyFont="1" applyFill="1" applyBorder="1" applyAlignment="1">
      <alignment horizontal="center" vertical="center"/>
    </xf>
    <xf numFmtId="0" fontId="0" fillId="5" borderId="32" xfId="0" applyFill="1" applyBorder="1" applyAlignment="1">
      <alignment horizontal="center"/>
    </xf>
    <xf numFmtId="0" fontId="0" fillId="5" borderId="45" xfId="0" applyFill="1" applyBorder="1" applyAlignment="1">
      <alignment horizontal="center"/>
    </xf>
    <xf numFmtId="0" fontId="11" fillId="5" borderId="64" xfId="0" applyFont="1" applyFill="1" applyBorder="1" applyAlignment="1">
      <alignment horizontal="center" vertical="center"/>
    </xf>
    <xf numFmtId="0" fontId="11" fillId="5" borderId="41" xfId="0" applyFont="1" applyFill="1" applyBorder="1" applyAlignment="1">
      <alignment horizontal="center" vertical="center"/>
    </xf>
    <xf numFmtId="0" fontId="0" fillId="5" borderId="21" xfId="0" applyFill="1" applyBorder="1" applyAlignment="1">
      <alignment horizontal="center"/>
    </xf>
    <xf numFmtId="0" fontId="0" fillId="5" borderId="42" xfId="0" applyFill="1" applyBorder="1" applyAlignment="1">
      <alignment horizontal="center"/>
    </xf>
    <xf numFmtId="0" fontId="0" fillId="5" borderId="25" xfId="0" applyFill="1" applyBorder="1" applyAlignment="1">
      <alignment horizontal="center"/>
    </xf>
    <xf numFmtId="0" fontId="0" fillId="5" borderId="24" xfId="0" applyFill="1" applyBorder="1" applyAlignment="1">
      <alignment horizontal="center"/>
    </xf>
    <xf numFmtId="0" fontId="0" fillId="5" borderId="65" xfId="0" applyFill="1" applyBorder="1" applyAlignment="1">
      <alignment horizontal="center"/>
    </xf>
    <xf numFmtId="0" fontId="0" fillId="5" borderId="66" xfId="0" applyFill="1" applyBorder="1" applyAlignment="1">
      <alignment horizontal="center"/>
    </xf>
    <xf numFmtId="0" fontId="0" fillId="5" borderId="43" xfId="0" applyFill="1" applyBorder="1" applyAlignment="1">
      <alignment horizontal="center"/>
    </xf>
    <xf numFmtId="0" fontId="0" fillId="5" borderId="31" xfId="0" applyFill="1" applyBorder="1" applyAlignment="1">
      <alignment horizontal="center"/>
    </xf>
    <xf numFmtId="0" fontId="0" fillId="5" borderId="67" xfId="0" applyFill="1" applyBorder="1" applyAlignment="1">
      <alignment horizontal="center"/>
    </xf>
    <xf numFmtId="0" fontId="0" fillId="5" borderId="68" xfId="0" applyFill="1" applyBorder="1" applyAlignment="1">
      <alignment horizontal="center"/>
    </xf>
    <xf numFmtId="0" fontId="0" fillId="5" borderId="35" xfId="0" applyFill="1" applyBorder="1" applyAlignment="1">
      <alignment horizontal="center"/>
    </xf>
    <xf numFmtId="0" fontId="0" fillId="5" borderId="69" xfId="0" applyFill="1" applyBorder="1" applyAlignment="1">
      <alignment horizontal="center"/>
    </xf>
    <xf numFmtId="0" fontId="0" fillId="5" borderId="70" xfId="0" applyFill="1" applyBorder="1" applyAlignment="1">
      <alignment horizontal="center"/>
    </xf>
    <xf numFmtId="0" fontId="11" fillId="5" borderId="14" xfId="0" applyFont="1" applyFill="1" applyBorder="1" applyAlignment="1">
      <alignment horizontal="center" vertical="center"/>
    </xf>
    <xf numFmtId="0" fontId="11" fillId="5" borderId="15" xfId="0" applyFont="1" applyFill="1" applyBorder="1" applyAlignment="1">
      <alignment horizontal="center" vertical="center"/>
    </xf>
    <xf numFmtId="0" fontId="0" fillId="5" borderId="29" xfId="0" applyFill="1" applyBorder="1" applyAlignment="1">
      <alignment horizontal="center"/>
    </xf>
    <xf numFmtId="0" fontId="0" fillId="5" borderId="28" xfId="0" applyFill="1" applyBorder="1" applyAlignment="1">
      <alignment horizontal="center"/>
    </xf>
    <xf numFmtId="0" fontId="0" fillId="5" borderId="30" xfId="0" applyFill="1" applyBorder="1" applyAlignment="1">
      <alignment horizontal="center"/>
    </xf>
    <xf numFmtId="0" fontId="0" fillId="5" borderId="34" xfId="0" applyFill="1" applyBorder="1" applyAlignment="1">
      <alignment horizontal="center"/>
    </xf>
    <xf numFmtId="0" fontId="0" fillId="5" borderId="44" xfId="0" applyFill="1" applyBorder="1" applyAlignment="1">
      <alignment horizontal="center"/>
    </xf>
    <xf numFmtId="0" fontId="0" fillId="5" borderId="22" xfId="0" applyFill="1" applyBorder="1" applyAlignment="1">
      <alignment horizontal="center"/>
    </xf>
    <xf numFmtId="0" fontId="0" fillId="5" borderId="23" xfId="0" applyFill="1" applyBorder="1" applyAlignment="1">
      <alignment horizontal="center"/>
    </xf>
    <xf numFmtId="0" fontId="0" fillId="5" borderId="27" xfId="0" applyFill="1" applyBorder="1" applyAlignment="1">
      <alignment horizontal="center"/>
    </xf>
    <xf numFmtId="0" fontId="0" fillId="0" borderId="0" xfId="0" applyAlignment="1">
      <alignment horizontal="center"/>
    </xf>
    <xf numFmtId="0" fontId="0" fillId="5" borderId="56" xfId="0" applyFill="1" applyBorder="1" applyAlignment="1">
      <alignment horizontal="center"/>
    </xf>
    <xf numFmtId="0" fontId="11" fillId="5" borderId="10" xfId="0" applyFont="1" applyFill="1" applyBorder="1" applyAlignment="1">
      <alignment horizontal="center" vertical="center"/>
    </xf>
    <xf numFmtId="0" fontId="11" fillId="5" borderId="8" xfId="0" applyFont="1" applyFill="1" applyBorder="1" applyAlignment="1">
      <alignment horizontal="center" vertical="center"/>
    </xf>
    <xf numFmtId="0" fontId="0" fillId="5" borderId="51" xfId="0" applyFill="1" applyBorder="1" applyAlignment="1">
      <alignment horizontal="center"/>
    </xf>
    <xf numFmtId="0" fontId="0" fillId="5" borderId="52" xfId="0" applyFill="1" applyBorder="1" applyAlignment="1">
      <alignment horizontal="center"/>
    </xf>
    <xf numFmtId="0" fontId="0" fillId="5" borderId="53" xfId="0" applyFill="1" applyBorder="1" applyAlignment="1">
      <alignment horizontal="center"/>
    </xf>
    <xf numFmtId="0" fontId="0" fillId="5" borderId="54" xfId="0" applyFill="1" applyBorder="1" applyAlignment="1">
      <alignment horizontal="center"/>
    </xf>
    <xf numFmtId="0" fontId="0" fillId="5" borderId="50" xfId="0" applyFill="1" applyBorder="1" applyAlignment="1">
      <alignment horizontal="center"/>
    </xf>
    <xf numFmtId="0" fontId="0" fillId="5" borderId="57" xfId="0" applyFill="1" applyBorder="1" applyAlignment="1">
      <alignment horizontal="center"/>
    </xf>
    <xf numFmtId="0" fontId="0" fillId="5" borderId="55" xfId="0" applyFill="1" applyBorder="1" applyAlignment="1">
      <alignment horizontal="center"/>
    </xf>
  </cellXfs>
  <cellStyles count="6">
    <cellStyle name="Hyperlink" xfId="2" builtinId="8"/>
    <cellStyle name="Normal" xfId="0" builtinId="0"/>
    <cellStyle name="Normal 2" xfId="5"/>
    <cellStyle name="Normal 4" xfId="3"/>
    <cellStyle name="Percent" xfId="1" builtinId="5"/>
    <cellStyle name="Percent 2" xfId="4"/>
  </cellStyles>
  <dxfs count="174">
    <dxf>
      <numFmt numFmtId="13" formatCode="0%"/>
    </dxf>
    <dxf>
      <numFmt numFmtId="13" formatCode="0%"/>
    </dxf>
    <dxf>
      <numFmt numFmtId="13" formatCode="0%"/>
    </dxf>
    <dxf>
      <numFmt numFmtId="2" formatCode="0.00"/>
    </dxf>
    <dxf>
      <numFmt numFmtId="2" formatCode="0.00"/>
    </dxf>
    <dxf>
      <numFmt numFmtId="13" formatCode="0%"/>
    </dxf>
    <dxf>
      <numFmt numFmtId="172" formatCode="0.000"/>
    </dxf>
    <dxf>
      <numFmt numFmtId="165" formatCode="0.0%"/>
    </dxf>
    <dxf>
      <numFmt numFmtId="165" formatCode="0.0%"/>
    </dxf>
    <dxf>
      <numFmt numFmtId="13" formatCode="0%"/>
    </dxf>
    <dxf>
      <numFmt numFmtId="165" formatCode="0.0%"/>
    </dxf>
    <dxf>
      <numFmt numFmtId="13" formatCode="0%"/>
    </dxf>
    <dxf>
      <numFmt numFmtId="165" formatCode="0.0%"/>
    </dxf>
    <dxf>
      <numFmt numFmtId="2" formatCode="0.00"/>
    </dxf>
    <dxf>
      <alignment horizontal="center"/>
    </dxf>
    <dxf>
      <numFmt numFmtId="13" formatCode="0%"/>
    </dxf>
    <dxf>
      <numFmt numFmtId="13" formatCode="0%"/>
    </dxf>
    <dxf>
      <numFmt numFmtId="13" formatCode="0%"/>
    </dxf>
    <dxf>
      <numFmt numFmtId="2" formatCode="0.00"/>
    </dxf>
    <dxf>
      <numFmt numFmtId="2" formatCode="0.00"/>
    </dxf>
    <dxf>
      <numFmt numFmtId="13" formatCode="0%"/>
    </dxf>
    <dxf>
      <numFmt numFmtId="172" formatCode="0.000"/>
    </dxf>
    <dxf>
      <numFmt numFmtId="165" formatCode="0.0%"/>
    </dxf>
    <dxf>
      <numFmt numFmtId="165" formatCode="0.0%"/>
    </dxf>
    <dxf>
      <numFmt numFmtId="13" formatCode="0%"/>
    </dxf>
    <dxf>
      <numFmt numFmtId="165" formatCode="0.0%"/>
    </dxf>
    <dxf>
      <numFmt numFmtId="13" formatCode="0%"/>
    </dxf>
    <dxf>
      <numFmt numFmtId="165" formatCode="0.0%"/>
    </dxf>
    <dxf>
      <numFmt numFmtId="2" formatCode="0.00"/>
    </dxf>
    <dxf>
      <alignment horizontal="center"/>
    </dxf>
    <dxf>
      <numFmt numFmtId="13" formatCode="0%"/>
    </dxf>
    <dxf>
      <numFmt numFmtId="13" formatCode="0%"/>
    </dxf>
    <dxf>
      <numFmt numFmtId="13" formatCode="0%"/>
    </dxf>
    <dxf>
      <numFmt numFmtId="2" formatCode="0.00"/>
    </dxf>
    <dxf>
      <numFmt numFmtId="2" formatCode="0.00"/>
    </dxf>
    <dxf>
      <numFmt numFmtId="13" formatCode="0%"/>
    </dxf>
    <dxf>
      <numFmt numFmtId="172" formatCode="0.000"/>
    </dxf>
    <dxf>
      <numFmt numFmtId="165" formatCode="0.0%"/>
    </dxf>
    <dxf>
      <numFmt numFmtId="165" formatCode="0.0%"/>
    </dxf>
    <dxf>
      <numFmt numFmtId="13" formatCode="0%"/>
    </dxf>
    <dxf>
      <numFmt numFmtId="165" formatCode="0.0%"/>
    </dxf>
    <dxf>
      <numFmt numFmtId="13" formatCode="0%"/>
    </dxf>
    <dxf>
      <numFmt numFmtId="165" formatCode="0.0%"/>
    </dxf>
    <dxf>
      <numFmt numFmtId="2" formatCode="0.00"/>
    </dxf>
    <dxf>
      <alignment horizontal="center"/>
    </dxf>
    <dxf>
      <numFmt numFmtId="13" formatCode="0%"/>
    </dxf>
    <dxf>
      <numFmt numFmtId="13" formatCode="0%"/>
    </dxf>
    <dxf>
      <numFmt numFmtId="13" formatCode="0%"/>
    </dxf>
    <dxf>
      <numFmt numFmtId="2" formatCode="0.00"/>
    </dxf>
    <dxf>
      <numFmt numFmtId="2" formatCode="0.00"/>
    </dxf>
    <dxf>
      <numFmt numFmtId="13" formatCode="0%"/>
    </dxf>
    <dxf>
      <numFmt numFmtId="172" formatCode="0.000"/>
    </dxf>
    <dxf>
      <numFmt numFmtId="165" formatCode="0.0%"/>
    </dxf>
    <dxf>
      <numFmt numFmtId="165" formatCode="0.0%"/>
    </dxf>
    <dxf>
      <numFmt numFmtId="13" formatCode="0%"/>
    </dxf>
    <dxf>
      <numFmt numFmtId="165" formatCode="0.0%"/>
    </dxf>
    <dxf>
      <numFmt numFmtId="13" formatCode="0%"/>
    </dxf>
    <dxf>
      <numFmt numFmtId="165" formatCode="0.0%"/>
    </dxf>
    <dxf>
      <numFmt numFmtId="2" formatCode="0.00"/>
    </dxf>
    <dxf>
      <alignment horizontal="center"/>
    </dxf>
    <dxf>
      <numFmt numFmtId="13" formatCode="0%"/>
    </dxf>
    <dxf>
      <numFmt numFmtId="13" formatCode="0%"/>
    </dxf>
    <dxf>
      <numFmt numFmtId="13" formatCode="0%"/>
    </dxf>
    <dxf>
      <numFmt numFmtId="2" formatCode="0.00"/>
    </dxf>
    <dxf>
      <numFmt numFmtId="2" formatCode="0.00"/>
    </dxf>
    <dxf>
      <numFmt numFmtId="13" formatCode="0%"/>
    </dxf>
    <dxf>
      <numFmt numFmtId="172" formatCode="0.000"/>
    </dxf>
    <dxf>
      <numFmt numFmtId="165" formatCode="0.0%"/>
    </dxf>
    <dxf>
      <numFmt numFmtId="165" formatCode="0.0%"/>
    </dxf>
    <dxf>
      <numFmt numFmtId="13" formatCode="0%"/>
    </dxf>
    <dxf>
      <numFmt numFmtId="165" formatCode="0.0%"/>
    </dxf>
    <dxf>
      <numFmt numFmtId="13" formatCode="0%"/>
    </dxf>
    <dxf>
      <numFmt numFmtId="165" formatCode="0.0%"/>
    </dxf>
    <dxf>
      <numFmt numFmtId="2" formatCode="0.00"/>
    </dxf>
    <dxf>
      <alignment horizontal="center"/>
    </dxf>
    <dxf>
      <numFmt numFmtId="13" formatCode="0%"/>
    </dxf>
    <dxf>
      <numFmt numFmtId="13" formatCode="0%"/>
    </dxf>
    <dxf>
      <numFmt numFmtId="13" formatCode="0%"/>
    </dxf>
    <dxf>
      <numFmt numFmtId="2" formatCode="0.00"/>
    </dxf>
    <dxf>
      <numFmt numFmtId="2" formatCode="0.00"/>
    </dxf>
    <dxf>
      <numFmt numFmtId="13" formatCode="0%"/>
    </dxf>
    <dxf>
      <numFmt numFmtId="172" formatCode="0.000"/>
    </dxf>
    <dxf>
      <numFmt numFmtId="165" formatCode="0.0%"/>
    </dxf>
    <dxf>
      <numFmt numFmtId="165" formatCode="0.0%"/>
    </dxf>
    <dxf>
      <numFmt numFmtId="13" formatCode="0%"/>
    </dxf>
    <dxf>
      <numFmt numFmtId="165" formatCode="0.0%"/>
    </dxf>
    <dxf>
      <numFmt numFmtId="13" formatCode="0%"/>
    </dxf>
    <dxf>
      <numFmt numFmtId="165" formatCode="0.0%"/>
    </dxf>
    <dxf>
      <numFmt numFmtId="2" formatCode="0.00"/>
    </dxf>
    <dxf>
      <alignment horizontal="center"/>
    </dxf>
    <dxf>
      <numFmt numFmtId="13" formatCode="0%"/>
    </dxf>
    <dxf>
      <numFmt numFmtId="13" formatCode="0%"/>
    </dxf>
    <dxf>
      <numFmt numFmtId="13" formatCode="0%"/>
    </dxf>
    <dxf>
      <numFmt numFmtId="2" formatCode="0.00"/>
    </dxf>
    <dxf>
      <numFmt numFmtId="2" formatCode="0.00"/>
    </dxf>
    <dxf>
      <numFmt numFmtId="13" formatCode="0%"/>
    </dxf>
    <dxf>
      <numFmt numFmtId="172" formatCode="0.000"/>
    </dxf>
    <dxf>
      <numFmt numFmtId="165" formatCode="0.0%"/>
    </dxf>
    <dxf>
      <numFmt numFmtId="165" formatCode="0.0%"/>
    </dxf>
    <dxf>
      <numFmt numFmtId="13" formatCode="0%"/>
    </dxf>
    <dxf>
      <numFmt numFmtId="165" formatCode="0.0%"/>
    </dxf>
    <dxf>
      <numFmt numFmtId="13" formatCode="0%"/>
    </dxf>
    <dxf>
      <numFmt numFmtId="165" formatCode="0.0%"/>
    </dxf>
    <dxf>
      <numFmt numFmtId="2" formatCode="0.00"/>
    </dxf>
    <dxf>
      <alignment horizontal="center"/>
    </dxf>
    <dxf>
      <numFmt numFmtId="13" formatCode="0%"/>
    </dxf>
    <dxf>
      <numFmt numFmtId="13" formatCode="0%"/>
    </dxf>
    <dxf>
      <numFmt numFmtId="13" formatCode="0%"/>
    </dxf>
    <dxf>
      <numFmt numFmtId="2" formatCode="0.00"/>
    </dxf>
    <dxf>
      <numFmt numFmtId="2" formatCode="0.00"/>
    </dxf>
    <dxf>
      <numFmt numFmtId="13" formatCode="0%"/>
    </dxf>
    <dxf>
      <numFmt numFmtId="172" formatCode="0.000"/>
    </dxf>
    <dxf>
      <numFmt numFmtId="165" formatCode="0.0%"/>
    </dxf>
    <dxf>
      <numFmt numFmtId="165" formatCode="0.0%"/>
    </dxf>
    <dxf>
      <numFmt numFmtId="13" formatCode="0%"/>
    </dxf>
    <dxf>
      <numFmt numFmtId="165" formatCode="0.0%"/>
    </dxf>
    <dxf>
      <numFmt numFmtId="13" formatCode="0%"/>
    </dxf>
    <dxf>
      <numFmt numFmtId="165" formatCode="0.0%"/>
    </dxf>
    <dxf>
      <numFmt numFmtId="2" formatCode="0.00"/>
    </dxf>
    <dxf>
      <alignment horizontal="center"/>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scheme val="minor"/>
      </font>
      <numFmt numFmtId="165"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5" formatCode="0.0%"/>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theme="8"/>
        </patternFill>
      </fill>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2" formatCode="0.00"/>
      <alignment horizontal="center" vertical="bottom" textRotation="0" wrapText="0" indent="0" justifyLastLine="0" shrinkToFit="0" readingOrder="0"/>
    </dxf>
    <dxf>
      <numFmt numFmtId="0" formatCode="General"/>
    </dxf>
    <dxf>
      <font>
        <b/>
        <i val="0"/>
        <strike val="0"/>
        <condense val="0"/>
        <extend val="0"/>
        <outline val="0"/>
        <shadow val="0"/>
        <u val="none"/>
        <vertAlign val="baseline"/>
        <sz val="11"/>
        <color theme="1"/>
        <name val="Calibri"/>
        <scheme val="minor"/>
      </font>
      <fill>
        <patternFill patternType="solid">
          <fgColor theme="4" tint="0.79998168889431442"/>
          <bgColor theme="4" tint="0.79998168889431442"/>
        </patternFill>
      </fill>
      <alignment horizontal="center" vertical="bottom" textRotation="0" wrapText="0" indent="0" justifyLastLine="0" shrinkToFit="0" readingOrder="0"/>
    </dxf>
    <dxf>
      <alignment horizontal="center"/>
    </dxf>
    <dxf>
      <numFmt numFmtId="2" formatCode="0.00"/>
    </dxf>
    <dxf>
      <numFmt numFmtId="165" formatCode="0.0%"/>
    </dxf>
    <dxf>
      <numFmt numFmtId="13" formatCode="0%"/>
    </dxf>
    <dxf>
      <numFmt numFmtId="165" formatCode="0.0%"/>
    </dxf>
    <dxf>
      <numFmt numFmtId="13" formatCode="0%"/>
    </dxf>
    <dxf>
      <numFmt numFmtId="165" formatCode="0.0%"/>
    </dxf>
    <dxf>
      <numFmt numFmtId="165" formatCode="0.0%"/>
    </dxf>
    <dxf>
      <numFmt numFmtId="172" formatCode="0.000"/>
    </dxf>
    <dxf>
      <numFmt numFmtId="13" formatCode="0%"/>
    </dxf>
    <dxf>
      <numFmt numFmtId="2" formatCode="0.00"/>
    </dxf>
    <dxf>
      <numFmt numFmtId="2" formatCode="0.00"/>
    </dxf>
    <dxf>
      <numFmt numFmtId="13" formatCode="0%"/>
    </dxf>
    <dxf>
      <numFmt numFmtId="13" formatCode="0%"/>
    </dxf>
    <dxf>
      <numFmt numFmtId="13" formatCode="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color theme="9"/>
      </font>
      <fill>
        <patternFill>
          <bgColor theme="9" tint="0.59996337778862885"/>
        </patternFill>
      </fill>
    </dxf>
    <dxf>
      <font>
        <color theme="5"/>
      </font>
      <fill>
        <patternFill>
          <bgColor theme="5" tint="0.59996337778862885"/>
        </patternFill>
      </fill>
    </dxf>
    <dxf>
      <font>
        <color theme="9"/>
      </font>
      <fill>
        <patternFill>
          <bgColor theme="9" tint="0.59996337778862885"/>
        </patternFill>
      </fill>
    </dxf>
    <dxf>
      <font>
        <color theme="5"/>
      </font>
      <fill>
        <patternFill>
          <bgColor theme="5" tint="0.59996337778862885"/>
        </patternFill>
      </fill>
    </dxf>
    <dxf>
      <font>
        <color theme="0"/>
      </font>
      <fill>
        <gradientFill degree="90">
          <stop position="0">
            <color rgb="FF7030A0"/>
          </stop>
          <stop position="1">
            <color rgb="FF00B0F0"/>
          </stop>
        </gradientFill>
      </fill>
    </dxf>
    <dxf>
      <fill>
        <gradientFill degree="90">
          <stop position="0">
            <color theme="0"/>
          </stop>
          <stop position="1">
            <color theme="8" tint="0.40000610370189521"/>
          </stop>
        </gradientFill>
      </fill>
    </dxf>
    <dxf>
      <fill>
        <patternFill>
          <bgColor theme="7" tint="0.79998168889431442"/>
        </patternFill>
      </fill>
      <border>
        <left style="thin">
          <color theme="0"/>
        </left>
        <right style="thin">
          <color theme="0"/>
        </right>
        <top style="thin">
          <color theme="0"/>
        </top>
        <bottom style="thin">
          <color theme="0"/>
        </bottom>
      </border>
    </dxf>
    <dxf>
      <border>
        <left style="thin">
          <color theme="0"/>
        </left>
        <right style="thin">
          <color theme="0"/>
        </right>
        <top style="thin">
          <color theme="0"/>
        </top>
        <bottom style="thin">
          <color theme="0"/>
        </bottom>
      </border>
    </dxf>
    <dxf>
      <fill>
        <patternFill>
          <bgColor theme="7" tint="0.79998168889431442"/>
        </patternFill>
      </fill>
    </dxf>
    <dxf>
      <fill>
        <patternFill>
          <fgColor theme="0" tint="-4.9989318521683403E-2"/>
          <bgColor theme="0" tint="-0.14996795556505021"/>
        </patternFill>
      </fill>
      <border>
        <left style="thin">
          <color theme="0"/>
        </left>
        <right style="thin">
          <color theme="0"/>
        </right>
        <top style="thin">
          <color theme="0"/>
        </top>
        <bottom style="thin">
          <color theme="0"/>
        </bottom>
      </border>
    </dxf>
  </dxfs>
  <tableStyles count="7" defaultTableStyle="TableStyleMedium2" defaultPivotStyle="PivotStyleLight16">
    <tableStyle name="Slicer Style 1" pivot="0" table="0" count="1">
      <tableStyleElement type="wholeTable" dxfId="173"/>
    </tableStyle>
    <tableStyle name="Slicer Style 2" pivot="0" table="0" count="1">
      <tableStyleElement type="wholeTable" dxfId="172"/>
    </tableStyle>
    <tableStyle name="Slicer Style 3" pivot="0" table="0" count="2">
      <tableStyleElement type="wholeTable" dxfId="171"/>
    </tableStyle>
    <tableStyle name="Slicer Style 4" pivot="0" table="0" count="1"/>
    <tableStyle name="Slicer Style 5" pivot="0" table="0" count="2">
      <tableStyleElement type="wholeTable" dxfId="170"/>
    </tableStyle>
    <tableStyle name="Slicer Style 6" pivot="0" table="0" count="1">
      <tableStyleElement type="wholeTable" dxfId="169"/>
    </tableStyle>
    <tableStyle name="Slicer Style 7" pivot="0" table="0" count="1">
      <tableStyleElement type="wholeTable" dxfId="168"/>
    </tableStyle>
  </tableStyles>
  <colors>
    <mruColors>
      <color rgb="FFB8469A"/>
      <color rgb="FFBF11C3"/>
      <color rgb="FFCC3300"/>
    </mruColors>
  </colors>
  <extLst>
    <ext xmlns:x14="http://schemas.microsoft.com/office/spreadsheetml/2009/9/main" uri="{46F421CA-312F-682f-3DD2-61675219B42D}">
      <x14:dxfs count="3">
        <dxf>
          <fill>
            <patternFill>
              <bgColor theme="7" tint="0.79998168889431442"/>
            </patternFill>
          </fill>
          <border>
            <left style="thin">
              <color theme="8" tint="0.59996337778862885"/>
            </left>
            <right style="thin">
              <color theme="8" tint="0.59996337778862885"/>
            </right>
            <top style="thin">
              <color theme="8" tint="0.59996337778862885"/>
            </top>
            <bottom style="thin">
              <color theme="8" tint="0.59996337778862885"/>
            </bottom>
          </border>
        </dxf>
        <dxf>
          <border>
            <left style="thin">
              <color theme="4"/>
            </left>
            <right style="thin">
              <color theme="4"/>
            </right>
            <top style="thin">
              <color theme="4"/>
            </top>
            <bottom style="thin">
              <color theme="4"/>
            </bottom>
          </border>
        </dxf>
        <dxf>
          <fill>
            <gradientFill degree="90">
              <stop position="0">
                <color theme="0"/>
              </stop>
              <stop position="1">
                <color theme="4"/>
              </stop>
            </gradient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2"/>
          </x14:slicerStyleElements>
        </x14:slicerStyle>
        <x14:slicerStyle name="Slicer Style 4">
          <x14:slicerStyleElements>
            <x14:slicerStyleElement type="selectedItemWithData" dxfId="1"/>
          </x14:slicerStyleElements>
        </x14:slicerStyle>
        <x14:slicerStyle name="Slicer Style 5">
          <x14:slicerStyleElements>
            <x14:slicerStyleElement type="selectedItemWithData" dxfId="0"/>
          </x14:slicerStyleElements>
        </x14:slicerStyle>
        <x14:slicerStyle name="Slicer Style 6"/>
        <x14:slicerStyle name="Slicer Style 7"/>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07/relationships/slicerCache" Target="slicerCaches/slicerCache2.xml"/><Relationship Id="rId30" Type="http://schemas.openxmlformats.org/officeDocument/2006/relationships/connections" Target="connection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7.xml"/><Relationship Id="rId1" Type="http://schemas.microsoft.com/office/2011/relationships/chartStyle" Target="style17.xml"/><Relationship Id="rId4" Type="http://schemas.openxmlformats.org/officeDocument/2006/relationships/chartUserShapes" Target="../drawings/drawing3.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4.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7.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bg1"/>
                </a:solidFill>
                <a:latin typeface="Arial Narrow" panose="020B0606020202030204" pitchFamily="34" charset="0"/>
                <a:ea typeface="+mn-ea"/>
                <a:cs typeface="+mn-cs"/>
              </a:defRPr>
            </a:pPr>
            <a:r>
              <a:rPr lang="en-IN">
                <a:solidFill>
                  <a:schemeClr val="bg1"/>
                </a:solidFill>
                <a:latin typeface="Arial Narrow" panose="020B0606020202030204" pitchFamily="34" charset="0"/>
              </a:rPr>
              <a:t>Live</a:t>
            </a:r>
            <a:r>
              <a:rPr lang="en-IN" baseline="0">
                <a:solidFill>
                  <a:schemeClr val="bg1"/>
                </a:solidFill>
                <a:latin typeface="Arial Narrow" panose="020B0606020202030204" pitchFamily="34" charset="0"/>
              </a:rPr>
              <a:t> Market Trade </a:t>
            </a:r>
            <a:endParaRPr lang="en-IN">
              <a:solidFill>
                <a:schemeClr val="bg1"/>
              </a:solidFill>
              <a:latin typeface="Arial Narrow" panose="020B0606020202030204" pitchFamily="34" charset="0"/>
            </a:endParaRPr>
          </a:p>
        </c:rich>
      </c:tx>
      <c:layout>
        <c:manualLayout>
          <c:xMode val="edge"/>
          <c:yMode val="edge"/>
          <c:x val="0.4128522195595115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Narrow" panose="020B0606020202030204" pitchFamily="34" charset="0"/>
              <a:ea typeface="+mn-ea"/>
              <a:cs typeface="+mn-cs"/>
            </a:defRPr>
          </a:pPr>
          <a:endParaRPr lang="en-US"/>
        </a:p>
      </c:txPr>
    </c:title>
    <c:autoTitleDeleted val="0"/>
    <c:plotArea>
      <c:layout/>
      <c:areaChart>
        <c:grouping val="standard"/>
        <c:varyColors val="0"/>
        <c:ser>
          <c:idx val="0"/>
          <c:order val="0"/>
          <c:tx>
            <c:strRef>
              <c:f>'NSE Poona'!$B$1</c:f>
              <c:strCache>
                <c:ptCount val="1"/>
                <c:pt idx="0">
                  <c:v>Nifty 50</c:v>
                </c:pt>
              </c:strCache>
            </c:strRef>
          </c:tx>
          <c:spPr>
            <a:solidFill>
              <a:srgbClr val="5B9BD5">
                <a:lumMod val="20000"/>
                <a:lumOff val="80000"/>
              </a:srgbClr>
            </a:solidFill>
            <a:ln w="12700">
              <a:solidFill>
                <a:sysClr val="window" lastClr="FFFFFF">
                  <a:lumMod val="50000"/>
                </a:sysClr>
              </a:solidFill>
              <a:prstDash val="dashDot"/>
            </a:ln>
            <a:effectLst/>
          </c:spPr>
          <c:dPt>
            <c:idx val="3"/>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1-C720-4C81-8F5C-D65656CB1F74}"/>
              </c:ext>
            </c:extLst>
          </c:dPt>
          <c:dPt>
            <c:idx val="6"/>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1-9F7B-4860-BEFA-D886B9FE965A}"/>
              </c:ext>
            </c:extLst>
          </c:dPt>
          <c:dPt>
            <c:idx val="7"/>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5-C720-4C81-8F5C-D65656CB1F74}"/>
              </c:ext>
            </c:extLst>
          </c:dPt>
          <c:dLbls>
            <c:dLbl>
              <c:idx val="16"/>
              <c:layout>
                <c:manualLayout>
                  <c:x val="-7.6004305873148721E-3"/>
                  <c:y val="-0.21365257739969584"/>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78F0-4C89-91C4-B385C7C725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20000"/>
                        <a:lumOff val="80000"/>
                      </a:schemeClr>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45781</c:v>
                </c:pt>
              </c:numCache>
            </c:numRef>
          </c:cat>
          <c:val>
            <c:numRef>
              <c:f>'NSE Poona'!$B$2:$B$18</c:f>
              <c:numCache>
                <c:formatCode>General</c:formatCode>
                <c:ptCount val="17"/>
                <c:pt idx="0">
                  <c:v>21725.7</c:v>
                </c:pt>
                <c:pt idx="1">
                  <c:v>21982.799999999999</c:v>
                </c:pt>
                <c:pt idx="2">
                  <c:v>22326.9</c:v>
                </c:pt>
                <c:pt idx="3">
                  <c:v>22604.85</c:v>
                </c:pt>
                <c:pt idx="4">
                  <c:v>22530.7</c:v>
                </c:pt>
                <c:pt idx="5">
                  <c:v>24010.6</c:v>
                </c:pt>
                <c:pt idx="6">
                  <c:v>24951.15</c:v>
                </c:pt>
                <c:pt idx="7">
                  <c:v>25235.9</c:v>
                </c:pt>
                <c:pt idx="8">
                  <c:v>25810.85</c:v>
                </c:pt>
                <c:pt idx="9">
                  <c:v>24205.35</c:v>
                </c:pt>
                <c:pt idx="10">
                  <c:v>24131.1</c:v>
                </c:pt>
                <c:pt idx="11">
                  <c:v>23644.799999999999</c:v>
                </c:pt>
                <c:pt idx="12">
                  <c:v>23494.6</c:v>
                </c:pt>
                <c:pt idx="13">
                  <c:v>22124.7</c:v>
                </c:pt>
                <c:pt idx="14">
                  <c:v>23519.35</c:v>
                </c:pt>
                <c:pt idx="15">
                  <c:v>24334.2</c:v>
                </c:pt>
                <c:pt idx="16">
                  <c:v>23632.85</c:v>
                </c:pt>
              </c:numCache>
            </c:numRef>
          </c:val>
          <c:extLst>
            <c:ext xmlns:c16="http://schemas.microsoft.com/office/drawing/2014/chart" uri="{C3380CC4-5D6E-409C-BE32-E72D297353CC}">
              <c16:uniqueId val="{00000007-9F7B-4860-BEFA-D886B9FE965A}"/>
            </c:ext>
          </c:extLst>
        </c:ser>
        <c:dLbls>
          <c:showLegendKey val="0"/>
          <c:showVal val="1"/>
          <c:showCatName val="0"/>
          <c:showSerName val="0"/>
          <c:showPercent val="0"/>
          <c:showBubbleSize val="0"/>
        </c:dLbls>
        <c:axId val="2110906655"/>
        <c:axId val="666570544"/>
      </c:areaChart>
      <c:lineChart>
        <c:grouping val="standard"/>
        <c:varyColors val="0"/>
        <c:ser>
          <c:idx val="1"/>
          <c:order val="1"/>
          <c:tx>
            <c:strRef>
              <c:f>'NSE Poona'!$C$1</c:f>
              <c:strCache>
                <c:ptCount val="1"/>
                <c:pt idx="0">
                  <c:v>Poonawalla Fincorp</c:v>
                </c:pt>
              </c:strCache>
            </c:strRef>
          </c:tx>
          <c:spPr>
            <a:ln w="28575" cap="rnd">
              <a:solidFill>
                <a:srgbClr val="5B9BD5"/>
              </a:solidFill>
              <a:prstDash val="lgDashDotDot"/>
              <a:round/>
            </a:ln>
            <a:effectLst/>
          </c:spPr>
          <c:marker>
            <c:symbol val="none"/>
          </c:marker>
          <c:dPt>
            <c:idx val="2"/>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0D-9F7B-4860-BEFA-D886B9FE965A}"/>
              </c:ext>
            </c:extLst>
          </c:dPt>
          <c:dPt>
            <c:idx val="3"/>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0F-9F7B-4860-BEFA-D886B9FE965A}"/>
              </c:ext>
            </c:extLst>
          </c:dPt>
          <c:dPt>
            <c:idx val="4"/>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1-9F7B-4860-BEFA-D886B9FE965A}"/>
              </c:ext>
            </c:extLst>
          </c:dPt>
          <c:dPt>
            <c:idx val="5"/>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3-9F7B-4860-BEFA-D886B9FE965A}"/>
              </c:ext>
            </c:extLst>
          </c:dPt>
          <c:dPt>
            <c:idx val="6"/>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5-9F7B-4860-BEFA-D886B9FE965A}"/>
              </c:ext>
            </c:extLst>
          </c:dPt>
          <c:dPt>
            <c:idx val="7"/>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1-C720-4C81-8F5C-D65656CB1F74}"/>
              </c:ext>
            </c:extLst>
          </c:dPt>
          <c:dPt>
            <c:idx val="8"/>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3-C720-4C81-8F5C-D65656CB1F74}"/>
              </c:ext>
            </c:extLst>
          </c:dPt>
          <c:dPt>
            <c:idx val="9"/>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7-9F7B-4860-BEFA-D886B9FE965A}"/>
              </c:ext>
            </c:extLst>
          </c:dPt>
          <c:dPt>
            <c:idx val="10"/>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9-9F7B-4860-BEFA-D886B9FE965A}"/>
              </c:ext>
            </c:extLst>
          </c:dPt>
          <c:dPt>
            <c:idx val="11"/>
            <c:marker>
              <c:symbol val="none"/>
            </c:marker>
            <c:bubble3D val="0"/>
            <c:spPr>
              <a:ln w="28575" cap="rnd">
                <a:solidFill>
                  <a:srgbClr val="5B9BD5"/>
                </a:solidFill>
                <a:prstDash val="lgDashDotDot"/>
                <a:round/>
              </a:ln>
              <a:effectLst/>
            </c:spPr>
            <c:extLst>
              <c:ext xmlns:c16="http://schemas.microsoft.com/office/drawing/2014/chart" uri="{C3380CC4-5D6E-409C-BE32-E72D297353CC}">
                <c16:uniqueId val="{0000001B-9F7B-4860-BEFA-D886B9FE965A}"/>
              </c:ext>
            </c:extLst>
          </c:dPt>
          <c:dLbls>
            <c:dLbl>
              <c:idx val="16"/>
              <c:layout>
                <c:manualLayout>
                  <c:x val="-1.5499392962067203E-2"/>
                  <c:y val="4.1407698918894467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B-78F0-4C89-91C4-B385C7C7257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40000"/>
                        <a:lumOff val="60000"/>
                      </a:schemeClr>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45781</c:v>
                </c:pt>
              </c:numCache>
            </c:numRef>
          </c:cat>
          <c:val>
            <c:numRef>
              <c:f>'NSE Poona'!$C$2:$C$18</c:f>
              <c:numCache>
                <c:formatCode>General</c:formatCode>
                <c:ptCount val="17"/>
                <c:pt idx="0">
                  <c:v>478.3</c:v>
                </c:pt>
                <c:pt idx="1">
                  <c:v>467</c:v>
                </c:pt>
                <c:pt idx="2">
                  <c:v>465.6</c:v>
                </c:pt>
                <c:pt idx="3">
                  <c:v>490.65</c:v>
                </c:pt>
                <c:pt idx="4">
                  <c:v>449.1</c:v>
                </c:pt>
                <c:pt idx="5">
                  <c:v>409.1</c:v>
                </c:pt>
                <c:pt idx="6">
                  <c:v>369.05</c:v>
                </c:pt>
                <c:pt idx="7">
                  <c:v>387.3</c:v>
                </c:pt>
                <c:pt idx="8">
                  <c:v>394.45</c:v>
                </c:pt>
                <c:pt idx="9">
                  <c:v>374.5</c:v>
                </c:pt>
                <c:pt idx="10">
                  <c:v>354.45</c:v>
                </c:pt>
                <c:pt idx="11">
                  <c:v>314.35000000000002</c:v>
                </c:pt>
                <c:pt idx="12">
                  <c:v>310.85000000000002</c:v>
                </c:pt>
                <c:pt idx="13">
                  <c:v>281.3</c:v>
                </c:pt>
                <c:pt idx="14">
                  <c:v>350.45</c:v>
                </c:pt>
                <c:pt idx="15">
                  <c:v>375.25</c:v>
                </c:pt>
                <c:pt idx="16">
                  <c:v>348.5</c:v>
                </c:pt>
              </c:numCache>
            </c:numRef>
          </c:val>
          <c:smooth val="0"/>
          <c:extLst>
            <c:ext xmlns:c16="http://schemas.microsoft.com/office/drawing/2014/chart" uri="{C3380CC4-5D6E-409C-BE32-E72D297353CC}">
              <c16:uniqueId val="{0000001D-9F7B-4860-BEFA-D886B9FE965A}"/>
            </c:ext>
          </c:extLst>
        </c:ser>
        <c:dLbls>
          <c:showLegendKey val="0"/>
          <c:showVal val="1"/>
          <c:showCatName val="0"/>
          <c:showSerName val="0"/>
          <c:showPercent val="0"/>
          <c:showBubbleSize val="0"/>
        </c:dLbls>
        <c:marker val="1"/>
        <c:smooth val="0"/>
        <c:axId val="1959412255"/>
        <c:axId val="1329809295"/>
      </c:lineChart>
      <c:dateAx>
        <c:axId val="2110906655"/>
        <c:scaling>
          <c:orientation val="minMax"/>
        </c:scaling>
        <c:delete val="0"/>
        <c:axPos val="b"/>
        <c:majorGridlines>
          <c:spPr>
            <a:ln w="9525" cap="flat" cmpd="sng" algn="ctr">
              <a:solidFill>
                <a:srgbClr val="5B9BD5"/>
              </a:solidFill>
              <a:prstDash val="sysDot"/>
              <a:round/>
            </a:ln>
            <a:effectLst/>
          </c:spPr>
        </c:majorGridlines>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Bahnschrift Condensed" panose="020B0502040204020203" pitchFamily="34" charset="0"/>
                <a:ea typeface="+mn-ea"/>
                <a:cs typeface="+mn-cs"/>
              </a:defRPr>
            </a:pPr>
            <a:endParaRPr lang="en-US"/>
          </a:p>
        </c:txPr>
        <c:crossAx val="666570544"/>
        <c:crosses val="autoZero"/>
        <c:auto val="1"/>
        <c:lblOffset val="100"/>
        <c:baseTimeUnit val="months"/>
      </c:dateAx>
      <c:valAx>
        <c:axId val="666570544"/>
        <c:scaling>
          <c:orientation val="minMax"/>
        </c:scaling>
        <c:delete val="0"/>
        <c:axPos val="l"/>
        <c:majorGridlines>
          <c:spPr>
            <a:ln w="9525" cap="flat" cmpd="sng" algn="ctr">
              <a:solidFill>
                <a:srgbClr val="70AD47">
                  <a:lumMod val="75000"/>
                </a:srgb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Bahnschrift Light" panose="020B0502040204020203" pitchFamily="34" charset="0"/>
                <a:ea typeface="+mn-ea"/>
                <a:cs typeface="+mn-cs"/>
              </a:defRPr>
            </a:pPr>
            <a:endParaRPr lang="en-US"/>
          </a:p>
        </c:txPr>
        <c:crossAx val="2110906655"/>
        <c:crosses val="autoZero"/>
        <c:crossBetween val="between"/>
      </c:valAx>
      <c:valAx>
        <c:axId val="132980929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5">
                    <a:lumMod val="20000"/>
                    <a:lumOff val="80000"/>
                  </a:schemeClr>
                </a:solidFill>
                <a:latin typeface="+mn-lt"/>
                <a:ea typeface="+mn-ea"/>
                <a:cs typeface="+mn-cs"/>
              </a:defRPr>
            </a:pPr>
            <a:endParaRPr lang="en-US"/>
          </a:p>
        </c:txPr>
        <c:crossAx val="1959412255"/>
        <c:crosses val="max"/>
        <c:crossBetween val="between"/>
      </c:valAx>
      <c:dateAx>
        <c:axId val="1959412255"/>
        <c:scaling>
          <c:orientation val="minMax"/>
        </c:scaling>
        <c:delete val="1"/>
        <c:axPos val="b"/>
        <c:numFmt formatCode="mmm\-yy" sourceLinked="1"/>
        <c:majorTickMark val="out"/>
        <c:minorTickMark val="none"/>
        <c:tickLblPos val="nextTo"/>
        <c:crossAx val="1329809295"/>
        <c:crosses val="autoZero"/>
        <c:auto val="1"/>
        <c:lblOffset val="100"/>
        <c:baseTimeUnit val="months"/>
      </c:date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Bahnschrift Light" panose="020B0502040204020203" pitchFamily="34" charset="0"/>
              <a:ea typeface="+mn-ea"/>
              <a:cs typeface="+mn-cs"/>
            </a:defRPr>
          </a:pPr>
          <a:endParaRPr lang="en-US"/>
        </a:p>
      </c:txPr>
    </c:legend>
    <c:plotVisOnly val="1"/>
    <c:dispBlanksAs val="gap"/>
    <c:showDLblsOverMax val="0"/>
  </c:chart>
  <c:spPr>
    <a:solidFill>
      <a:srgbClr val="5B9BD5">
        <a:lumMod val="50000"/>
      </a:srgbClr>
    </a:solidFill>
    <a:ln w="9525" cap="flat" cmpd="sng" algn="ctr">
      <a:solidFill>
        <a:srgbClr val="44546A"/>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bar"/>
        <c:grouping val="clustered"/>
        <c:varyColors val="0"/>
        <c:ser>
          <c:idx val="0"/>
          <c:order val="0"/>
          <c:tx>
            <c:strRef>
              <c:f>'Automation Working'!$B$53</c:f>
              <c:strCache>
                <c:ptCount val="1"/>
                <c:pt idx="0">
                  <c:v>2021</c:v>
                </c:pt>
              </c:strCache>
            </c:strRef>
          </c:tx>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Arial Narrow" panose="020B0606020202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Working'!$B$54:$B$56</c:f>
              <c:numCache>
                <c:formatCode>General</c:formatCode>
                <c:ptCount val="3"/>
                <c:pt idx="0">
                  <c:v>14225</c:v>
                </c:pt>
                <c:pt idx="1">
                  <c:v>3680</c:v>
                </c:pt>
                <c:pt idx="2" formatCode="0.0%">
                  <c:v>8.2000000000000003E-2</c:v>
                </c:pt>
              </c:numCache>
            </c:numRef>
          </c:val>
          <c:extLst>
            <c:ext xmlns:c16="http://schemas.microsoft.com/office/drawing/2014/chart" uri="{C3380CC4-5D6E-409C-BE32-E72D297353CC}">
              <c16:uniqueId val="{00000000-7DC3-49B7-AA3A-AD94D5AC99DE}"/>
            </c:ext>
          </c:extLst>
        </c:ser>
        <c:ser>
          <c:idx val="1"/>
          <c:order val="1"/>
          <c:tx>
            <c:strRef>
              <c:f>'Automation Working'!$C$53</c:f>
              <c:strCache>
                <c:ptCount val="1"/>
                <c:pt idx="0">
                  <c:v>2022</c:v>
                </c:pt>
              </c:strCache>
            </c:strRef>
          </c:tx>
          <c:spPr>
            <a:gradFill flip="none" rotWithShape="1">
              <a:gsLst>
                <a:gs pos="0">
                  <a:srgbClr val="A5A5A5">
                    <a:lumMod val="20000"/>
                    <a:lumOff val="80000"/>
                    <a:shade val="30000"/>
                    <a:satMod val="115000"/>
                  </a:srgbClr>
                </a:gs>
                <a:gs pos="50000">
                  <a:srgbClr val="A5A5A5">
                    <a:lumMod val="20000"/>
                    <a:lumOff val="80000"/>
                    <a:shade val="67500"/>
                    <a:satMod val="115000"/>
                  </a:srgbClr>
                </a:gs>
                <a:gs pos="100000">
                  <a:srgbClr val="A5A5A5">
                    <a:lumMod val="20000"/>
                    <a:lumOff val="80000"/>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Working'!$C$54:$C$56</c:f>
              <c:numCache>
                <c:formatCode>General</c:formatCode>
                <c:ptCount val="3"/>
                <c:pt idx="0">
                  <c:v>16579</c:v>
                </c:pt>
                <c:pt idx="1">
                  <c:v>9494</c:v>
                </c:pt>
                <c:pt idx="2" formatCode="0.0%">
                  <c:v>8.8999999999999996E-2</c:v>
                </c:pt>
              </c:numCache>
            </c:numRef>
          </c:val>
          <c:extLst>
            <c:ext xmlns:c16="http://schemas.microsoft.com/office/drawing/2014/chart" uri="{C3380CC4-5D6E-409C-BE32-E72D297353CC}">
              <c16:uniqueId val="{00000001-7DC3-49B7-AA3A-AD94D5AC99DE}"/>
            </c:ext>
          </c:extLst>
        </c:ser>
        <c:ser>
          <c:idx val="2"/>
          <c:order val="2"/>
          <c:tx>
            <c:strRef>
              <c:f>'Automation Working'!$D$53</c:f>
              <c:strCache>
                <c:ptCount val="1"/>
                <c:pt idx="0">
                  <c:v>2023</c:v>
                </c:pt>
              </c:strCache>
            </c:strRef>
          </c:tx>
          <c:spPr>
            <a:gradFill flip="none" rotWithShape="1">
              <a:gsLst>
                <a:gs pos="0">
                  <a:srgbClr val="5B9BD5">
                    <a:lumMod val="75000"/>
                    <a:shade val="30000"/>
                    <a:satMod val="115000"/>
                  </a:srgbClr>
                </a:gs>
                <a:gs pos="50000">
                  <a:srgbClr val="5B9BD5">
                    <a:lumMod val="75000"/>
                    <a:shade val="67500"/>
                    <a:satMod val="115000"/>
                  </a:srgbClr>
                </a:gs>
                <a:gs pos="100000">
                  <a:srgbClr val="5B9BD5">
                    <a:lumMod val="75000"/>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Working'!$D$54:$D$56</c:f>
              <c:numCache>
                <c:formatCode>General</c:formatCode>
                <c:ptCount val="3"/>
                <c:pt idx="0">
                  <c:v>16143</c:v>
                </c:pt>
                <c:pt idx="1">
                  <c:v>15198</c:v>
                </c:pt>
                <c:pt idx="2" formatCode="0.0%">
                  <c:v>0.107</c:v>
                </c:pt>
              </c:numCache>
            </c:numRef>
          </c:val>
          <c:extLst>
            <c:ext xmlns:c16="http://schemas.microsoft.com/office/drawing/2014/chart" uri="{C3380CC4-5D6E-409C-BE32-E72D297353CC}">
              <c16:uniqueId val="{00000002-7DC3-49B7-AA3A-AD94D5AC99DE}"/>
            </c:ext>
          </c:extLst>
        </c:ser>
        <c:dLbls>
          <c:showLegendKey val="0"/>
          <c:showVal val="0"/>
          <c:showCatName val="0"/>
          <c:showSerName val="0"/>
          <c:showPercent val="0"/>
          <c:showBubbleSize val="0"/>
        </c:dLbls>
        <c:gapWidth val="182"/>
        <c:axId val="485539263"/>
        <c:axId val="1865290095"/>
      </c:barChart>
      <c:catAx>
        <c:axId val="4855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50000"/>
                  </a:schemeClr>
                </a:solidFill>
                <a:latin typeface="Bahnschrift Condensed" panose="020B0502040204020203" pitchFamily="34" charset="0"/>
                <a:ea typeface="+mn-ea"/>
                <a:cs typeface="+mn-cs"/>
              </a:defRPr>
            </a:pPr>
            <a:endParaRPr lang="en-US"/>
          </a:p>
        </c:txPr>
        <c:crossAx val="1865290095"/>
        <c:crosses val="autoZero"/>
        <c:auto val="1"/>
        <c:lblAlgn val="ctr"/>
        <c:lblOffset val="100"/>
        <c:noMultiLvlLbl val="0"/>
      </c:catAx>
      <c:valAx>
        <c:axId val="1865290095"/>
        <c:scaling>
          <c:orientation val="minMax"/>
        </c:scaling>
        <c:delete val="0"/>
        <c:axPos val="b"/>
        <c:majorGridlines>
          <c:spPr>
            <a:ln w="9525" cap="flat" cmpd="sng" algn="ctr">
              <a:solidFill>
                <a:schemeClr val="bg1">
                  <a:lumMod val="9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3926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'Automation Working'!$B$107</c:f>
              <c:strCache>
                <c:ptCount val="1"/>
                <c:pt idx="0">
                  <c:v>2021</c:v>
                </c:pt>
              </c:strCache>
            </c:strRef>
          </c:tx>
          <c:spPr>
            <a:gradFill flip="none" rotWithShape="1">
              <a:gsLst>
                <a:gs pos="0">
                  <a:schemeClr val="accent6">
                    <a:lumMod val="40000"/>
                    <a:lumOff val="60000"/>
                    <a:tint val="66000"/>
                    <a:satMod val="160000"/>
                    <a:shade val="30000"/>
                    <a:satMod val="115000"/>
                  </a:schemeClr>
                </a:gs>
                <a:gs pos="50000">
                  <a:schemeClr val="accent6">
                    <a:lumMod val="40000"/>
                    <a:lumOff val="60000"/>
                    <a:tint val="66000"/>
                    <a:satMod val="160000"/>
                    <a:shade val="67500"/>
                    <a:satMod val="115000"/>
                  </a:schemeClr>
                </a:gs>
                <a:gs pos="100000">
                  <a:schemeClr val="accent6">
                    <a:lumMod val="40000"/>
                    <a:lumOff val="60000"/>
                    <a:tint val="66000"/>
                    <a:satMod val="160000"/>
                    <a:shade val="100000"/>
                    <a:satMod val="115000"/>
                  </a:schemeClr>
                </a:gs>
              </a:gsLst>
              <a:path path="circle">
                <a:fillToRect l="100000" t="100000"/>
              </a:path>
              <a:tileRect r="-100000" b="-100000"/>
            </a:gradFill>
            <a:ln>
              <a:noFill/>
            </a:ln>
            <a:effectLst/>
          </c:spPr>
          <c:invertIfNegative val="0"/>
          <c:dLbls>
            <c:dLbl>
              <c:idx val="0"/>
              <c:layout>
                <c:manualLayout>
                  <c:x val="1.8025749001806407E-3"/>
                  <c:y val="2.3745607880550242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EAF-4382-8798-22779F364948}"/>
                </c:ext>
              </c:extLst>
            </c:dLbl>
            <c:dLbl>
              <c:idx val="1"/>
              <c:layout>
                <c:manualLayout>
                  <c:x val="3.6051498003612814E-3"/>
                  <c:y val="2.7845895351167174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EAF-4382-8798-22779F364948}"/>
                </c:ext>
              </c:extLst>
            </c:dLbl>
            <c:dLbl>
              <c:idx val="3"/>
              <c:layout>
                <c:manualLayout>
                  <c:x val="0"/>
                  <c:y val="1.1016397082996841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C-BEAF-4382-8798-22779F364948}"/>
                </c:ext>
              </c:extLst>
            </c:dLbl>
            <c:dLbl>
              <c:idx val="4"/>
              <c:layout>
                <c:manualLayout>
                  <c:x val="7.2102996007224968E-3"/>
                  <c:y val="1.1016397082996841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BEAF-4382-8798-22779F364948}"/>
                </c:ext>
              </c:extLst>
            </c:dLbl>
            <c:dLbl>
              <c:idx val="5"/>
              <c:layout>
                <c:manualLayout>
                  <c:x val="9.0128745009032032E-3"/>
                  <c:y val="1.1321299726671912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BEAF-4382-8798-22779F36494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Working'!$B$108:$B$113</c:f>
              <c:numCache>
                <c:formatCode>0%</c:formatCode>
                <c:ptCount val="6"/>
                <c:pt idx="0">
                  <c:v>0.61499999999999999</c:v>
                </c:pt>
                <c:pt idx="1">
                  <c:v>3.0800000000000001E-2</c:v>
                </c:pt>
                <c:pt idx="2">
                  <c:v>2.4700000000000003E-2</c:v>
                </c:pt>
                <c:pt idx="3">
                  <c:v>0</c:v>
                </c:pt>
                <c:pt idx="4">
                  <c:v>1.4199999999999999E-2</c:v>
                </c:pt>
                <c:pt idx="5">
                  <c:v>1.1399999999999999E-2</c:v>
                </c:pt>
              </c:numCache>
            </c:numRef>
          </c:val>
          <c:extLst>
            <c:ext xmlns:c16="http://schemas.microsoft.com/office/drawing/2014/chart" uri="{C3380CC4-5D6E-409C-BE32-E72D297353CC}">
              <c16:uniqueId val="{00000000-BEAF-4382-8798-22779F364948}"/>
            </c:ext>
          </c:extLst>
        </c:ser>
        <c:ser>
          <c:idx val="1"/>
          <c:order val="1"/>
          <c:tx>
            <c:strRef>
              <c:f>'Automation Working'!$C$107</c:f>
              <c:strCache>
                <c:ptCount val="1"/>
                <c:pt idx="0">
                  <c:v>2022</c:v>
                </c:pt>
              </c:strCache>
            </c:strRef>
          </c:tx>
          <c:spPr>
            <a:gradFill flip="none" rotWithShape="1">
              <a:gsLst>
                <a:gs pos="0">
                  <a:srgbClr val="00B0F0">
                    <a:tint val="66000"/>
                    <a:satMod val="160000"/>
                    <a:shade val="30000"/>
                    <a:satMod val="115000"/>
                  </a:srgbClr>
                </a:gs>
                <a:gs pos="50000">
                  <a:srgbClr val="00B0F0">
                    <a:tint val="66000"/>
                    <a:satMod val="160000"/>
                    <a:shade val="67500"/>
                    <a:satMod val="115000"/>
                  </a:srgbClr>
                </a:gs>
                <a:gs pos="100000">
                  <a:srgbClr val="00B0F0">
                    <a:tint val="66000"/>
                    <a:satMod val="160000"/>
                    <a:shade val="100000"/>
                    <a:satMod val="115000"/>
                  </a:srgbClr>
                </a:gs>
              </a:gsLst>
              <a:lin ang="18900000" scaled="1"/>
              <a:tileRect/>
            </a:gradFill>
            <a:ln>
              <a:noFill/>
            </a:ln>
            <a:effectLst/>
          </c:spPr>
          <c:invertIfNegative val="0"/>
          <c:dLbls>
            <c:dLbl>
              <c:idx val="1"/>
              <c:layout>
                <c:manualLayout>
                  <c:x val="9.0128745009031373E-3"/>
                  <c:y val="1.1016397082996841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BEAF-4382-8798-22779F364948}"/>
                </c:ext>
              </c:extLst>
            </c:dLbl>
            <c:dLbl>
              <c:idx val="2"/>
              <c:layout>
                <c:manualLayout>
                  <c:x val="5.4077247005419223E-3"/>
                  <c:y val="-1.6524595624495313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D-BEAF-4382-8798-22779F36494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5"/>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Working'!$C$108:$C$113</c:f>
              <c:numCache>
                <c:formatCode>0%</c:formatCode>
                <c:ptCount val="6"/>
                <c:pt idx="0">
                  <c:v>0.62139999999999995</c:v>
                </c:pt>
                <c:pt idx="1">
                  <c:v>2.6499999999999999E-2</c:v>
                </c:pt>
                <c:pt idx="2">
                  <c:v>2.2799999999999997E-2</c:v>
                </c:pt>
                <c:pt idx="3">
                  <c:v>0</c:v>
                </c:pt>
                <c:pt idx="4">
                  <c:v>1.3000000000000001E-2</c:v>
                </c:pt>
                <c:pt idx="5">
                  <c:v>1.1399999999999999E-2</c:v>
                </c:pt>
              </c:numCache>
            </c:numRef>
          </c:val>
          <c:extLst>
            <c:ext xmlns:c16="http://schemas.microsoft.com/office/drawing/2014/chart" uri="{C3380CC4-5D6E-409C-BE32-E72D297353CC}">
              <c16:uniqueId val="{00000001-BEAF-4382-8798-22779F364948}"/>
            </c:ext>
          </c:extLst>
        </c:ser>
        <c:ser>
          <c:idx val="2"/>
          <c:order val="2"/>
          <c:tx>
            <c:strRef>
              <c:f>'Automation Working'!$D$107</c:f>
              <c:strCache>
                <c:ptCount val="1"/>
                <c:pt idx="0">
                  <c:v>2023</c:v>
                </c:pt>
              </c:strCache>
            </c:strRef>
          </c:tx>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lin ang="18900000" scaled="1"/>
              <a:tileRect/>
            </a:gradFill>
            <a:ln>
              <a:noFill/>
            </a:ln>
            <a:effectLst/>
          </c:spPr>
          <c:invertIfNegative val="0"/>
          <c:dLbls>
            <c:dLbl>
              <c:idx val="0"/>
              <c:layout>
                <c:manualLayout>
                  <c:x val="0"/>
                  <c:y val="-3.6111594269236158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EAF-4382-8798-22779F364948}"/>
                </c:ext>
              </c:extLst>
            </c:dLbl>
            <c:dLbl>
              <c:idx val="3"/>
              <c:layout>
                <c:manualLayout>
                  <c:x val="5.4077247005419223E-3"/>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B-BEAF-4382-8798-22779F364948}"/>
                </c:ext>
              </c:extLst>
            </c:dLbl>
            <c:dLbl>
              <c:idx val="4"/>
              <c:layout>
                <c:manualLayout>
                  <c:x val="-7.2102996007225627E-3"/>
                  <c:y val="-2.5245618342330379E-17"/>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E-BEAF-4382-8798-22779F364948}"/>
                </c:ext>
              </c:extLst>
            </c:dLbl>
            <c:dLbl>
              <c:idx val="5"/>
              <c:layout>
                <c:manualLayout>
                  <c:x val="9.0128745009032032E-3"/>
                  <c:y val="-1.1016397082996841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BEAF-4382-8798-22779F364948}"/>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Working'!$D$108:$D$113</c:f>
              <c:numCache>
                <c:formatCode>0%</c:formatCode>
                <c:ptCount val="6"/>
                <c:pt idx="0">
                  <c:v>0.62130000000000007</c:v>
                </c:pt>
                <c:pt idx="1">
                  <c:v>2.2000000000000002E-2</c:v>
                </c:pt>
                <c:pt idx="2">
                  <c:v>0</c:v>
                </c:pt>
                <c:pt idx="3">
                  <c:v>1.9099999999999999E-2</c:v>
                </c:pt>
                <c:pt idx="4">
                  <c:v>0</c:v>
                </c:pt>
                <c:pt idx="5">
                  <c:v>1.1299999999999999E-2</c:v>
                </c:pt>
              </c:numCache>
            </c:numRef>
          </c:val>
          <c:extLst>
            <c:ext xmlns:c16="http://schemas.microsoft.com/office/drawing/2014/chart" uri="{C3380CC4-5D6E-409C-BE32-E72D297353CC}">
              <c16:uniqueId val="{00000002-BEAF-4382-8798-22779F364948}"/>
            </c:ext>
          </c:extLst>
        </c:ser>
        <c:dLbls>
          <c:dLblPos val="outEnd"/>
          <c:showLegendKey val="0"/>
          <c:showVal val="1"/>
          <c:showCatName val="0"/>
          <c:showSerName val="0"/>
          <c:showPercent val="0"/>
          <c:showBubbleSize val="0"/>
        </c:dLbls>
        <c:gapWidth val="182"/>
        <c:axId val="2050609872"/>
        <c:axId val="2056403184"/>
      </c:barChart>
      <c:catAx>
        <c:axId val="2050609872"/>
        <c:scaling>
          <c:orientation val="minMax"/>
        </c:scaling>
        <c:delete val="0"/>
        <c:axPos val="l"/>
        <c:numFmt formatCode="General" sourceLinked="1"/>
        <c:majorTickMark val="none"/>
        <c:minorTickMark val="none"/>
        <c:tickLblPos val="nextTo"/>
        <c:spPr>
          <a:noFill/>
          <a:ln w="9525" cap="flat" cmpd="sng" algn="ctr">
            <a:solidFill>
              <a:schemeClr val="bg1">
                <a:lumMod val="95000"/>
              </a:schemeClr>
            </a:solidFill>
            <a:prstDash val="sysDot"/>
            <a:round/>
          </a:ln>
          <a:effectLst/>
        </c:spPr>
        <c:txPr>
          <a:bodyPr rot="-60000000" spcFirstLastPara="1" vertOverflow="ellipsis" vert="horz" wrap="square" anchor="ctr" anchorCtr="1"/>
          <a:lstStyle/>
          <a:p>
            <a:pPr>
              <a:defRPr sz="800" b="0" i="0" u="none" strike="noStrike" kern="1200" baseline="0">
                <a:solidFill>
                  <a:schemeClr val="bg1"/>
                </a:solidFill>
                <a:latin typeface="Bahnschrift Light" panose="020B0502040204020203" pitchFamily="34" charset="0"/>
                <a:ea typeface="+mn-ea"/>
                <a:cs typeface="+mn-cs"/>
              </a:defRPr>
            </a:pPr>
            <a:endParaRPr lang="en-US"/>
          </a:p>
        </c:txPr>
        <c:crossAx val="2056403184"/>
        <c:crosses val="autoZero"/>
        <c:auto val="1"/>
        <c:lblAlgn val="ctr"/>
        <c:lblOffset val="100"/>
        <c:noMultiLvlLbl val="0"/>
      </c:catAx>
      <c:valAx>
        <c:axId val="2056403184"/>
        <c:scaling>
          <c:orientation val="minMax"/>
        </c:scaling>
        <c:delete val="0"/>
        <c:axPos val="b"/>
        <c:majorGridlines>
          <c:spPr>
            <a:ln w="9525" cap="flat" cmpd="sng" algn="ctr">
              <a:solidFill>
                <a:schemeClr val="accent1">
                  <a:lumMod val="20000"/>
                  <a:lumOff val="80000"/>
                </a:schemeClr>
              </a:solidFill>
              <a:prstDash val="sysDot"/>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Bahnschrift Light" panose="020B0502040204020203" pitchFamily="34" charset="0"/>
                <a:ea typeface="+mn-ea"/>
                <a:cs typeface="+mn-cs"/>
              </a:defRPr>
            </a:pPr>
            <a:endParaRPr lang="en-US"/>
          </a:p>
        </c:txPr>
        <c:crossAx val="20506098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Bahnschrift Light"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latin typeface="Bahnschrift Light" panose="020B0502040204020203"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lumMod val="75000"/>
                  </a:schemeClr>
                </a:solidFill>
                <a:latin typeface="Bahnschrift Light" panose="020B0502040204020203" pitchFamily="34" charset="0"/>
              </a:rPr>
              <a:t>Holdings %</a:t>
            </a:r>
          </a:p>
        </c:rich>
      </c:tx>
      <c:layout>
        <c:manualLayout>
          <c:xMode val="edge"/>
          <c:yMode val="edge"/>
          <c:x val="0.44798921490145682"/>
          <c:y val="2.59479161984463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'Automation Working'!$H$96</c:f>
              <c:strCache>
                <c:ptCount val="1"/>
                <c:pt idx="0">
                  <c:v>Holdings %</c:v>
                </c:pt>
              </c:strCache>
            </c:strRef>
          </c:tx>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1-9EB8-48FB-92B4-99E74BAB6D06}"/>
              </c:ext>
            </c:extLst>
          </c:dPt>
          <c:dPt>
            <c:idx val="1"/>
            <c:bubble3D val="0"/>
            <c:spPr>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18900000" scaled="1"/>
                <a:tileRect/>
              </a:gradFill>
              <a:ln w="19050">
                <a:solidFill>
                  <a:schemeClr val="lt1"/>
                </a:solidFill>
              </a:ln>
              <a:effectLst/>
            </c:spPr>
            <c:extLst>
              <c:ext xmlns:c16="http://schemas.microsoft.com/office/drawing/2014/chart" uri="{C3380CC4-5D6E-409C-BE32-E72D297353CC}">
                <c16:uniqueId val="{00000003-9EB8-48FB-92B4-99E74BAB6D06}"/>
              </c:ext>
            </c:extLst>
          </c:dPt>
          <c:dPt>
            <c:idx val="2"/>
            <c:bubble3D val="0"/>
            <c:spPr>
              <a:gradFill flip="none" rotWithShape="1">
                <a:gsLst>
                  <a:gs pos="0">
                    <a:schemeClr val="bg1">
                      <a:lumMod val="50000"/>
                      <a:tint val="66000"/>
                      <a:satMod val="160000"/>
                    </a:schemeClr>
                  </a:gs>
                  <a:gs pos="50000">
                    <a:schemeClr val="bg1">
                      <a:lumMod val="50000"/>
                      <a:tint val="44500"/>
                      <a:satMod val="160000"/>
                    </a:schemeClr>
                  </a:gs>
                  <a:gs pos="100000">
                    <a:schemeClr val="bg1">
                      <a:lumMod val="50000"/>
                      <a:tint val="23500"/>
                      <a:satMod val="160000"/>
                    </a:schemeClr>
                  </a:gs>
                </a:gsLst>
                <a:lin ang="2700000" scaled="1"/>
                <a:tileRect/>
              </a:gradFill>
              <a:ln w="19050">
                <a:solidFill>
                  <a:schemeClr val="lt1"/>
                </a:solidFill>
              </a:ln>
              <a:effectLst/>
            </c:spPr>
            <c:extLst>
              <c:ext xmlns:c16="http://schemas.microsoft.com/office/drawing/2014/chart" uri="{C3380CC4-5D6E-409C-BE32-E72D297353CC}">
                <c16:uniqueId val="{00000005-9EB8-48FB-92B4-99E74BAB6D06}"/>
              </c:ext>
            </c:extLst>
          </c:dPt>
          <c:dPt>
            <c:idx val="3"/>
            <c:bubble3D val="0"/>
            <c:spPr>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13500000" scaled="1"/>
                <a:tileRect/>
              </a:gradFill>
              <a:ln w="19050">
                <a:solidFill>
                  <a:schemeClr val="lt1"/>
                </a:solidFill>
              </a:ln>
              <a:effectLst/>
            </c:spPr>
            <c:extLst>
              <c:ext xmlns:c16="http://schemas.microsoft.com/office/drawing/2014/chart" uri="{C3380CC4-5D6E-409C-BE32-E72D297353CC}">
                <c16:uniqueId val="{00000007-9EB8-48FB-92B4-99E74BAB6D0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B8-48FB-92B4-99E74BAB6D06}"/>
              </c:ext>
            </c:extLst>
          </c:dPt>
          <c:dLbls>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EB8-48FB-92B4-99E74BAB6D06}"/>
                </c:ext>
              </c:extLst>
            </c:dLbl>
            <c:dLbl>
              <c:idx val="1"/>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9EB8-48FB-92B4-99E74BAB6D06}"/>
                </c:ext>
              </c:extLst>
            </c:dLbl>
            <c:dLbl>
              <c:idx val="2"/>
              <c:layout>
                <c:manualLayout>
                  <c:x val="-1.3368217011424563E-2"/>
                  <c:y val="-6.48697904961160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9EB8-48FB-92B4-99E74BAB6D06}"/>
                </c:ext>
              </c:extLst>
            </c:dLbl>
            <c:dLbl>
              <c:idx val="3"/>
              <c:layout>
                <c:manualLayout>
                  <c:x val="-1.6710271264280703E-3"/>
                  <c:y val="-9.081770669456237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9EB8-48FB-92B4-99E74BAB6D06}"/>
                </c:ext>
              </c:extLst>
            </c:dLbl>
            <c:dLbl>
              <c:idx val="4"/>
              <c:layout>
                <c:manualLayout>
                  <c:x val="8.3551356321403519E-3"/>
                  <c:y val="-6.486979049611600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9EB8-48FB-92B4-99E74BAB6D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'Automation Working'!$E$97:$E$101</c:f>
              <c:strCache>
                <c:ptCount val="5"/>
                <c:pt idx="0">
                  <c:v>Rising Sun Holdings Pvt Ltd</c:v>
                </c:pt>
                <c:pt idx="1">
                  <c:v>Amansa Holdings Private Limited</c:v>
                </c:pt>
                <c:pt idx="2">
                  <c:v>Nippon Life India Trustee Ltd- A/C Nippo</c:v>
                </c:pt>
                <c:pt idx="3">
                  <c:v>Quant Mutual Fund - Quant Mid Cap Fund</c:v>
                </c:pt>
                <c:pt idx="4">
                  <c:v>Aditya Birla Sun Life Trustee Private Limited</c:v>
                </c:pt>
              </c:strCache>
            </c:strRef>
          </c:cat>
          <c:val>
            <c:numRef>
              <c:f>'Automation Working'!$H$97:$H$101</c:f>
              <c:numCache>
                <c:formatCode>0%</c:formatCode>
                <c:ptCount val="5"/>
                <c:pt idx="0">
                  <c:v>0.62130000000000007</c:v>
                </c:pt>
                <c:pt idx="1">
                  <c:v>2.2000000000000002E-2</c:v>
                </c:pt>
                <c:pt idx="2">
                  <c:v>0</c:v>
                </c:pt>
                <c:pt idx="3">
                  <c:v>1.9099999999999999E-2</c:v>
                </c:pt>
                <c:pt idx="4">
                  <c:v>0</c:v>
                </c:pt>
              </c:numCache>
            </c:numRef>
          </c:val>
          <c:extLst>
            <c:ext xmlns:c16="http://schemas.microsoft.com/office/drawing/2014/chart" uri="{C3380CC4-5D6E-409C-BE32-E72D297353CC}">
              <c16:uniqueId val="{0000000A-9EB8-48FB-92B4-99E74BAB6D0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5.5275472111215154E-2"/>
          <c:y val="0.74808795866857902"/>
          <c:w val="0.91618548980041881"/>
          <c:h val="0.225964125132974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Condensed" panose="020B0502040204020203"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Segment</a:t>
            </a:r>
            <a:r>
              <a:rPr lang="en-IN" baseline="0">
                <a:latin typeface="Bahnschrift Light" panose="020B0502040204020203" pitchFamily="34" charset="0"/>
              </a:rPr>
              <a:t> Wise Breakup Of AUM</a:t>
            </a:r>
            <a:endParaRPr lang="en-IN">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'Georaphic Breakup'!$C$59</c:f>
              <c:strCache>
                <c:ptCount val="1"/>
                <c:pt idx="0">
                  <c:v>Percentage of AUM</c:v>
                </c:pt>
              </c:strCache>
            </c:strRef>
          </c:tx>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19050">
                <a:solidFill>
                  <a:schemeClr val="lt1"/>
                </a:solidFill>
              </a:ln>
              <a:effectLst/>
            </c:spPr>
            <c:extLst>
              <c:ext xmlns:c16="http://schemas.microsoft.com/office/drawing/2014/chart" uri="{C3380CC4-5D6E-409C-BE32-E72D297353CC}">
                <c16:uniqueId val="{00000001-5891-4069-8141-E7D102C44D26}"/>
              </c:ext>
            </c:extLst>
          </c:dPt>
          <c:dPt>
            <c:idx val="1"/>
            <c:bubble3D val="0"/>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3-5891-4069-8141-E7D102C44D26}"/>
              </c:ext>
            </c:extLst>
          </c:dPt>
          <c:dPt>
            <c:idx val="2"/>
            <c:bubble3D val="0"/>
            <c:spPr>
              <a:gradFill flip="none" rotWithShape="1">
                <a:gsLst>
                  <a:gs pos="0">
                    <a:sysClr val="window" lastClr="FFFFFF">
                      <a:lumMod val="85000"/>
                      <a:shade val="30000"/>
                      <a:satMod val="115000"/>
                    </a:sysClr>
                  </a:gs>
                  <a:gs pos="50000">
                    <a:sysClr val="window" lastClr="FFFFFF">
                      <a:lumMod val="85000"/>
                      <a:shade val="67500"/>
                      <a:satMod val="115000"/>
                    </a:sysClr>
                  </a:gs>
                  <a:gs pos="100000">
                    <a:sysClr val="window" lastClr="FFFFFF">
                      <a:lumMod val="85000"/>
                      <a:shade val="100000"/>
                      <a:satMod val="115000"/>
                    </a:sysClr>
                  </a:gs>
                </a:gsLst>
                <a:path path="circle">
                  <a:fillToRect l="100000" t="100000"/>
                </a:path>
                <a:tileRect r="-100000" b="-100000"/>
              </a:gradFill>
              <a:ln w="19050">
                <a:solidFill>
                  <a:schemeClr val="lt1"/>
                </a:solidFill>
              </a:ln>
              <a:effectLst/>
            </c:spPr>
            <c:extLst>
              <c:ext xmlns:c16="http://schemas.microsoft.com/office/drawing/2014/chart" uri="{C3380CC4-5D6E-409C-BE32-E72D297353CC}">
                <c16:uniqueId val="{00000005-5891-4069-8141-E7D102C44D26}"/>
              </c:ext>
            </c:extLst>
          </c:dPt>
          <c:dPt>
            <c:idx val="3"/>
            <c:bubble3D val="0"/>
            <c:spPr>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lin ang="18900000" scaled="1"/>
                <a:tileRect/>
              </a:gradFill>
              <a:ln w="19050">
                <a:solidFill>
                  <a:schemeClr val="lt1"/>
                </a:solidFill>
              </a:ln>
              <a:effectLst/>
            </c:spPr>
            <c:extLst>
              <c:ext xmlns:c16="http://schemas.microsoft.com/office/drawing/2014/chart" uri="{C3380CC4-5D6E-409C-BE32-E72D297353CC}">
                <c16:uniqueId val="{00000007-5891-4069-8141-E7D102C44D26}"/>
              </c:ext>
            </c:extLst>
          </c:dPt>
          <c:dLbls>
            <c:dLbl>
              <c:idx val="0"/>
              <c:layout>
                <c:manualLayout>
                  <c:x val="4.2817277657262523E-2"/>
                  <c:y val="-4.27466179003728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891-4069-8141-E7D102C44D26}"/>
                </c:ext>
              </c:extLst>
            </c:dLbl>
            <c:dLbl>
              <c:idx val="1"/>
              <c:layout>
                <c:manualLayout>
                  <c:x val="-4.3433328707761509E-2"/>
                  <c:y val="9.25934690505868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891-4069-8141-E7D102C44D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ext>
            </c:extLst>
          </c:dLbls>
          <c:cat>
            <c:strRef>
              <c:f>'Georaphic Breakup'!$B$60:$B$63</c:f>
              <c:strCache>
                <c:ptCount val="4"/>
                <c:pt idx="0">
                  <c:v>Mortgages (home loans and loans against property)</c:v>
                </c:pt>
                <c:pt idx="1">
                  <c:v>Vehicle finance</c:v>
                </c:pt>
                <c:pt idx="2">
                  <c:v>M&amp;SME</c:v>
                </c:pt>
                <c:pt idx="3">
                  <c:v>Others</c:v>
                </c:pt>
              </c:strCache>
            </c:strRef>
          </c:cat>
          <c:val>
            <c:numRef>
              <c:f>'Georaphic Breakup'!$C$60:$C$63</c:f>
              <c:numCache>
                <c:formatCode>0%</c:formatCode>
                <c:ptCount val="4"/>
                <c:pt idx="0">
                  <c:v>0.16</c:v>
                </c:pt>
                <c:pt idx="1">
                  <c:v>0.31</c:v>
                </c:pt>
                <c:pt idx="2">
                  <c:v>0.21</c:v>
                </c:pt>
                <c:pt idx="3">
                  <c:v>0.32</c:v>
                </c:pt>
              </c:numCache>
            </c:numRef>
          </c:val>
          <c:extLst>
            <c:ext xmlns:c16="http://schemas.microsoft.com/office/drawing/2014/chart" uri="{C3380CC4-5D6E-409C-BE32-E72D297353CC}">
              <c16:uniqueId val="{00000008-5891-4069-8141-E7D102C44D2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IN">
                <a:latin typeface="Bahnschrift Light" panose="020B0502040204020203" pitchFamily="34" charset="0"/>
              </a:rPr>
              <a:t>Operational</a:t>
            </a:r>
            <a:r>
              <a:rPr lang="en-IN" baseline="0">
                <a:latin typeface="Bahnschrift Light" panose="020B0502040204020203" pitchFamily="34" charset="0"/>
              </a:rPr>
              <a:t> Matrix</a:t>
            </a:r>
            <a:endParaRPr lang="en-IN">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'Automation Working'!$H$1</c:f>
              <c:strCache>
                <c:ptCount val="1"/>
                <c:pt idx="0">
                  <c:v>2021</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Working'!$H$3:$H$6</c:f>
              <c:numCache>
                <c:formatCode>General</c:formatCode>
                <c:ptCount val="4"/>
                <c:pt idx="0" formatCode="0%">
                  <c:v>2.4009695307347433E-2</c:v>
                </c:pt>
                <c:pt idx="1">
                  <c:v>1756.98</c:v>
                </c:pt>
                <c:pt idx="2">
                  <c:v>286.52999999999997</c:v>
                </c:pt>
                <c:pt idx="3">
                  <c:v>404.12</c:v>
                </c:pt>
              </c:numCache>
            </c:numRef>
          </c:val>
          <c:extLst>
            <c:ext xmlns:c16="http://schemas.microsoft.com/office/drawing/2014/chart" uri="{C3380CC4-5D6E-409C-BE32-E72D297353CC}">
              <c16:uniqueId val="{00000000-D0E5-40CD-A473-843B92669326}"/>
            </c:ext>
          </c:extLst>
        </c:ser>
        <c:ser>
          <c:idx val="1"/>
          <c:order val="1"/>
          <c:tx>
            <c:strRef>
              <c:f>'Automation Working'!$I$1</c:f>
              <c:strCache>
                <c:ptCount val="1"/>
                <c:pt idx="0">
                  <c:v>2022</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Working'!$I$3:$I$6</c:f>
              <c:numCache>
                <c:formatCode>General</c:formatCode>
                <c:ptCount val="4"/>
                <c:pt idx="0" formatCode="0%">
                  <c:v>6.247498294612102E-2</c:v>
                </c:pt>
                <c:pt idx="1">
                  <c:v>1458.56</c:v>
                </c:pt>
                <c:pt idx="2">
                  <c:v>167</c:v>
                </c:pt>
                <c:pt idx="3">
                  <c:v>555</c:v>
                </c:pt>
              </c:numCache>
            </c:numRef>
          </c:val>
          <c:extLst>
            <c:ext xmlns:c16="http://schemas.microsoft.com/office/drawing/2014/chart" uri="{C3380CC4-5D6E-409C-BE32-E72D297353CC}">
              <c16:uniqueId val="{00000001-D0E5-40CD-A473-843B92669326}"/>
            </c:ext>
          </c:extLst>
        </c:ser>
        <c:ser>
          <c:idx val="2"/>
          <c:order val="2"/>
          <c:tx>
            <c:strRef>
              <c:f>'Automation Working'!$J$1</c:f>
              <c:strCache>
                <c:ptCount val="1"/>
                <c:pt idx="0">
                  <c:v>2023</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Working'!$J$3:$J$6</c:f>
              <c:numCache>
                <c:formatCode>General</c:formatCode>
                <c:ptCount val="4"/>
                <c:pt idx="0" formatCode="0%">
                  <c:v>3.8268121740570066E-2</c:v>
                </c:pt>
                <c:pt idx="1">
                  <c:v>1816.94</c:v>
                </c:pt>
                <c:pt idx="2">
                  <c:v>143</c:v>
                </c:pt>
                <c:pt idx="3">
                  <c:v>741.64</c:v>
                </c:pt>
              </c:numCache>
            </c:numRef>
          </c:val>
          <c:extLst>
            <c:ext xmlns:c16="http://schemas.microsoft.com/office/drawing/2014/chart" uri="{C3380CC4-5D6E-409C-BE32-E72D297353CC}">
              <c16:uniqueId val="{00000002-D0E5-40CD-A473-843B92669326}"/>
            </c:ext>
          </c:extLst>
        </c:ser>
        <c:dLbls>
          <c:showLegendKey val="0"/>
          <c:showVal val="0"/>
          <c:showCatName val="0"/>
          <c:showSerName val="0"/>
          <c:showPercent val="0"/>
          <c:showBubbleSize val="0"/>
        </c:dLbls>
        <c:gapWidth val="182"/>
        <c:axId val="1266118751"/>
        <c:axId val="1274077871"/>
      </c:barChart>
      <c:catAx>
        <c:axId val="126611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274077871"/>
        <c:crosses val="autoZero"/>
        <c:auto val="1"/>
        <c:lblAlgn val="ctr"/>
        <c:lblOffset val="100"/>
        <c:noMultiLvlLbl val="0"/>
      </c:catAx>
      <c:valAx>
        <c:axId val="1274077871"/>
        <c:scaling>
          <c:orientation val="minMax"/>
        </c:scaling>
        <c:delete val="1"/>
        <c:axPos val="b"/>
        <c:majorGridlines>
          <c:spPr>
            <a:ln w="9525" cap="flat" cmpd="sng" algn="ctr">
              <a:solidFill>
                <a:schemeClr val="bg1">
                  <a:lumMod val="95000"/>
                </a:schemeClr>
              </a:solidFill>
              <a:prstDash val="sysDot"/>
              <a:round/>
            </a:ln>
            <a:effectLst/>
          </c:spPr>
        </c:majorGridlines>
        <c:numFmt formatCode="0%" sourceLinked="1"/>
        <c:majorTickMark val="none"/>
        <c:minorTickMark val="none"/>
        <c:tickLblPos val="nextTo"/>
        <c:crossAx val="1266118751"/>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IN">
                <a:latin typeface="Bahnschrift Light" panose="020B0502040204020203" pitchFamily="34" charset="0"/>
              </a:rPr>
              <a:t>Profitability</a:t>
            </a:r>
            <a:r>
              <a:rPr lang="en-IN" baseline="0">
                <a:latin typeface="Bahnschrift Light" panose="020B0502040204020203" pitchFamily="34" charset="0"/>
              </a:rPr>
              <a:t> Metrics</a:t>
            </a:r>
            <a:endParaRPr lang="en-IN">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col"/>
        <c:grouping val="clustered"/>
        <c:varyColors val="0"/>
        <c:ser>
          <c:idx val="0"/>
          <c:order val="0"/>
          <c:tx>
            <c:strRef>
              <c:f>'Automation Working'!$G$25</c:f>
              <c:strCache>
                <c:ptCount val="1"/>
                <c:pt idx="0">
                  <c:v>ROA</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1-70F2-4F32-81E9-3A2F376695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Working'!$H$25:$J$25</c:f>
              <c:numCache>
                <c:formatCode>0%</c:formatCode>
                <c:ptCount val="3"/>
                <c:pt idx="0">
                  <c:v>-0.55600000000000005</c:v>
                </c:pt>
                <c:pt idx="1">
                  <c:v>2.7E-2</c:v>
                </c:pt>
                <c:pt idx="2">
                  <c:v>4.3999999999999997E-2</c:v>
                </c:pt>
              </c:numCache>
            </c:numRef>
          </c:val>
          <c:extLst>
            <c:ext xmlns:c16="http://schemas.microsoft.com/office/drawing/2014/chart" uri="{C3380CC4-5D6E-409C-BE32-E72D297353CC}">
              <c16:uniqueId val="{00000002-70F2-4F32-81E9-3A2F3766950E}"/>
            </c:ext>
          </c:extLst>
        </c:ser>
        <c:ser>
          <c:idx val="1"/>
          <c:order val="1"/>
          <c:tx>
            <c:strRef>
              <c:f>'Automation Working'!$G$26</c:f>
              <c:strCache>
                <c:ptCount val="1"/>
                <c:pt idx="0">
                  <c:v>ROE</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Working'!$H$26:$J$26</c:f>
              <c:numCache>
                <c:formatCode>0%</c:formatCode>
                <c:ptCount val="3"/>
                <c:pt idx="0">
                  <c:v>-0.22800000000000001</c:v>
                </c:pt>
                <c:pt idx="1">
                  <c:v>5.7000000000000002E-2</c:v>
                </c:pt>
                <c:pt idx="2">
                  <c:v>9.7000000000000003E-2</c:v>
                </c:pt>
              </c:numCache>
            </c:numRef>
          </c:val>
          <c:extLst>
            <c:ext xmlns:c16="http://schemas.microsoft.com/office/drawing/2014/chart" uri="{C3380CC4-5D6E-409C-BE32-E72D297353CC}">
              <c16:uniqueId val="{00000003-70F2-4F32-81E9-3A2F3766950E}"/>
            </c:ext>
          </c:extLst>
        </c:ser>
        <c:dLbls>
          <c:showLegendKey val="0"/>
          <c:showVal val="0"/>
          <c:showCatName val="0"/>
          <c:showSerName val="0"/>
          <c:showPercent val="0"/>
          <c:showBubbleSize val="0"/>
        </c:dLbls>
        <c:gapWidth val="219"/>
        <c:overlap val="-27"/>
        <c:axId val="1242333663"/>
        <c:axId val="1336418671"/>
      </c:barChart>
      <c:catAx>
        <c:axId val="124233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crossAx val="1336418671"/>
        <c:crosses val="autoZero"/>
        <c:auto val="1"/>
        <c:lblAlgn val="ctr"/>
        <c:lblOffset val="100"/>
        <c:noMultiLvlLbl val="0"/>
      </c:catAx>
      <c:valAx>
        <c:axId val="1336418671"/>
        <c:scaling>
          <c:orientation val="minMax"/>
        </c:scaling>
        <c:delete val="0"/>
        <c:axPos val="l"/>
        <c:majorGridlines>
          <c:spPr>
            <a:ln w="9525" cap="flat" cmpd="sng" algn="ctr">
              <a:solidFill>
                <a:schemeClr val="bg1">
                  <a:lumMod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242333663"/>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Financial</a:t>
            </a:r>
            <a:r>
              <a:rPr lang="en-IN" baseline="0">
                <a:latin typeface="Bahnschrift Light" panose="020B0502040204020203" pitchFamily="34" charset="0"/>
              </a:rPr>
              <a:t> Performance Matrix</a:t>
            </a:r>
            <a:endParaRPr lang="en-IN">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Working'!$G$8</c:f>
              <c:strCache>
                <c:ptCount val="1"/>
                <c:pt idx="0">
                  <c:v>Finance Cost</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Working'!$H$8:$J$8</c:f>
              <c:numCache>
                <c:formatCode>General</c:formatCode>
                <c:ptCount val="3"/>
                <c:pt idx="0">
                  <c:v>874.59</c:v>
                </c:pt>
                <c:pt idx="1">
                  <c:v>509.28</c:v>
                </c:pt>
                <c:pt idx="2">
                  <c:v>595.28</c:v>
                </c:pt>
              </c:numCache>
            </c:numRef>
          </c:val>
          <c:extLst>
            <c:ext xmlns:c16="http://schemas.microsoft.com/office/drawing/2014/chart" uri="{C3380CC4-5D6E-409C-BE32-E72D297353CC}">
              <c16:uniqueId val="{00000000-60F6-4F63-8205-F24D318D727F}"/>
            </c:ext>
          </c:extLst>
        </c:ser>
        <c:ser>
          <c:idx val="1"/>
          <c:order val="1"/>
          <c:tx>
            <c:strRef>
              <c:f>'Automation Working'!$G$9</c:f>
              <c:strCache>
                <c:ptCount val="1"/>
                <c:pt idx="0">
                  <c:v>PAT</c:v>
                </c:pt>
              </c:strCache>
            </c:strRef>
          </c:tx>
          <c:spPr>
            <a:solidFill>
              <a:schemeClr val="accent3">
                <a:lumMod val="20000"/>
                <a:lumOff val="80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60F6-4F63-8205-F24D318D72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Working'!$H$9:$J$9</c:f>
              <c:numCache>
                <c:formatCode>General</c:formatCode>
                <c:ptCount val="3"/>
                <c:pt idx="0">
                  <c:v>-575.41</c:v>
                </c:pt>
                <c:pt idx="1">
                  <c:v>294.83</c:v>
                </c:pt>
                <c:pt idx="2">
                  <c:v>586.29999999999995</c:v>
                </c:pt>
              </c:numCache>
            </c:numRef>
          </c:val>
          <c:extLst>
            <c:ext xmlns:c16="http://schemas.microsoft.com/office/drawing/2014/chart" uri="{C3380CC4-5D6E-409C-BE32-E72D297353CC}">
              <c16:uniqueId val="{00000002-60F6-4F63-8205-F24D318D727F}"/>
            </c:ext>
          </c:extLst>
        </c:ser>
        <c:ser>
          <c:idx val="2"/>
          <c:order val="2"/>
          <c:tx>
            <c:strRef>
              <c:f>'Automation Working'!$G$10</c:f>
              <c:strCache>
                <c:ptCount val="1"/>
                <c:pt idx="0">
                  <c:v>Net Interest Income</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Working'!$H$10:$J$10</c:f>
              <c:numCache>
                <c:formatCode>General</c:formatCode>
                <c:ptCount val="3"/>
                <c:pt idx="0">
                  <c:v>882.38</c:v>
                </c:pt>
                <c:pt idx="1">
                  <c:v>949.27</c:v>
                </c:pt>
                <c:pt idx="2">
                  <c:v>1221.6600000000001</c:v>
                </c:pt>
              </c:numCache>
            </c:numRef>
          </c:val>
          <c:extLst>
            <c:ext xmlns:c16="http://schemas.microsoft.com/office/drawing/2014/chart" uri="{C3380CC4-5D6E-409C-BE32-E72D297353CC}">
              <c16:uniqueId val="{00000003-60F6-4F63-8205-F24D318D727F}"/>
            </c:ext>
          </c:extLst>
        </c:ser>
        <c:dLbls>
          <c:showLegendKey val="0"/>
          <c:showVal val="0"/>
          <c:showCatName val="0"/>
          <c:showSerName val="0"/>
          <c:showPercent val="0"/>
          <c:showBubbleSize val="0"/>
        </c:dLbls>
        <c:gapWidth val="219"/>
        <c:overlap val="-27"/>
        <c:axId val="1725465599"/>
        <c:axId val="1336707743"/>
      </c:barChart>
      <c:lineChart>
        <c:grouping val="standard"/>
        <c:varyColors val="0"/>
        <c:ser>
          <c:idx val="3"/>
          <c:order val="3"/>
          <c:tx>
            <c:strRef>
              <c:f>'Automation Working'!$G$11</c:f>
              <c:strCache>
                <c:ptCount val="1"/>
                <c:pt idx="0">
                  <c:v>Net Interest Margin %</c:v>
                </c:pt>
              </c:strCache>
            </c:strRef>
          </c:tx>
          <c:spPr>
            <a:ln w="28575" cap="rnd">
              <a:solidFill>
                <a:schemeClr val="accent6">
                  <a:lumMod val="60000"/>
                  <a:lumOff val="40000"/>
                </a:schemeClr>
              </a:solidFill>
              <a:prstDash val="sysDot"/>
              <a:round/>
            </a:ln>
            <a:effectLst/>
          </c:spPr>
          <c:marker>
            <c:symbol val="none"/>
          </c:marker>
          <c:dLbls>
            <c:dLbl>
              <c:idx val="0"/>
              <c:layout>
                <c:manualLayout>
                  <c:x val="-2.7212171537881618E-2"/>
                  <c:y val="-2.777777777777777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60F6-4F63-8205-F24D318D727F}"/>
                </c:ext>
              </c:extLst>
            </c:dLbl>
            <c:dLbl>
              <c:idx val="1"/>
              <c:layout>
                <c:manualLayout>
                  <c:x val="-3.7678391360143774E-2"/>
                  <c:y val="-4.166666666666670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0F6-4F63-8205-F24D318D727F}"/>
                </c:ext>
              </c:extLst>
            </c:dLbl>
            <c:dLbl>
              <c:idx val="2"/>
              <c:layout>
                <c:manualLayout>
                  <c:x val="-2.9305415502334203E-2"/>
                  <c:y val="-4.629629629629629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60F6-4F63-8205-F24D318D72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Working'!$H$11:$J$11</c:f>
              <c:numCache>
                <c:formatCode>0%</c:formatCode>
                <c:ptCount val="3"/>
                <c:pt idx="0">
                  <c:v>8.2000000000000003E-2</c:v>
                </c:pt>
                <c:pt idx="1">
                  <c:v>8.8999999999999996E-2</c:v>
                </c:pt>
                <c:pt idx="2">
                  <c:v>0.107</c:v>
                </c:pt>
              </c:numCache>
            </c:numRef>
          </c:val>
          <c:smooth val="1"/>
          <c:extLst>
            <c:ext xmlns:c16="http://schemas.microsoft.com/office/drawing/2014/chart" uri="{C3380CC4-5D6E-409C-BE32-E72D297353CC}">
              <c16:uniqueId val="{00000007-60F6-4F63-8205-F24D318D727F}"/>
            </c:ext>
          </c:extLst>
        </c:ser>
        <c:dLbls>
          <c:showLegendKey val="0"/>
          <c:showVal val="0"/>
          <c:showCatName val="0"/>
          <c:showSerName val="0"/>
          <c:showPercent val="0"/>
          <c:showBubbleSize val="0"/>
        </c:dLbls>
        <c:marker val="1"/>
        <c:smooth val="0"/>
        <c:axId val="1725465999"/>
        <c:axId val="1336708159"/>
      </c:lineChart>
      <c:catAx>
        <c:axId val="172546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6707743"/>
        <c:crosses val="autoZero"/>
        <c:auto val="1"/>
        <c:lblAlgn val="ctr"/>
        <c:lblOffset val="100"/>
        <c:noMultiLvlLbl val="0"/>
      </c:catAx>
      <c:valAx>
        <c:axId val="1336707743"/>
        <c:scaling>
          <c:orientation val="minMax"/>
        </c:scaling>
        <c:delete val="0"/>
        <c:axPos val="l"/>
        <c:majorGridlines>
          <c:spPr>
            <a:ln w="9525" cap="flat" cmpd="sng" algn="ctr">
              <a:solidFill>
                <a:schemeClr val="accent5">
                  <a:lumMod val="20000"/>
                  <a:lumOff val="8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725465599"/>
        <c:crosses val="autoZero"/>
        <c:crossBetween val="between"/>
      </c:valAx>
      <c:valAx>
        <c:axId val="1336708159"/>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725465999"/>
        <c:crosses val="max"/>
        <c:crossBetween val="between"/>
      </c:valAx>
      <c:catAx>
        <c:axId val="1725465999"/>
        <c:scaling>
          <c:orientation val="minMax"/>
        </c:scaling>
        <c:delete val="1"/>
        <c:axPos val="b"/>
        <c:numFmt formatCode="General" sourceLinked="1"/>
        <c:majorTickMark val="none"/>
        <c:minorTickMark val="none"/>
        <c:tickLblPos val="nextTo"/>
        <c:crossAx val="1336708159"/>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lumMod val="50000"/>
                  </a:schemeClr>
                </a:solidFill>
                <a:latin typeface="Bahnschrift Light" panose="020B0502040204020203" pitchFamily="34" charset="0"/>
              </a:rPr>
              <a:t>Credit</a:t>
            </a:r>
            <a:r>
              <a:rPr lang="en-IN" baseline="0">
                <a:solidFill>
                  <a:schemeClr val="bg1">
                    <a:lumMod val="50000"/>
                  </a:schemeClr>
                </a:solidFill>
                <a:latin typeface="Bahnschrift Light" panose="020B0502040204020203" pitchFamily="34" charset="0"/>
              </a:rPr>
              <a:t> &amp; Risk Metrics</a:t>
            </a:r>
            <a:endParaRPr lang="en-IN">
              <a:solidFill>
                <a:schemeClr val="bg1">
                  <a:lumMod val="50000"/>
                </a:schemeClr>
              </a:solidFill>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Working'!$G$21</c:f>
              <c:strCache>
                <c:ptCount val="1"/>
                <c:pt idx="0">
                  <c:v>Gross NPA %</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Working'!$H$21:$J$21</c:f>
              <c:numCache>
                <c:formatCode>0%</c:formatCode>
                <c:ptCount val="3"/>
                <c:pt idx="0">
                  <c:v>4.3099999999999999E-2</c:v>
                </c:pt>
                <c:pt idx="1">
                  <c:v>3.2899999999999999E-2</c:v>
                </c:pt>
                <c:pt idx="2">
                  <c:v>1.44E-2</c:v>
                </c:pt>
              </c:numCache>
            </c:numRef>
          </c:val>
          <c:extLst>
            <c:ext xmlns:c16="http://schemas.microsoft.com/office/drawing/2014/chart" uri="{C3380CC4-5D6E-409C-BE32-E72D297353CC}">
              <c16:uniqueId val="{00000000-B677-4265-BA95-1B1AA1E1EC3F}"/>
            </c:ext>
          </c:extLst>
        </c:ser>
        <c:ser>
          <c:idx val="1"/>
          <c:order val="1"/>
          <c:tx>
            <c:strRef>
              <c:f>'Automation Working'!$G$22</c:f>
              <c:strCache>
                <c:ptCount val="1"/>
                <c:pt idx="0">
                  <c:v>Net NPA %</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Working'!$H$22:$J$22</c:f>
              <c:numCache>
                <c:formatCode>0%</c:formatCode>
                <c:ptCount val="3"/>
                <c:pt idx="0">
                  <c:v>1.32E-2</c:v>
                </c:pt>
                <c:pt idx="1">
                  <c:v>1.3000000000000001E-2</c:v>
                </c:pt>
                <c:pt idx="2">
                  <c:v>7.8000000000000005E-3</c:v>
                </c:pt>
              </c:numCache>
            </c:numRef>
          </c:val>
          <c:extLst>
            <c:ext xmlns:c16="http://schemas.microsoft.com/office/drawing/2014/chart" uri="{C3380CC4-5D6E-409C-BE32-E72D297353CC}">
              <c16:uniqueId val="{00000001-B677-4265-BA95-1B1AA1E1EC3F}"/>
            </c:ext>
          </c:extLst>
        </c:ser>
        <c:ser>
          <c:idx val="2"/>
          <c:order val="2"/>
          <c:tx>
            <c:strRef>
              <c:f>'Automation Working'!$G$23</c:f>
              <c:strCache>
                <c:ptCount val="1"/>
                <c:pt idx="0">
                  <c:v>PCR %</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Working'!$H$23:$J$23</c:f>
              <c:numCache>
                <c:formatCode>0%</c:formatCode>
                <c:ptCount val="3"/>
                <c:pt idx="0">
                  <c:v>0.69373549883990715</c:v>
                </c:pt>
                <c:pt idx="1">
                  <c:v>0.60486322188449848</c:v>
                </c:pt>
                <c:pt idx="2">
                  <c:v>0.45833333333333331</c:v>
                </c:pt>
              </c:numCache>
            </c:numRef>
          </c:val>
          <c:extLst>
            <c:ext xmlns:c16="http://schemas.microsoft.com/office/drawing/2014/chart" uri="{C3380CC4-5D6E-409C-BE32-E72D297353CC}">
              <c16:uniqueId val="{00000002-B677-4265-BA95-1B1AA1E1EC3F}"/>
            </c:ext>
          </c:extLst>
        </c:ser>
        <c:dLbls>
          <c:showLegendKey val="0"/>
          <c:showVal val="0"/>
          <c:showCatName val="0"/>
          <c:showSerName val="0"/>
          <c:showPercent val="0"/>
          <c:showBubbleSize val="0"/>
        </c:dLbls>
        <c:gapWidth val="219"/>
        <c:overlap val="-27"/>
        <c:axId val="111348079"/>
        <c:axId val="1670453520"/>
      </c:barChart>
      <c:catAx>
        <c:axId val="11134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Bahnschrift Light" panose="020B0502040204020203" pitchFamily="34" charset="0"/>
                <a:ea typeface="+mn-ea"/>
                <a:cs typeface="+mn-cs"/>
              </a:defRPr>
            </a:pPr>
            <a:endParaRPr lang="en-US"/>
          </a:p>
        </c:txPr>
        <c:crossAx val="1670453520"/>
        <c:crosses val="autoZero"/>
        <c:auto val="1"/>
        <c:lblAlgn val="ctr"/>
        <c:lblOffset val="100"/>
        <c:noMultiLvlLbl val="0"/>
      </c:catAx>
      <c:valAx>
        <c:axId val="1670453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1348079"/>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panose="020B0502040204020203" pitchFamily="34" charset="0"/>
              </a:rPr>
              <a:t>CRAR%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Working'!$G$28</c:f>
              <c:strCache>
                <c:ptCount val="1"/>
                <c:pt idx="0">
                  <c:v>CRAR%</c:v>
                </c:pt>
              </c:strCache>
            </c:strRef>
          </c:tx>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EA62-43D2-9D78-39F74F8DEAE8}"/>
              </c:ext>
            </c:extLst>
          </c:dPt>
          <c:dPt>
            <c:idx val="1"/>
            <c:invertIfNegative val="0"/>
            <c:bubble3D val="0"/>
            <c:spPr>
              <a:solidFill>
                <a:schemeClr val="bg1">
                  <a:lumMod val="95000"/>
                </a:schemeClr>
              </a:solidFill>
              <a:ln>
                <a:noFill/>
              </a:ln>
              <a:effectLst/>
            </c:spPr>
            <c:extLst>
              <c:ext xmlns:c16="http://schemas.microsoft.com/office/drawing/2014/chart" uri="{C3380CC4-5D6E-409C-BE32-E72D297353CC}">
                <c16:uniqueId val="{00000003-EA62-43D2-9D78-39F74F8DEAE8}"/>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5-EA62-43D2-9D78-39F74F8DEAE8}"/>
              </c:ext>
            </c:extLst>
          </c:dPt>
          <c:cat>
            <c:numRef>
              <c:f>'Automation Working'!$H$1:$J$1</c:f>
              <c:numCache>
                <c:formatCode>General</c:formatCode>
                <c:ptCount val="3"/>
                <c:pt idx="0">
                  <c:v>2021</c:v>
                </c:pt>
                <c:pt idx="1">
                  <c:v>2022</c:v>
                </c:pt>
                <c:pt idx="2">
                  <c:v>2023</c:v>
                </c:pt>
              </c:numCache>
            </c:numRef>
          </c:cat>
          <c:val>
            <c:numRef>
              <c:f>'Automation Working'!$H$28:$J$28</c:f>
              <c:numCache>
                <c:formatCode>0%</c:formatCode>
                <c:ptCount val="3"/>
                <c:pt idx="0">
                  <c:v>0.2029</c:v>
                </c:pt>
                <c:pt idx="1">
                  <c:v>0.49059999999999998</c:v>
                </c:pt>
                <c:pt idx="2">
                  <c:v>0.3891</c:v>
                </c:pt>
              </c:numCache>
            </c:numRef>
          </c:val>
          <c:extLst>
            <c:ext xmlns:c16="http://schemas.microsoft.com/office/drawing/2014/chart" uri="{C3380CC4-5D6E-409C-BE32-E72D297353CC}">
              <c16:uniqueId val="{00000006-EA62-43D2-9D78-39F74F8DEAE8}"/>
            </c:ext>
          </c:extLst>
        </c:ser>
        <c:dLbls>
          <c:showLegendKey val="0"/>
          <c:showVal val="0"/>
          <c:showCatName val="0"/>
          <c:showSerName val="0"/>
          <c:showPercent val="0"/>
          <c:showBubbleSize val="0"/>
        </c:dLbls>
        <c:gapWidth val="219"/>
        <c:overlap val="-27"/>
        <c:axId val="288646399"/>
        <c:axId val="295723183"/>
      </c:barChart>
      <c:catAx>
        <c:axId val="28864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95723183"/>
        <c:crosses val="autoZero"/>
        <c:auto val="1"/>
        <c:lblAlgn val="ctr"/>
        <c:lblOffset val="100"/>
        <c:noMultiLvlLbl val="0"/>
      </c:catAx>
      <c:valAx>
        <c:axId val="295723183"/>
        <c:scaling>
          <c:orientation val="minMax"/>
        </c:scaling>
        <c:delete val="0"/>
        <c:axPos val="l"/>
        <c:majorGridlines>
          <c:spPr>
            <a:ln w="9525" cap="flat" cmpd="sng" algn="ctr">
              <a:solidFill>
                <a:schemeClr val="bg1">
                  <a:lumMod val="7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88646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Yeild</a:t>
            </a:r>
            <a:r>
              <a:rPr lang="en-IN" baseline="0">
                <a:latin typeface="Bahnschrift Light" panose="020B0502040204020203" pitchFamily="34" charset="0"/>
              </a:rPr>
              <a:t> Comparision</a:t>
            </a:r>
            <a:endParaRPr lang="en-IN">
              <a:latin typeface="Bahnschrift Light" panose="020B0502040204020203" pitchFamily="34" charset="0"/>
            </a:endParaRPr>
          </a:p>
        </c:rich>
      </c:tx>
      <c:layout>
        <c:manualLayout>
          <c:xMode val="edge"/>
          <c:yMode val="edge"/>
          <c:x val="0.42201251214544638"/>
          <c:y val="1.82013634674894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 Files'!$B$125</c:f>
              <c:strCache>
                <c:ptCount val="1"/>
                <c:pt idx="0">
                  <c:v>10Y Gsec (%)</c:v>
                </c:pt>
              </c:strCache>
            </c:strRef>
          </c:tx>
          <c:spPr>
            <a:ln w="28575" cap="rnd">
              <a:solidFill>
                <a:schemeClr val="accent1"/>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Files'!$B$126:$B$136</c:f>
              <c:numCache>
                <c:formatCode>0.00</c:formatCode>
                <c:ptCount val="11"/>
                <c:pt idx="0">
                  <c:v>6.8289999999999997</c:v>
                </c:pt>
                <c:pt idx="1">
                  <c:v>6.8639999999999999</c:v>
                </c:pt>
                <c:pt idx="2">
                  <c:v>6.7089999999999996</c:v>
                </c:pt>
                <c:pt idx="3">
                  <c:v>6.7119999999999997</c:v>
                </c:pt>
                <c:pt idx="4">
                  <c:v>6.7169999999999996</c:v>
                </c:pt>
                <c:pt idx="5">
                  <c:v>6.7460000000000004</c:v>
                </c:pt>
                <c:pt idx="6">
                  <c:v>6.782</c:v>
                </c:pt>
                <c:pt idx="7">
                  <c:v>6.7850000000000001</c:v>
                </c:pt>
                <c:pt idx="8">
                  <c:v>6.7809999999999997</c:v>
                </c:pt>
                <c:pt idx="9">
                  <c:v>6.7480000000000002</c:v>
                </c:pt>
                <c:pt idx="10">
                  <c:v>6.76</c:v>
                </c:pt>
              </c:numCache>
            </c:numRef>
          </c:val>
          <c:smooth val="0"/>
          <c:extLst>
            <c:ext xmlns:c16="http://schemas.microsoft.com/office/drawing/2014/chart" uri="{C3380CC4-5D6E-409C-BE32-E72D297353CC}">
              <c16:uniqueId val="{00000000-4E3A-45BA-B322-596A33CFD968}"/>
            </c:ext>
          </c:extLst>
        </c:ser>
        <c:ser>
          <c:idx val="1"/>
          <c:order val="1"/>
          <c:tx>
            <c:strRef>
              <c:f>'Trend Files'!$C$125</c:f>
              <c:strCache>
                <c:ptCount val="1"/>
                <c:pt idx="0">
                  <c:v>AAA PSU CORP. Bonds - 10 Y</c:v>
                </c:pt>
              </c:strCache>
            </c:strRef>
          </c:tx>
          <c:spPr>
            <a:ln w="28575" cap="rnd">
              <a:solidFill>
                <a:schemeClr val="accent2"/>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Files'!$C$126:$C$136</c:f>
              <c:numCache>
                <c:formatCode>0.00</c:formatCode>
                <c:ptCount val="11"/>
                <c:pt idx="0">
                  <c:v>7.21</c:v>
                </c:pt>
                <c:pt idx="1">
                  <c:v>7.21</c:v>
                </c:pt>
                <c:pt idx="2">
                  <c:v>7.2</c:v>
                </c:pt>
                <c:pt idx="3">
                  <c:v>7.27</c:v>
                </c:pt>
                <c:pt idx="4">
                  <c:v>7.23</c:v>
                </c:pt>
                <c:pt idx="5">
                  <c:v>7.21</c:v>
                </c:pt>
                <c:pt idx="6">
                  <c:v>7.22</c:v>
                </c:pt>
                <c:pt idx="7">
                  <c:v>7.22</c:v>
                </c:pt>
                <c:pt idx="8">
                  <c:v>7.25</c:v>
                </c:pt>
                <c:pt idx="9">
                  <c:v>7.22</c:v>
                </c:pt>
                <c:pt idx="10">
                  <c:v>7.25</c:v>
                </c:pt>
              </c:numCache>
            </c:numRef>
          </c:val>
          <c:smooth val="0"/>
          <c:extLst>
            <c:ext xmlns:c16="http://schemas.microsoft.com/office/drawing/2014/chart" uri="{C3380CC4-5D6E-409C-BE32-E72D297353CC}">
              <c16:uniqueId val="{00000001-4E3A-45BA-B322-596A33CFD968}"/>
            </c:ext>
          </c:extLst>
        </c:ser>
        <c:ser>
          <c:idx val="2"/>
          <c:order val="2"/>
          <c:tx>
            <c:strRef>
              <c:f>'Trend Files'!$D$125</c:f>
              <c:strCache>
                <c:ptCount val="1"/>
                <c:pt idx="0">
                  <c:v>POONAWALA FINCORP PAPER</c:v>
                </c:pt>
              </c:strCache>
            </c:strRef>
          </c:tx>
          <c:spPr>
            <a:ln w="28575" cap="rnd">
              <a:solidFill>
                <a:schemeClr val="accent3"/>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Files'!$D$126:$D$136</c:f>
              <c:numCache>
                <c:formatCode>General</c:formatCode>
                <c:ptCount val="11"/>
                <c:pt idx="0">
                  <c:v>8.02</c:v>
                </c:pt>
                <c:pt idx="1">
                  <c:v>7.95</c:v>
                </c:pt>
                <c:pt idx="2">
                  <c:v>8.02</c:v>
                </c:pt>
                <c:pt idx="3">
                  <c:v>8.02</c:v>
                </c:pt>
                <c:pt idx="4">
                  <c:v>8</c:v>
                </c:pt>
                <c:pt idx="5">
                  <c:v>7.96</c:v>
                </c:pt>
                <c:pt idx="6">
                  <c:v>7.92</c:v>
                </c:pt>
                <c:pt idx="7">
                  <c:v>7.88</c:v>
                </c:pt>
                <c:pt idx="8">
                  <c:v>8.01</c:v>
                </c:pt>
                <c:pt idx="9">
                  <c:v>7.98</c:v>
                </c:pt>
                <c:pt idx="10">
                  <c:v>8.0299999999999994</c:v>
                </c:pt>
              </c:numCache>
            </c:numRef>
          </c:val>
          <c:smooth val="0"/>
          <c:extLst>
            <c:ext xmlns:c16="http://schemas.microsoft.com/office/drawing/2014/chart" uri="{C3380CC4-5D6E-409C-BE32-E72D297353CC}">
              <c16:uniqueId val="{00000002-4E3A-45BA-B322-596A33CFD968}"/>
            </c:ext>
          </c:extLst>
        </c:ser>
        <c:ser>
          <c:idx val="3"/>
          <c:order val="3"/>
          <c:tx>
            <c:strRef>
              <c:f>'Trend Files'!$H$125</c:f>
              <c:strCache>
                <c:ptCount val="1"/>
                <c:pt idx="0">
                  <c:v>AAA NBFC BOND-10Yr</c:v>
                </c:pt>
              </c:strCache>
            </c:strRef>
          </c:tx>
          <c:spPr>
            <a:ln w="28575" cap="rnd">
              <a:solidFill>
                <a:schemeClr val="accent4"/>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Files'!$H$126:$H$136</c:f>
              <c:numCache>
                <c:formatCode>General</c:formatCode>
                <c:ptCount val="11"/>
                <c:pt idx="0">
                  <c:v>7.54</c:v>
                </c:pt>
                <c:pt idx="1">
                  <c:v>7.57</c:v>
                </c:pt>
                <c:pt idx="2">
                  <c:v>7.45</c:v>
                </c:pt>
                <c:pt idx="3">
                  <c:v>7.38</c:v>
                </c:pt>
                <c:pt idx="4">
                  <c:v>7.38</c:v>
                </c:pt>
                <c:pt idx="5">
                  <c:v>7.47</c:v>
                </c:pt>
                <c:pt idx="6">
                  <c:v>7.49</c:v>
                </c:pt>
                <c:pt idx="7">
                  <c:v>7.49</c:v>
                </c:pt>
                <c:pt idx="8">
                  <c:v>7.39</c:v>
                </c:pt>
                <c:pt idx="9">
                  <c:v>7.52</c:v>
                </c:pt>
                <c:pt idx="10">
                  <c:v>7.49</c:v>
                </c:pt>
              </c:numCache>
            </c:numRef>
          </c:val>
          <c:smooth val="0"/>
          <c:extLst>
            <c:ext xmlns:c16="http://schemas.microsoft.com/office/drawing/2014/chart" uri="{C3380CC4-5D6E-409C-BE32-E72D297353CC}">
              <c16:uniqueId val="{00000003-4E3A-45BA-B322-596A33CFD968}"/>
            </c:ext>
          </c:extLst>
        </c:ser>
        <c:dLbls>
          <c:showLegendKey val="0"/>
          <c:showVal val="0"/>
          <c:showCatName val="0"/>
          <c:showSerName val="0"/>
          <c:showPercent val="0"/>
          <c:showBubbleSize val="0"/>
        </c:dLbls>
        <c:smooth val="0"/>
        <c:axId val="843331967"/>
        <c:axId val="1270976592"/>
      </c:lineChart>
      <c:dateAx>
        <c:axId val="843331967"/>
        <c:scaling>
          <c:orientation val="minMax"/>
        </c:scaling>
        <c:delete val="0"/>
        <c:axPos val="b"/>
        <c:numFmt formatCode="[$-409]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270976592"/>
        <c:crosses val="autoZero"/>
        <c:auto val="1"/>
        <c:lblOffset val="100"/>
        <c:baseTimeUnit val="days"/>
      </c:dateAx>
      <c:valAx>
        <c:axId val="127097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333196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US">
                <a:latin typeface="Bahnschrift Light" panose="020B0502040204020203" pitchFamily="34" charset="0"/>
              </a:rPr>
              <a:t>Ticket</a:t>
            </a:r>
            <a:r>
              <a:rPr lang="en-US" baseline="0">
                <a:latin typeface="Bahnschrift Light" panose="020B0502040204020203" pitchFamily="34" charset="0"/>
              </a:rPr>
              <a:t> Size as a % of AUM </a:t>
            </a:r>
            <a:endParaRPr lang="en-US">
              <a:latin typeface="Bahnschrift Light" panose="020B0502040204020203" pitchFamily="34" charset="0"/>
            </a:endParaRPr>
          </a:p>
        </c:rich>
      </c:tx>
      <c:layout>
        <c:manualLayout>
          <c:xMode val="edge"/>
          <c:yMode val="edge"/>
          <c:x val="0.39288761017518292"/>
          <c:y val="1.82769183388727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'Georaphic Breakup'!$I$4</c:f>
              <c:strCache>
                <c:ptCount val="1"/>
                <c:pt idx="0">
                  <c:v>Percentage Of AUM</c:v>
                </c:pt>
              </c:strCache>
            </c:strRef>
          </c:tx>
          <c:spPr>
            <a:solidFill>
              <a:schemeClr val="bg1">
                <a:lumMod val="95000"/>
              </a:schemeClr>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C15E-491E-BC3F-3221343F81D2}"/>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3-C15E-491E-BC3F-3221343F81D2}"/>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C15E-491E-BC3F-3221343F81D2}"/>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C15E-491E-BC3F-3221343F81D2}"/>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C15E-491E-BC3F-3221343F81D2}"/>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B-C15E-491E-BC3F-3221343F81D2}"/>
              </c:ext>
            </c:extLst>
          </c:dPt>
          <c:dPt>
            <c:idx val="6"/>
            <c:invertIfNegative val="0"/>
            <c:bubble3D val="0"/>
            <c:spPr>
              <a:solidFill>
                <a:schemeClr val="accent5"/>
              </a:solidFill>
              <a:ln>
                <a:noFill/>
              </a:ln>
              <a:effectLst/>
            </c:spPr>
            <c:extLst>
              <c:ext xmlns:c16="http://schemas.microsoft.com/office/drawing/2014/chart" uri="{C3380CC4-5D6E-409C-BE32-E72D297353CC}">
                <c16:uniqueId val="{0000000D-C15E-491E-BC3F-3221343F81D2}"/>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F-C15E-491E-BC3F-3221343F81D2}"/>
              </c:ext>
            </c:extLst>
          </c:dPt>
          <c:cat>
            <c:strRef>
              <c:f>'Georaphic Breakup'!$H$5:$H$14</c:f>
              <c:strCache>
                <c:ptCount val="10"/>
                <c:pt idx="0">
                  <c:v>Upto Rs 2 lakh</c:v>
                </c:pt>
                <c:pt idx="1">
                  <c:v>Rs. 2-5 lakh</c:v>
                </c:pt>
                <c:pt idx="2">
                  <c:v>Rs. 5-10 lakh</c:v>
                </c:pt>
                <c:pt idx="3">
                  <c:v>Rs. 10-25 lakh</c:v>
                </c:pt>
                <c:pt idx="4">
                  <c:v>Rs. 25-50 lakh</c:v>
                </c:pt>
                <c:pt idx="5">
                  <c:v>Rs. 50 lakh- 1Crore</c:v>
                </c:pt>
                <c:pt idx="6">
                  <c:v>Rs. 1 - 5 Crore</c:v>
                </c:pt>
                <c:pt idx="7">
                  <c:v>Rs. 5 - 25 Crore</c:v>
                </c:pt>
                <c:pt idx="8">
                  <c:v>Rs. 25 - 100 Crore</c:v>
                </c:pt>
                <c:pt idx="9">
                  <c:v>Rs. &gt; 100 Crore</c:v>
                </c:pt>
              </c:strCache>
            </c:strRef>
          </c:cat>
          <c:val>
            <c:numRef>
              <c:f>'Georaphic Breakup'!$I$5:$I$14</c:f>
              <c:numCache>
                <c:formatCode>0.00%</c:formatCode>
                <c:ptCount val="10"/>
                <c:pt idx="0">
                  <c:v>0.17799999999999999</c:v>
                </c:pt>
                <c:pt idx="1">
                  <c:v>0.13900000000000001</c:v>
                </c:pt>
                <c:pt idx="2">
                  <c:v>0.13500000000000001</c:v>
                </c:pt>
                <c:pt idx="3">
                  <c:v>0.23899999999999999</c:v>
                </c:pt>
                <c:pt idx="4">
                  <c:v>0.14000000000000001</c:v>
                </c:pt>
                <c:pt idx="5">
                  <c:v>3.5000000000000003E-2</c:v>
                </c:pt>
                <c:pt idx="6">
                  <c:v>9.6000000000000002E-2</c:v>
                </c:pt>
                <c:pt idx="7">
                  <c:v>3.7999999999999999E-2</c:v>
                </c:pt>
                <c:pt idx="8" formatCode="0%">
                  <c:v>0</c:v>
                </c:pt>
                <c:pt idx="9" formatCode="0%">
                  <c:v>0</c:v>
                </c:pt>
              </c:numCache>
            </c:numRef>
          </c:val>
          <c:extLst>
            <c:ext xmlns:c16="http://schemas.microsoft.com/office/drawing/2014/chart" uri="{C3380CC4-5D6E-409C-BE32-E72D297353CC}">
              <c16:uniqueId val="{00000010-C15E-491E-BC3F-3221343F81D2}"/>
            </c:ext>
          </c:extLst>
        </c:ser>
        <c:dLbls>
          <c:showLegendKey val="0"/>
          <c:showVal val="0"/>
          <c:showCatName val="0"/>
          <c:showSerName val="0"/>
          <c:showPercent val="0"/>
          <c:showBubbleSize val="0"/>
        </c:dLbls>
        <c:gapWidth val="182"/>
        <c:axId val="1334176863"/>
        <c:axId val="117167920"/>
      </c:barChart>
      <c:catAx>
        <c:axId val="133417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7167920"/>
        <c:crosses val="autoZero"/>
        <c:auto val="1"/>
        <c:lblAlgn val="ctr"/>
        <c:lblOffset val="100"/>
        <c:noMultiLvlLbl val="0"/>
      </c:catAx>
      <c:valAx>
        <c:axId val="117167920"/>
        <c:scaling>
          <c:orientation val="minMax"/>
        </c:scaling>
        <c:delete val="0"/>
        <c:axPos val="b"/>
        <c:majorGridlines>
          <c:spPr>
            <a:ln w="9525" cap="flat" cmpd="sng" algn="ctr">
              <a:solidFill>
                <a:schemeClr val="tx1">
                  <a:lumMod val="15000"/>
                  <a:lumOff val="85000"/>
                </a:schemeClr>
              </a:solidFill>
              <a:prstDash val="sysDot"/>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76863"/>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AUM &amp; Loan Disbursment</a:t>
            </a:r>
            <a:r>
              <a:rPr lang="en-IN" baseline="0">
                <a:latin typeface="Bahnschrift Light" panose="020B0502040204020203" pitchFamily="34" charset="0"/>
              </a:rPr>
              <a:t> Overview </a:t>
            </a:r>
            <a:endParaRPr lang="en-IN">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Working'!$Q$3</c:f>
              <c:strCache>
                <c:ptCount val="1"/>
                <c:pt idx="0">
                  <c:v>AUM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Working'!$R$2:$T$2</c:f>
              <c:numCache>
                <c:formatCode>General</c:formatCode>
                <c:ptCount val="3"/>
                <c:pt idx="0">
                  <c:v>2021</c:v>
                </c:pt>
                <c:pt idx="1">
                  <c:v>2022</c:v>
                </c:pt>
                <c:pt idx="2">
                  <c:v>2023</c:v>
                </c:pt>
              </c:numCache>
            </c:numRef>
          </c:cat>
          <c:val>
            <c:numRef>
              <c:f>'Automation Working'!$R$3:$T$3</c:f>
              <c:numCache>
                <c:formatCode>General</c:formatCode>
                <c:ptCount val="3"/>
                <c:pt idx="0">
                  <c:v>14225</c:v>
                </c:pt>
                <c:pt idx="1">
                  <c:v>16579</c:v>
                </c:pt>
                <c:pt idx="2">
                  <c:v>16143</c:v>
                </c:pt>
              </c:numCache>
            </c:numRef>
          </c:val>
          <c:extLst>
            <c:ext xmlns:c16="http://schemas.microsoft.com/office/drawing/2014/chart" uri="{C3380CC4-5D6E-409C-BE32-E72D297353CC}">
              <c16:uniqueId val="{00000000-2CC7-4D97-B892-F9D2997C1A85}"/>
            </c:ext>
          </c:extLst>
        </c:ser>
        <c:ser>
          <c:idx val="1"/>
          <c:order val="1"/>
          <c:tx>
            <c:strRef>
              <c:f>'Automation Working'!$Q$4</c:f>
              <c:strCache>
                <c:ptCount val="1"/>
                <c:pt idx="0">
                  <c:v>Loans Disbursed </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Working'!$R$2:$T$2</c:f>
              <c:numCache>
                <c:formatCode>General</c:formatCode>
                <c:ptCount val="3"/>
                <c:pt idx="0">
                  <c:v>2021</c:v>
                </c:pt>
                <c:pt idx="1">
                  <c:v>2022</c:v>
                </c:pt>
                <c:pt idx="2">
                  <c:v>2023</c:v>
                </c:pt>
              </c:numCache>
            </c:numRef>
          </c:cat>
          <c:val>
            <c:numRef>
              <c:f>'Automation Working'!$R$4:$T$4</c:f>
              <c:numCache>
                <c:formatCode>General</c:formatCode>
                <c:ptCount val="3"/>
                <c:pt idx="0">
                  <c:v>3680</c:v>
                </c:pt>
                <c:pt idx="1">
                  <c:v>9494</c:v>
                </c:pt>
                <c:pt idx="2">
                  <c:v>15198</c:v>
                </c:pt>
              </c:numCache>
            </c:numRef>
          </c:val>
          <c:extLst>
            <c:ext xmlns:c16="http://schemas.microsoft.com/office/drawing/2014/chart" uri="{C3380CC4-5D6E-409C-BE32-E72D297353CC}">
              <c16:uniqueId val="{00000001-2CC7-4D97-B892-F9D2997C1A85}"/>
            </c:ext>
          </c:extLst>
        </c:ser>
        <c:dLbls>
          <c:dLblPos val="outEnd"/>
          <c:showLegendKey val="0"/>
          <c:showVal val="1"/>
          <c:showCatName val="0"/>
          <c:showSerName val="0"/>
          <c:showPercent val="0"/>
          <c:showBubbleSize val="0"/>
        </c:dLbls>
        <c:gapWidth val="219"/>
        <c:overlap val="-27"/>
        <c:axId val="301341536"/>
        <c:axId val="2067378143"/>
      </c:barChart>
      <c:catAx>
        <c:axId val="30134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067378143"/>
        <c:crosses val="autoZero"/>
        <c:auto val="1"/>
        <c:lblAlgn val="ctr"/>
        <c:lblOffset val="100"/>
        <c:noMultiLvlLbl val="0"/>
      </c:catAx>
      <c:valAx>
        <c:axId val="2067378143"/>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3013415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latin typeface="Bahnschrift Light" panose="020B0502040204020203" pitchFamily="34" charset="0"/>
              </a:rPr>
              <a:t>Other Important Parameters </a:t>
            </a:r>
            <a:endParaRPr lang="en-IN">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Working'!$H$48</c:f>
              <c:strCache>
                <c:ptCount val="1"/>
                <c:pt idx="0">
                  <c:v>Net Worth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Working'!$I$48:$K$48</c:f>
              <c:numCache>
                <c:formatCode>General</c:formatCode>
                <c:ptCount val="3"/>
                <c:pt idx="0">
                  <c:v>1942.06</c:v>
                </c:pt>
                <c:pt idx="1">
                  <c:v>5714.5</c:v>
                </c:pt>
                <c:pt idx="2">
                  <c:v>6424.7</c:v>
                </c:pt>
              </c:numCache>
            </c:numRef>
          </c:val>
          <c:extLst>
            <c:ext xmlns:c16="http://schemas.microsoft.com/office/drawing/2014/chart" uri="{C3380CC4-5D6E-409C-BE32-E72D297353CC}">
              <c16:uniqueId val="{00000000-AC1D-4464-8FBA-AD78E84A2B04}"/>
            </c:ext>
          </c:extLst>
        </c:ser>
        <c:ser>
          <c:idx val="1"/>
          <c:order val="1"/>
          <c:tx>
            <c:strRef>
              <c:f>'Automation Working'!$H$49</c:f>
              <c:strCache>
                <c:ptCount val="1"/>
                <c:pt idx="0">
                  <c:v>Total Debt</c:v>
                </c:pt>
              </c:strCache>
            </c:strRef>
          </c:tx>
          <c:spPr>
            <a:solidFill>
              <a:schemeClr val="bg1">
                <a:lumMod val="95000"/>
              </a:schemeClr>
            </a:solidFill>
            <a:ln>
              <a:noFill/>
            </a:ln>
            <a:effectLst/>
          </c:spPr>
          <c:invertIfNegative val="0"/>
          <c:dLbls>
            <c:dLbl>
              <c:idx val="2"/>
              <c:layout>
                <c:manualLayout>
                  <c:x val="0"/>
                  <c:y val="-2.192037438388504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AC1D-4464-8FBA-AD78E84A2B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0"/>
              </c:ext>
            </c:extLst>
          </c:dLbls>
          <c:cat>
            <c:numRef>
              <c:f>'Automation Working'!$I$47:$K$47</c:f>
              <c:numCache>
                <c:formatCode>General</c:formatCode>
                <c:ptCount val="3"/>
                <c:pt idx="0">
                  <c:v>2021</c:v>
                </c:pt>
                <c:pt idx="1">
                  <c:v>2022</c:v>
                </c:pt>
                <c:pt idx="2">
                  <c:v>2023</c:v>
                </c:pt>
              </c:numCache>
            </c:numRef>
          </c:cat>
          <c:val>
            <c:numRef>
              <c:f>'Automation Working'!$I$49:$K$49</c:f>
              <c:numCache>
                <c:formatCode>General</c:formatCode>
                <c:ptCount val="3"/>
                <c:pt idx="0">
                  <c:v>8399.93</c:v>
                </c:pt>
                <c:pt idx="1">
                  <c:v>7095.15</c:v>
                </c:pt>
                <c:pt idx="2">
                  <c:v>11597.12</c:v>
                </c:pt>
              </c:numCache>
            </c:numRef>
          </c:val>
          <c:extLst>
            <c:ext xmlns:c16="http://schemas.microsoft.com/office/drawing/2014/chart" uri="{C3380CC4-5D6E-409C-BE32-E72D297353CC}">
              <c16:uniqueId val="{00000001-AC1D-4464-8FBA-AD78E84A2B04}"/>
            </c:ext>
          </c:extLst>
        </c:ser>
        <c:ser>
          <c:idx val="2"/>
          <c:order val="2"/>
          <c:tx>
            <c:strRef>
              <c:f>'Automation Working'!$H$51</c:f>
              <c:strCache>
                <c:ptCount val="1"/>
                <c:pt idx="0">
                  <c:v>AUM</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Working'!$I$51:$K$51</c:f>
              <c:numCache>
                <c:formatCode>General</c:formatCode>
                <c:ptCount val="3"/>
                <c:pt idx="0">
                  <c:v>14225</c:v>
                </c:pt>
                <c:pt idx="1">
                  <c:v>16579</c:v>
                </c:pt>
                <c:pt idx="2">
                  <c:v>16143</c:v>
                </c:pt>
              </c:numCache>
            </c:numRef>
          </c:val>
          <c:extLst>
            <c:ext xmlns:c16="http://schemas.microsoft.com/office/drawing/2014/chart" uri="{C3380CC4-5D6E-409C-BE32-E72D297353CC}">
              <c16:uniqueId val="{00000002-AC1D-4464-8FBA-AD78E84A2B04}"/>
            </c:ext>
          </c:extLst>
        </c:ser>
        <c:dLbls>
          <c:showLegendKey val="0"/>
          <c:showVal val="0"/>
          <c:showCatName val="0"/>
          <c:showSerName val="0"/>
          <c:showPercent val="0"/>
          <c:showBubbleSize val="0"/>
        </c:dLbls>
        <c:gapWidth val="219"/>
        <c:overlap val="-27"/>
        <c:axId val="1334185263"/>
        <c:axId val="460493536"/>
      </c:barChart>
      <c:lineChart>
        <c:grouping val="stacked"/>
        <c:varyColors val="0"/>
        <c:ser>
          <c:idx val="3"/>
          <c:order val="3"/>
          <c:tx>
            <c:strRef>
              <c:f>'Automation Working'!$H$52</c:f>
              <c:strCache>
                <c:ptCount val="1"/>
                <c:pt idx="0">
                  <c:v>Total Debt To Total Asset</c:v>
                </c:pt>
              </c:strCache>
            </c:strRef>
          </c:tx>
          <c:spPr>
            <a:ln w="19050" cap="rnd">
              <a:solidFill>
                <a:schemeClr val="accent2">
                  <a:lumMod val="60000"/>
                  <a:lumOff val="40000"/>
                </a:schemeClr>
              </a:solidFill>
              <a:round/>
            </a:ln>
            <a:effectLst/>
          </c:spPr>
          <c:marker>
            <c:symbol val="circle"/>
            <c:size val="5"/>
            <c:spPr>
              <a:solidFill>
                <a:schemeClr val="accent4"/>
              </a:solidFill>
              <a:ln w="19050">
                <a:solidFill>
                  <a:schemeClr val="accent2">
                    <a:lumMod val="60000"/>
                    <a:lumOff val="40000"/>
                  </a:schemeClr>
                </a:solidFill>
              </a:ln>
              <a:effectLst/>
            </c:spPr>
          </c:marker>
          <c:dLbls>
            <c:dLbl>
              <c:idx val="0"/>
              <c:layout>
                <c:manualLayout>
                  <c:x val="-3.3265543128576769E-2"/>
                  <c:y val="-4.166666666666666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AC1D-4464-8FBA-AD78E84A2B04}"/>
                </c:ext>
              </c:extLst>
            </c:dLbl>
            <c:dLbl>
              <c:idx val="1"/>
              <c:layout>
                <c:manualLayout>
                  <c:x val="-2.9763907009779215E-2"/>
                  <c:y val="-4.629629629629633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AC1D-4464-8FBA-AD78E84A2B04}"/>
                </c:ext>
              </c:extLst>
            </c:dLbl>
            <c:dLbl>
              <c:idx val="2"/>
              <c:layout>
                <c:manualLayout>
                  <c:x val="-2.9763907009779343E-2"/>
                  <c:y val="-7.407407407407411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AC1D-4464-8FBA-AD78E84A2B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'Automation Working'!$I$47:$K$47</c:f>
              <c:numCache>
                <c:formatCode>General</c:formatCode>
                <c:ptCount val="3"/>
                <c:pt idx="0">
                  <c:v>2021</c:v>
                </c:pt>
                <c:pt idx="1">
                  <c:v>2022</c:v>
                </c:pt>
                <c:pt idx="2">
                  <c:v>2023</c:v>
                </c:pt>
              </c:numCache>
            </c:numRef>
          </c:cat>
          <c:val>
            <c:numRef>
              <c:f>'Automation Working'!$I$52:$K$52</c:f>
              <c:numCache>
                <c:formatCode>0%</c:formatCode>
                <c:ptCount val="3"/>
                <c:pt idx="0">
                  <c:v>0.77</c:v>
                </c:pt>
                <c:pt idx="1">
                  <c:v>0.53</c:v>
                </c:pt>
                <c:pt idx="2">
                  <c:v>0.62</c:v>
                </c:pt>
              </c:numCache>
            </c:numRef>
          </c:val>
          <c:smooth val="0"/>
          <c:extLst>
            <c:ext xmlns:c16="http://schemas.microsoft.com/office/drawing/2014/chart" uri="{C3380CC4-5D6E-409C-BE32-E72D297353CC}">
              <c16:uniqueId val="{00000006-AC1D-4464-8FBA-AD78E84A2B04}"/>
            </c:ext>
          </c:extLst>
        </c:ser>
        <c:dLbls>
          <c:showLegendKey val="0"/>
          <c:showVal val="0"/>
          <c:showCatName val="0"/>
          <c:showSerName val="0"/>
          <c:showPercent val="0"/>
          <c:showBubbleSize val="0"/>
        </c:dLbls>
        <c:marker val="1"/>
        <c:smooth val="0"/>
        <c:axId val="1334171663"/>
        <c:axId val="460502688"/>
      </c:lineChart>
      <c:catAx>
        <c:axId val="133418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460493536"/>
        <c:crosses val="autoZero"/>
        <c:auto val="1"/>
        <c:lblAlgn val="ctr"/>
        <c:lblOffset val="100"/>
        <c:noMultiLvlLbl val="0"/>
      </c:catAx>
      <c:valAx>
        <c:axId val="460493536"/>
        <c:scaling>
          <c:orientation val="minMax"/>
        </c:scaling>
        <c:delete val="0"/>
        <c:axPos val="l"/>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85263"/>
        <c:crosses val="autoZero"/>
        <c:crossBetween val="between"/>
      </c:valAx>
      <c:valAx>
        <c:axId val="46050268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71663"/>
        <c:crosses val="max"/>
        <c:crossBetween val="between"/>
      </c:valAx>
      <c:catAx>
        <c:axId val="1334171663"/>
        <c:scaling>
          <c:orientation val="minMax"/>
        </c:scaling>
        <c:delete val="1"/>
        <c:axPos val="b"/>
        <c:numFmt formatCode="General" sourceLinked="1"/>
        <c:majorTickMark val="none"/>
        <c:minorTickMark val="none"/>
        <c:tickLblPos val="nextTo"/>
        <c:crossAx val="46050268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Other Important Parameter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5"/>
          <c:order val="5"/>
          <c:tx>
            <c:strRef>
              <c:f>'Automation Working'!$H$53</c:f>
              <c:strCache>
                <c:ptCount val="1"/>
                <c:pt idx="0">
                  <c:v>Cash &amp; Cash Equivalent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Working'!$I$53:$K$53</c:f>
              <c:numCache>
                <c:formatCode>General</c:formatCode>
                <c:ptCount val="3"/>
                <c:pt idx="0">
                  <c:v>265.08999999999997</c:v>
                </c:pt>
                <c:pt idx="1">
                  <c:v>335.2</c:v>
                </c:pt>
                <c:pt idx="2">
                  <c:v>601.38</c:v>
                </c:pt>
              </c:numCache>
            </c:numRef>
          </c:val>
          <c:extLst>
            <c:ext xmlns:c16="http://schemas.microsoft.com/office/drawing/2014/chart" uri="{C3380CC4-5D6E-409C-BE32-E72D297353CC}">
              <c16:uniqueId val="{00000000-1282-4101-A858-510FC82A29E9}"/>
            </c:ext>
          </c:extLst>
        </c:ser>
        <c:ser>
          <c:idx val="6"/>
          <c:order val="6"/>
          <c:tx>
            <c:strRef>
              <c:f>'Automation Working'!$H$54</c:f>
              <c:strCache>
                <c:ptCount val="1"/>
                <c:pt idx="0">
                  <c:v>Loans Disbursed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Working'!$I$54:$K$54</c:f>
              <c:numCache>
                <c:formatCode>General</c:formatCode>
                <c:ptCount val="3"/>
                <c:pt idx="0">
                  <c:v>3680</c:v>
                </c:pt>
                <c:pt idx="1">
                  <c:v>9494</c:v>
                </c:pt>
                <c:pt idx="2">
                  <c:v>15198</c:v>
                </c:pt>
              </c:numCache>
            </c:numRef>
          </c:val>
          <c:extLst>
            <c:ext xmlns:c16="http://schemas.microsoft.com/office/drawing/2014/chart" uri="{C3380CC4-5D6E-409C-BE32-E72D297353CC}">
              <c16:uniqueId val="{00000001-1282-4101-A858-510FC82A29E9}"/>
            </c:ext>
          </c:extLst>
        </c:ser>
        <c:dLbls>
          <c:showLegendKey val="0"/>
          <c:showVal val="1"/>
          <c:showCatName val="0"/>
          <c:showSerName val="0"/>
          <c:showPercent val="0"/>
          <c:showBubbleSize val="0"/>
        </c:dLbls>
        <c:gapWidth val="219"/>
        <c:overlap val="-27"/>
        <c:axId val="110207311"/>
        <c:axId val="840320111"/>
        <c:extLst>
          <c:ext xmlns:c15="http://schemas.microsoft.com/office/drawing/2012/chart" uri="{02D57815-91ED-43cb-92C2-25804820EDAC}">
            <c15:filteredBarSeries>
              <c15:ser>
                <c:idx val="0"/>
                <c:order val="0"/>
                <c:tx>
                  <c:strRef>
                    <c:extLst>
                      <c:ext uri="{02D57815-91ED-43cb-92C2-25804820EDAC}">
                        <c15:formulaRef>
                          <c15:sqref>'Automation Working'!$H$48</c15:sqref>
                        </c15:formulaRef>
                      </c:ext>
                    </c:extLst>
                    <c:strCache>
                      <c:ptCount val="1"/>
                      <c:pt idx="0">
                        <c:v>Net Worth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c:ext uri="{02D57815-91ED-43cb-92C2-25804820EDAC}">
                        <c15:formulaRef>
                          <c15:sqref>'Automation Working'!$I$48:$K$48</c15:sqref>
                        </c15:formulaRef>
                      </c:ext>
                    </c:extLst>
                    <c:numCache>
                      <c:formatCode>General</c:formatCode>
                      <c:ptCount val="3"/>
                      <c:pt idx="0">
                        <c:v>1942.06</c:v>
                      </c:pt>
                      <c:pt idx="1">
                        <c:v>5714.5</c:v>
                      </c:pt>
                      <c:pt idx="2">
                        <c:v>6424.7</c:v>
                      </c:pt>
                    </c:numCache>
                  </c:numRef>
                </c:val>
                <c:extLst>
                  <c:ext xmlns:c16="http://schemas.microsoft.com/office/drawing/2014/chart" uri="{C3380CC4-5D6E-409C-BE32-E72D297353CC}">
                    <c16:uniqueId val="{00000003-1282-4101-A858-510FC82A29E9}"/>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'Automation Working'!$H$49</c15:sqref>
                        </c15:formulaRef>
                      </c:ext>
                    </c:extLst>
                    <c:strCache>
                      <c:ptCount val="1"/>
                      <c:pt idx="0">
                        <c:v>Total Debt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Working'!$I$49:$K$49</c15:sqref>
                        </c15:formulaRef>
                      </c:ext>
                    </c:extLst>
                    <c:numCache>
                      <c:formatCode>General</c:formatCode>
                      <c:ptCount val="3"/>
                      <c:pt idx="0">
                        <c:v>8399.93</c:v>
                      </c:pt>
                      <c:pt idx="1">
                        <c:v>7095.15</c:v>
                      </c:pt>
                      <c:pt idx="2">
                        <c:v>11597.12</c:v>
                      </c:pt>
                    </c:numCache>
                  </c:numRef>
                </c:val>
                <c:extLst xmlns:c15="http://schemas.microsoft.com/office/drawing/2012/chart">
                  <c:ext xmlns:c16="http://schemas.microsoft.com/office/drawing/2014/chart" uri="{C3380CC4-5D6E-409C-BE32-E72D297353CC}">
                    <c16:uniqueId val="{00000004-1282-4101-A858-510FC82A29E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'Automation Working'!$H$51</c15:sqref>
                        </c15:formulaRef>
                      </c:ext>
                    </c:extLst>
                    <c:strCache>
                      <c:ptCount val="1"/>
                      <c:pt idx="0">
                        <c:v>AUM</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Working'!$I$51:$K$51</c15:sqref>
                        </c15:formulaRef>
                      </c:ext>
                    </c:extLst>
                    <c:numCache>
                      <c:formatCode>General</c:formatCode>
                      <c:ptCount val="3"/>
                      <c:pt idx="0">
                        <c:v>14225</c:v>
                      </c:pt>
                      <c:pt idx="1">
                        <c:v>16579</c:v>
                      </c:pt>
                      <c:pt idx="2">
                        <c:v>16143</c:v>
                      </c:pt>
                    </c:numCache>
                  </c:numRef>
                </c:val>
                <c:extLst xmlns:c15="http://schemas.microsoft.com/office/drawing/2012/chart">
                  <c:ext xmlns:c16="http://schemas.microsoft.com/office/drawing/2014/chart" uri="{C3380CC4-5D6E-409C-BE32-E72D297353CC}">
                    <c16:uniqueId val="{00000005-1282-4101-A858-510FC82A29E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'Automation Working'!$H$52</c15:sqref>
                        </c15:formulaRef>
                      </c:ext>
                    </c:extLst>
                    <c:strCache>
                      <c:ptCount val="1"/>
                      <c:pt idx="0">
                        <c:v>Total Debt To Total Asset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Working'!$I$52:$K$52</c15:sqref>
                        </c15:formulaRef>
                      </c:ext>
                    </c:extLst>
                    <c:numCache>
                      <c:formatCode>0%</c:formatCode>
                      <c:ptCount val="3"/>
                      <c:pt idx="0">
                        <c:v>0.77</c:v>
                      </c:pt>
                      <c:pt idx="1">
                        <c:v>0.53</c:v>
                      </c:pt>
                      <c:pt idx="2">
                        <c:v>0.62</c:v>
                      </c:pt>
                    </c:numCache>
                  </c:numRef>
                </c:val>
                <c:extLst xmlns:c15="http://schemas.microsoft.com/office/drawing/2012/chart">
                  <c:ext xmlns:c16="http://schemas.microsoft.com/office/drawing/2014/chart" uri="{C3380CC4-5D6E-409C-BE32-E72D297353CC}">
                    <c16:uniqueId val="{00000006-1282-4101-A858-510FC82A29E9}"/>
                  </c:ext>
                </c:extLst>
              </c15:ser>
            </c15:filteredBarSeries>
          </c:ext>
        </c:extLst>
      </c:barChart>
      <c:lineChart>
        <c:grouping val="stacked"/>
        <c:varyColors val="0"/>
        <c:ser>
          <c:idx val="2"/>
          <c:order val="2"/>
          <c:tx>
            <c:strRef>
              <c:f>'Automation Working'!$H$50</c:f>
              <c:strCache>
                <c:ptCount val="1"/>
                <c:pt idx="0">
                  <c:v>Gearing Ratio Times</c:v>
                </c:pt>
              </c:strCache>
            </c:strRef>
          </c:tx>
          <c:spPr>
            <a:ln w="28575" cap="rnd">
              <a:solidFill>
                <a:schemeClr val="accent2">
                  <a:lumMod val="60000"/>
                  <a:lumOff val="40000"/>
                </a:schemeClr>
              </a:solidFill>
              <a:round/>
            </a:ln>
            <a:effectLst/>
          </c:spPr>
          <c:marker>
            <c:symbol val="circle"/>
            <c:size val="5"/>
            <c:spPr>
              <a:solidFill>
                <a:schemeClr val="accent3"/>
              </a:solidFill>
              <a:ln w="9525">
                <a:solidFill>
                  <a:schemeClr val="accent2">
                    <a:lumMod val="60000"/>
                    <a:lumOff val="40000"/>
                  </a:schemeClr>
                </a:solidFill>
              </a:ln>
              <a:effectLst/>
            </c:spPr>
          </c:marker>
          <c:dLbls>
            <c:dLbl>
              <c:idx val="0"/>
              <c:layout>
                <c:manualLayout>
                  <c:x val="-5.1024664025449959E-2"/>
                  <c:y val="-3.703703703703701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1282-4101-A858-510FC82A29E9}"/>
                </c:ext>
              </c:extLst>
            </c:dLbl>
            <c:dLbl>
              <c:idx val="1"/>
              <c:layout>
                <c:manualLayout>
                  <c:x val="-6.4589285728316542E-2"/>
                  <c:y val="2.777788964903812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1282-4101-A858-510FC82A29E9}"/>
                </c:ext>
              </c:extLst>
            </c:dLbl>
            <c:dLbl>
              <c:idx val="2"/>
              <c:layout>
                <c:manualLayout>
                  <c:x val="-6.2796266560087743E-2"/>
                  <c:y val="-4.7272639402937328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1282-4101-A858-510FC82A29E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Working'!$I$50:$K$50</c:f>
              <c:numCache>
                <c:formatCode>General</c:formatCode>
                <c:ptCount val="3"/>
                <c:pt idx="0">
                  <c:v>4.08</c:v>
                </c:pt>
                <c:pt idx="1">
                  <c:v>1.18</c:v>
                </c:pt>
                <c:pt idx="2">
                  <c:v>1.73</c:v>
                </c:pt>
              </c:numCache>
            </c:numRef>
          </c:val>
          <c:smooth val="0"/>
          <c:extLst>
            <c:ext xmlns:c16="http://schemas.microsoft.com/office/drawing/2014/chart" uri="{C3380CC4-5D6E-409C-BE32-E72D297353CC}">
              <c16:uniqueId val="{00000002-1282-4101-A858-510FC82A29E9}"/>
            </c:ext>
          </c:extLst>
        </c:ser>
        <c:dLbls>
          <c:showLegendKey val="0"/>
          <c:showVal val="1"/>
          <c:showCatName val="0"/>
          <c:showSerName val="0"/>
          <c:showPercent val="0"/>
          <c:showBubbleSize val="0"/>
        </c:dLbls>
        <c:marker val="1"/>
        <c:smooth val="0"/>
        <c:axId val="457577568"/>
        <c:axId val="2074791535"/>
      </c:lineChart>
      <c:catAx>
        <c:axId val="1102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0320111"/>
        <c:crosses val="autoZero"/>
        <c:auto val="1"/>
        <c:lblAlgn val="ctr"/>
        <c:lblOffset val="100"/>
        <c:noMultiLvlLbl val="0"/>
      </c:catAx>
      <c:valAx>
        <c:axId val="840320111"/>
        <c:scaling>
          <c:orientation val="minMax"/>
        </c:scaling>
        <c:delete val="0"/>
        <c:axPos val="l"/>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0207311"/>
        <c:crosses val="autoZero"/>
        <c:crossBetween val="between"/>
      </c:valAx>
      <c:valAx>
        <c:axId val="2074791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457577568"/>
        <c:crosses val="max"/>
        <c:crossBetween val="between"/>
      </c:valAx>
      <c:catAx>
        <c:axId val="457577568"/>
        <c:scaling>
          <c:orientation val="minMax"/>
        </c:scaling>
        <c:delete val="1"/>
        <c:axPos val="b"/>
        <c:numFmt formatCode="General" sourceLinked="1"/>
        <c:majorTickMark val="out"/>
        <c:minorTickMark val="none"/>
        <c:tickLblPos val="nextTo"/>
        <c:crossAx val="2074791535"/>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Top</a:t>
            </a:r>
            <a:r>
              <a:rPr lang="en-IN" baseline="0">
                <a:latin typeface="Bahnschrift Light" panose="020B0502040204020203" pitchFamily="34" charset="0"/>
              </a:rPr>
              <a:t> Buyers of Its Papers</a:t>
            </a:r>
            <a:endParaRPr lang="en-IN">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'DATA LIST'!$C$99</c:f>
              <c:strCache>
                <c:ptCount val="1"/>
                <c:pt idx="0">
                  <c:v>Amount(₹ Crs)</c:v>
                </c:pt>
              </c:strCache>
            </c:strRef>
          </c:tx>
          <c:spPr>
            <a:solidFill>
              <a:schemeClr val="accent5">
                <a:lumMod val="75000"/>
              </a:schemeClr>
            </a:solidFill>
            <a:ln>
              <a:noFill/>
            </a:ln>
            <a:effectLst>
              <a:softEdge rad="0"/>
            </a:effectLst>
            <a:scene3d>
              <a:camera prst="orthographicFront"/>
              <a:lightRig rig="threePt" dir="t"/>
            </a:scene3d>
            <a:sp3d prstMaterial="dkEdge"/>
          </c:spPr>
          <c:invertIfNegative val="0"/>
          <c:cat>
            <c:strRef>
              <c:f>('DATA LIST'!$B$100:$B$103,'DATA LIST'!$B$105:$B$116)</c:f>
              <c:strCache>
                <c:ptCount val="16"/>
                <c:pt idx="0">
                  <c:v>State Bank of India</c:v>
                </c:pt>
                <c:pt idx="1">
                  <c:v>Punjab National Bank</c:v>
                </c:pt>
                <c:pt idx="2">
                  <c:v>Union Bank of India</c:v>
                </c:pt>
                <c:pt idx="3">
                  <c:v>Small Industries Development Bank of India</c:v>
                </c:pt>
                <c:pt idx="4">
                  <c:v>ICICI Bank Ltd.</c:v>
                </c:pt>
                <c:pt idx="5">
                  <c:v>Bank of India</c:v>
                </c:pt>
                <c:pt idx="6">
                  <c:v>HSBC Ltd.</c:v>
                </c:pt>
                <c:pt idx="7">
                  <c:v>IDBI Bank Ltd.</c:v>
                </c:pt>
                <c:pt idx="8">
                  <c:v>Axis Bank Ltd.</c:v>
                </c:pt>
                <c:pt idx="9">
                  <c:v>Indian Bank</c:v>
                </c:pt>
                <c:pt idx="10">
                  <c:v>HDFC Bank Ltd.</c:v>
                </c:pt>
                <c:pt idx="11">
                  <c:v>Bank of Maharashtra</c:v>
                </c:pt>
                <c:pt idx="12">
                  <c:v>Indian Overseas Bank</c:v>
                </c:pt>
                <c:pt idx="13">
                  <c:v>UCO Bank</c:v>
                </c:pt>
                <c:pt idx="14">
                  <c:v>Bank of Baroda</c:v>
                </c:pt>
                <c:pt idx="15">
                  <c:v>IDFC First Bank Ltd.</c:v>
                </c:pt>
              </c:strCache>
            </c:strRef>
          </c:cat>
          <c:val>
            <c:numRef>
              <c:f>('DATA LIST'!$C$100:$C$103,'DATA LIST'!$C$105:$C$116)</c:f>
              <c:numCache>
                <c:formatCode>General</c:formatCode>
                <c:ptCount val="16"/>
                <c:pt idx="0">
                  <c:v>1714.5900000000001</c:v>
                </c:pt>
                <c:pt idx="1">
                  <c:v>1713.54</c:v>
                </c:pt>
                <c:pt idx="2">
                  <c:v>1594.45</c:v>
                </c:pt>
                <c:pt idx="3">
                  <c:v>1368.45</c:v>
                </c:pt>
                <c:pt idx="4">
                  <c:v>1312.5</c:v>
                </c:pt>
                <c:pt idx="5">
                  <c:v>987.5</c:v>
                </c:pt>
                <c:pt idx="6">
                  <c:v>600</c:v>
                </c:pt>
                <c:pt idx="7">
                  <c:v>450</c:v>
                </c:pt>
                <c:pt idx="8">
                  <c:v>379.17</c:v>
                </c:pt>
                <c:pt idx="9">
                  <c:v>373.75</c:v>
                </c:pt>
                <c:pt idx="10">
                  <c:v>345.31</c:v>
                </c:pt>
                <c:pt idx="11">
                  <c:v>300</c:v>
                </c:pt>
                <c:pt idx="12">
                  <c:v>238.5</c:v>
                </c:pt>
                <c:pt idx="13">
                  <c:v>208.34</c:v>
                </c:pt>
                <c:pt idx="14">
                  <c:v>175</c:v>
                </c:pt>
                <c:pt idx="15">
                  <c:v>100</c:v>
                </c:pt>
              </c:numCache>
            </c:numRef>
          </c:val>
          <c:extLst>
            <c:ext xmlns:c16="http://schemas.microsoft.com/office/drawing/2014/chart" uri="{C3380CC4-5D6E-409C-BE32-E72D297353CC}">
              <c16:uniqueId val="{00000000-B914-4AB1-AA82-20C5F8A68261}"/>
            </c:ext>
          </c:extLst>
        </c:ser>
        <c:dLbls>
          <c:showLegendKey val="0"/>
          <c:showVal val="0"/>
          <c:showCatName val="0"/>
          <c:showSerName val="0"/>
          <c:showPercent val="0"/>
          <c:showBubbleSize val="0"/>
        </c:dLbls>
        <c:gapWidth val="182"/>
        <c:axId val="110116911"/>
        <c:axId val="840323855"/>
      </c:barChart>
      <c:catAx>
        <c:axId val="11011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0323855"/>
        <c:crosses val="autoZero"/>
        <c:auto val="1"/>
        <c:lblAlgn val="ctr"/>
        <c:lblOffset val="100"/>
        <c:noMultiLvlLbl val="0"/>
      </c:catAx>
      <c:valAx>
        <c:axId val="840323855"/>
        <c:scaling>
          <c:orientation val="minMax"/>
        </c:scaling>
        <c:delete val="0"/>
        <c:axPos val="b"/>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6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lumMod val="65000"/>
                  </a:schemeClr>
                </a:solidFill>
                <a:latin typeface="Bahnschrift Light SemiCondensed" panose="020B0502040204020203" pitchFamily="34" charset="0"/>
              </a:rPr>
              <a:t>Spread</a:t>
            </a:r>
            <a:r>
              <a:rPr lang="en-IN" baseline="0">
                <a:solidFill>
                  <a:schemeClr val="bg1">
                    <a:lumMod val="65000"/>
                  </a:schemeClr>
                </a:solidFill>
                <a:latin typeface="Bahnschrift Light SemiCondensed" panose="020B0502040204020203" pitchFamily="34" charset="0"/>
              </a:rPr>
              <a:t> Earned</a:t>
            </a:r>
            <a:endParaRPr lang="en-IN">
              <a:solidFill>
                <a:schemeClr val="bg1">
                  <a:lumMod val="65000"/>
                </a:schemeClr>
              </a:solidFill>
              <a:latin typeface="Bahnschrift Light SemiCondensed" panose="020B0502040204020203" pitchFamily="34" charset="0"/>
            </a:endParaRPr>
          </a:p>
        </c:rich>
      </c:tx>
      <c:layout>
        <c:manualLayout>
          <c:xMode val="edge"/>
          <c:yMode val="edge"/>
          <c:x val="0.39149363939235376"/>
          <c:y val="3.32708923808341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95000"/>
              </a:schemeClr>
            </a:solidFill>
            <a:ln>
              <a:noFill/>
            </a:ln>
            <a:effectLst/>
          </c:spPr>
          <c:invertIfNegative val="0"/>
          <c:dPt>
            <c:idx val="0"/>
            <c:invertIfNegative val="0"/>
            <c:bubble3D val="0"/>
            <c:spPr>
              <a:gradFill flip="none" rotWithShape="1">
                <a:gsLst>
                  <a:gs pos="0">
                    <a:srgbClr val="B8469A">
                      <a:tint val="66000"/>
                      <a:satMod val="160000"/>
                    </a:srgbClr>
                  </a:gs>
                  <a:gs pos="50000">
                    <a:srgbClr val="B8469A">
                      <a:tint val="44500"/>
                      <a:satMod val="160000"/>
                    </a:srgbClr>
                  </a:gs>
                  <a:gs pos="100000">
                    <a:srgbClr val="B8469A">
                      <a:tint val="23500"/>
                      <a:satMod val="160000"/>
                    </a:srgbClr>
                  </a:gs>
                </a:gsLst>
                <a:lin ang="18900000" scaled="1"/>
                <a:tileRect/>
              </a:gradFill>
              <a:ln>
                <a:noFill/>
              </a:ln>
              <a:effectLst/>
            </c:spPr>
            <c:extLst>
              <c:ext xmlns:c16="http://schemas.microsoft.com/office/drawing/2014/chart" uri="{C3380CC4-5D6E-409C-BE32-E72D297353CC}">
                <c16:uniqueId val="{00000001-4FCD-4EB0-A42A-B44402ADA505}"/>
              </c:ext>
            </c:extLst>
          </c:dPt>
          <c:dPt>
            <c:idx val="1"/>
            <c:invertIfNegative val="0"/>
            <c:bubble3D val="0"/>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18900000" scaled="1"/>
                <a:tileRect/>
              </a:gradFill>
              <a:ln>
                <a:noFill/>
              </a:ln>
              <a:effectLst/>
            </c:spPr>
            <c:extLst>
              <c:ext xmlns:c16="http://schemas.microsoft.com/office/drawing/2014/chart" uri="{C3380CC4-5D6E-409C-BE32-E72D297353CC}">
                <c16:uniqueId val="{00000003-4FCD-4EB0-A42A-B44402ADA505}"/>
              </c:ext>
            </c:extLst>
          </c:dPt>
          <c:dPt>
            <c:idx val="2"/>
            <c:invertIfNegative val="0"/>
            <c:bubble3D val="0"/>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path path="circle">
                  <a:fillToRect l="100000" t="100000"/>
                </a:path>
                <a:tileRect r="-100000" b="-100000"/>
              </a:gradFill>
              <a:ln>
                <a:noFill/>
              </a:ln>
              <a:effectLst/>
            </c:spPr>
            <c:extLst>
              <c:ext xmlns:c16="http://schemas.microsoft.com/office/drawing/2014/chart" uri="{C3380CC4-5D6E-409C-BE32-E72D297353CC}">
                <c16:uniqueId val="{00000005-4FCD-4EB0-A42A-B44402ADA505}"/>
              </c:ext>
            </c:extLst>
          </c:dPt>
          <c:dLbls>
            <c:dLbl>
              <c:idx val="0"/>
              <c:layout>
                <c:manualLayout>
                  <c:x val="-1.1111111111111086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8469A"/>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4FCD-4EB0-A42A-B44402ADA505}"/>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4FCD-4EB0-A42A-B44402ADA505}"/>
                </c:ext>
              </c:extLst>
            </c:dLbl>
            <c:dLbl>
              <c:idx val="2"/>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4FCD-4EB0-A42A-B44402ADA5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poly"/>
            <c:order val="2"/>
            <c:dispRSqr val="0"/>
            <c:dispEq val="0"/>
          </c:trendline>
          <c:cat>
            <c:numRef>
              <c:f>'DATA FS'!$B$115:$D$115</c:f>
              <c:numCache>
                <c:formatCode>General</c:formatCode>
                <c:ptCount val="3"/>
                <c:pt idx="0">
                  <c:v>2021</c:v>
                </c:pt>
                <c:pt idx="1">
                  <c:v>2022</c:v>
                </c:pt>
                <c:pt idx="2">
                  <c:v>2023</c:v>
                </c:pt>
              </c:numCache>
            </c:numRef>
          </c:cat>
          <c:val>
            <c:numRef>
              <c:f>'DATA FS'!$B$116:$D$116</c:f>
              <c:numCache>
                <c:formatCode>0.00%</c:formatCode>
                <c:ptCount val="3"/>
                <c:pt idx="0">
                  <c:v>6.1035163587480207E-2</c:v>
                </c:pt>
                <c:pt idx="1">
                  <c:v>6.6221672518816277E-2</c:v>
                </c:pt>
                <c:pt idx="2">
                  <c:v>6.2856099866103007E-2</c:v>
                </c:pt>
              </c:numCache>
            </c:numRef>
          </c:val>
          <c:extLst>
            <c:ext xmlns:c16="http://schemas.microsoft.com/office/drawing/2014/chart" uri="{C3380CC4-5D6E-409C-BE32-E72D297353CC}">
              <c16:uniqueId val="{00000007-4FCD-4EB0-A42A-B44402ADA505}"/>
            </c:ext>
          </c:extLst>
        </c:ser>
        <c:dLbls>
          <c:showLegendKey val="0"/>
          <c:showVal val="0"/>
          <c:showCatName val="0"/>
          <c:showSerName val="0"/>
          <c:showPercent val="0"/>
          <c:showBubbleSize val="0"/>
        </c:dLbls>
        <c:gapWidth val="219"/>
        <c:overlap val="-27"/>
        <c:axId val="119770096"/>
        <c:axId val="658372576"/>
      </c:barChart>
      <c:catAx>
        <c:axId val="119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658372576"/>
        <c:crosses val="autoZero"/>
        <c:auto val="1"/>
        <c:lblAlgn val="ctr"/>
        <c:lblOffset val="100"/>
        <c:noMultiLvlLbl val="0"/>
      </c:catAx>
      <c:valAx>
        <c:axId val="658372576"/>
        <c:scaling>
          <c:orientation val="minMax"/>
        </c:scaling>
        <c:delete val="0"/>
        <c:axPos val="l"/>
        <c:majorGridlines>
          <c:spPr>
            <a:ln w="9525" cap="flat" cmpd="sng" algn="ctr">
              <a:solidFill>
                <a:schemeClr val="bg1">
                  <a:lumMod val="9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977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Credit</a:t>
            </a:r>
            <a:r>
              <a:rPr lang="en-IN" baseline="0">
                <a:latin typeface="Bahnschrift Light" panose="020B0502040204020203" pitchFamily="34" charset="0"/>
              </a:rPr>
              <a:t> Cost</a:t>
            </a:r>
            <a:endParaRPr lang="en-IN">
              <a:latin typeface="Bahnschrift Light" panose="020B0502040204020203" pitchFamily="34" charset="0"/>
            </a:endParaRPr>
          </a:p>
        </c:rich>
      </c:tx>
      <c:layout>
        <c:manualLayout>
          <c:xMode val="edge"/>
          <c:yMode val="edge"/>
          <c:x val="0.4276047681539808"/>
          <c:y val="4.2530256634587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95000"/>
              </a:schemeClr>
            </a:solidFill>
            <a:ln>
              <a:noFill/>
            </a:ln>
            <a:effectLst/>
          </c:spPr>
          <c:invertIfNegative val="0"/>
          <c:dPt>
            <c:idx val="0"/>
            <c:invertIfNegative val="0"/>
            <c:bubble3D val="0"/>
            <c:spPr>
              <a:gradFill flip="none" rotWithShape="1">
                <a:gsLst>
                  <a:gs pos="0">
                    <a:srgbClr val="B8469A">
                      <a:tint val="66000"/>
                      <a:satMod val="160000"/>
                    </a:srgbClr>
                  </a:gs>
                  <a:gs pos="50000">
                    <a:srgbClr val="B8469A">
                      <a:tint val="44500"/>
                      <a:satMod val="160000"/>
                    </a:srgbClr>
                  </a:gs>
                  <a:gs pos="100000">
                    <a:srgbClr val="B8469A">
                      <a:tint val="23500"/>
                      <a:satMod val="160000"/>
                    </a:srgbClr>
                  </a:gs>
                </a:gsLst>
                <a:lin ang="18900000" scaled="1"/>
                <a:tileRect/>
              </a:gradFill>
              <a:ln>
                <a:noFill/>
              </a:ln>
              <a:effectLst/>
            </c:spPr>
            <c:extLst>
              <c:ext xmlns:c16="http://schemas.microsoft.com/office/drawing/2014/chart" uri="{C3380CC4-5D6E-409C-BE32-E72D297353CC}">
                <c16:uniqueId val="{00000001-CE9D-455C-B62D-4B524F5E22DD}"/>
              </c:ext>
            </c:extLst>
          </c:dPt>
          <c:dPt>
            <c:idx val="1"/>
            <c:invertIfNegative val="0"/>
            <c:bubble3D val="0"/>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18900000" scaled="1"/>
                <a:tileRect/>
              </a:gradFill>
              <a:ln>
                <a:noFill/>
              </a:ln>
              <a:effectLst/>
            </c:spPr>
            <c:extLst>
              <c:ext xmlns:c16="http://schemas.microsoft.com/office/drawing/2014/chart" uri="{C3380CC4-5D6E-409C-BE32-E72D297353CC}">
                <c16:uniqueId val="{00000003-CE9D-455C-B62D-4B524F5E22DD}"/>
              </c:ext>
            </c:extLst>
          </c:dPt>
          <c:dPt>
            <c:idx val="2"/>
            <c:invertIfNegative val="0"/>
            <c:bubble3D val="0"/>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path path="circle">
                  <a:fillToRect l="100000" t="100000"/>
                </a:path>
                <a:tileRect r="-100000" b="-100000"/>
              </a:gradFill>
              <a:ln>
                <a:noFill/>
              </a:ln>
              <a:effectLst/>
            </c:spPr>
            <c:extLst>
              <c:ext xmlns:c16="http://schemas.microsoft.com/office/drawing/2014/chart" uri="{C3380CC4-5D6E-409C-BE32-E72D297353CC}">
                <c16:uniqueId val="{00000005-CE9D-455C-B62D-4B524F5E22DD}"/>
              </c:ext>
            </c:extLst>
          </c:dPt>
          <c:dLbls>
            <c:dLbl>
              <c:idx val="0"/>
              <c:layout>
                <c:manualLayout>
                  <c:x val="-1.1111111111111086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8469A"/>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CE9D-455C-B62D-4B524F5E22DD}"/>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CE9D-455C-B62D-4B524F5E22DD}"/>
                </c:ext>
              </c:extLst>
            </c:dLbl>
            <c:dLbl>
              <c:idx val="2"/>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CE9D-455C-B62D-4B524F5E22D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poly"/>
            <c:order val="2"/>
            <c:dispRSqr val="0"/>
            <c:dispEq val="0"/>
          </c:trendline>
          <c:cat>
            <c:numRef>
              <c:f>'DATA FS'!$B$94:$D$94</c:f>
              <c:numCache>
                <c:formatCode>General</c:formatCode>
                <c:ptCount val="3"/>
                <c:pt idx="0">
                  <c:v>2021</c:v>
                </c:pt>
                <c:pt idx="1">
                  <c:v>2022</c:v>
                </c:pt>
                <c:pt idx="2">
                  <c:v>2023</c:v>
                </c:pt>
              </c:numCache>
            </c:numRef>
          </c:cat>
          <c:val>
            <c:numRef>
              <c:f>'DATA FS'!$B$95:$D$95</c:f>
              <c:numCache>
                <c:formatCode>0.0%</c:formatCode>
                <c:ptCount val="3"/>
                <c:pt idx="0" formatCode="0.00%">
                  <c:v>2.1813330072309725E-3</c:v>
                </c:pt>
                <c:pt idx="1">
                  <c:v>1.2285591944991809E-2</c:v>
                </c:pt>
                <c:pt idx="2" formatCode="0.00%">
                  <c:v>1.9330070997868596E-3</c:v>
                </c:pt>
              </c:numCache>
            </c:numRef>
          </c:val>
          <c:extLst>
            <c:ext xmlns:c16="http://schemas.microsoft.com/office/drawing/2014/chart" uri="{C3380CC4-5D6E-409C-BE32-E72D297353CC}">
              <c16:uniqueId val="{00000007-CE9D-455C-B62D-4B524F5E22DD}"/>
            </c:ext>
          </c:extLst>
        </c:ser>
        <c:dLbls>
          <c:showLegendKey val="0"/>
          <c:showVal val="0"/>
          <c:showCatName val="0"/>
          <c:showSerName val="0"/>
          <c:showPercent val="0"/>
          <c:showBubbleSize val="0"/>
        </c:dLbls>
        <c:gapWidth val="219"/>
        <c:overlap val="-27"/>
        <c:axId val="119770096"/>
        <c:axId val="658372576"/>
      </c:barChart>
      <c:catAx>
        <c:axId val="119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658372576"/>
        <c:crosses val="autoZero"/>
        <c:auto val="1"/>
        <c:lblAlgn val="ctr"/>
        <c:lblOffset val="100"/>
        <c:noMultiLvlLbl val="0"/>
      </c:catAx>
      <c:valAx>
        <c:axId val="658372576"/>
        <c:scaling>
          <c:orientation val="minMax"/>
        </c:scaling>
        <c:delete val="0"/>
        <c:axPos val="l"/>
        <c:majorGridlines>
          <c:spPr>
            <a:ln w="9525" cap="flat" cmpd="sng" algn="ctr">
              <a:solidFill>
                <a:schemeClr val="bg1">
                  <a:lumMod val="9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977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SemiCondensed" panose="020B0502040204020203" pitchFamily="34" charset="0"/>
              </a:rPr>
              <a:t>Spread</a:t>
            </a:r>
            <a:r>
              <a:rPr lang="en-IN" baseline="0">
                <a:latin typeface="Bahnschrift Light SemiCondensed" panose="020B0502040204020203" pitchFamily="34" charset="0"/>
              </a:rPr>
              <a:t> Earned</a:t>
            </a:r>
            <a:endParaRPr lang="en-IN">
              <a:latin typeface="Bahnschrift Light SemiCondensed" panose="020B0502040204020203" pitchFamily="34" charset="0"/>
            </a:endParaRPr>
          </a:p>
        </c:rich>
      </c:tx>
      <c:layout>
        <c:manualLayout>
          <c:xMode val="edge"/>
          <c:yMode val="edge"/>
          <c:x val="0.4297290026246718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95000"/>
              </a:schemeClr>
            </a:solidFill>
            <a:ln>
              <a:noFill/>
            </a:ln>
            <a:effectLst/>
          </c:spPr>
          <c:invertIfNegative val="0"/>
          <c:dPt>
            <c:idx val="0"/>
            <c:invertIfNegative val="0"/>
            <c:bubble3D val="0"/>
            <c:spPr>
              <a:gradFill flip="none" rotWithShape="1">
                <a:gsLst>
                  <a:gs pos="0">
                    <a:srgbClr val="B8469A">
                      <a:tint val="66000"/>
                      <a:satMod val="160000"/>
                    </a:srgbClr>
                  </a:gs>
                  <a:gs pos="50000">
                    <a:srgbClr val="B8469A">
                      <a:tint val="44500"/>
                      <a:satMod val="160000"/>
                    </a:srgbClr>
                  </a:gs>
                  <a:gs pos="100000">
                    <a:srgbClr val="B8469A">
                      <a:tint val="23500"/>
                      <a:satMod val="160000"/>
                    </a:srgbClr>
                  </a:gs>
                </a:gsLst>
                <a:lin ang="18900000" scaled="1"/>
                <a:tileRect/>
              </a:gradFill>
              <a:ln>
                <a:noFill/>
              </a:ln>
              <a:effectLst/>
            </c:spPr>
            <c:extLst>
              <c:ext xmlns:c16="http://schemas.microsoft.com/office/drawing/2014/chart" uri="{C3380CC4-5D6E-409C-BE32-E72D297353CC}">
                <c16:uniqueId val="{00000004-C85B-4C9A-8132-01F0DA1EB17E}"/>
              </c:ext>
            </c:extLst>
          </c:dPt>
          <c:dPt>
            <c:idx val="1"/>
            <c:invertIfNegative val="0"/>
            <c:bubble3D val="0"/>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18900000" scaled="1"/>
                <a:tileRect/>
              </a:gradFill>
              <a:ln>
                <a:noFill/>
              </a:ln>
              <a:effectLst/>
            </c:spPr>
            <c:extLst>
              <c:ext xmlns:c16="http://schemas.microsoft.com/office/drawing/2014/chart" uri="{C3380CC4-5D6E-409C-BE32-E72D297353CC}">
                <c16:uniqueId val="{00000005-C85B-4C9A-8132-01F0DA1EB17E}"/>
              </c:ext>
            </c:extLst>
          </c:dPt>
          <c:dPt>
            <c:idx val="2"/>
            <c:invertIfNegative val="0"/>
            <c:bubble3D val="0"/>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path path="circle">
                  <a:fillToRect l="100000" t="100000"/>
                </a:path>
                <a:tileRect r="-100000" b="-100000"/>
              </a:gradFill>
              <a:ln>
                <a:noFill/>
              </a:ln>
              <a:effectLst/>
            </c:spPr>
            <c:extLst>
              <c:ext xmlns:c16="http://schemas.microsoft.com/office/drawing/2014/chart" uri="{C3380CC4-5D6E-409C-BE32-E72D297353CC}">
                <c16:uniqueId val="{00000003-C85B-4C9A-8132-01F0DA1EB17E}"/>
              </c:ext>
            </c:extLst>
          </c:dPt>
          <c:dLbls>
            <c:dLbl>
              <c:idx val="0"/>
              <c:layout>
                <c:manualLayout>
                  <c:x val="-1.1111111111111086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8469A"/>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5B-4C9A-8132-01F0DA1EB17E}"/>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C85B-4C9A-8132-01F0DA1EB17E}"/>
                </c:ext>
              </c:extLst>
            </c:dLbl>
            <c:dLbl>
              <c:idx val="2"/>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5B-4C9A-8132-01F0DA1EB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poly"/>
            <c:order val="2"/>
            <c:dispRSqr val="0"/>
            <c:dispEq val="0"/>
          </c:trendline>
          <c:cat>
            <c:numRef>
              <c:f>'DATA FS'!$B$115:$D$115</c:f>
              <c:numCache>
                <c:formatCode>General</c:formatCode>
                <c:ptCount val="3"/>
                <c:pt idx="0">
                  <c:v>2021</c:v>
                </c:pt>
                <c:pt idx="1">
                  <c:v>2022</c:v>
                </c:pt>
                <c:pt idx="2">
                  <c:v>2023</c:v>
                </c:pt>
              </c:numCache>
            </c:numRef>
          </c:cat>
          <c:val>
            <c:numRef>
              <c:f>'DATA FS'!$B$116:$D$116</c:f>
              <c:numCache>
                <c:formatCode>0.00%</c:formatCode>
                <c:ptCount val="3"/>
                <c:pt idx="0">
                  <c:v>6.1035163587480207E-2</c:v>
                </c:pt>
                <c:pt idx="1">
                  <c:v>6.6221672518816277E-2</c:v>
                </c:pt>
                <c:pt idx="2">
                  <c:v>6.2856099866103007E-2</c:v>
                </c:pt>
              </c:numCache>
            </c:numRef>
          </c:val>
          <c:extLst>
            <c:ext xmlns:c16="http://schemas.microsoft.com/office/drawing/2014/chart" uri="{C3380CC4-5D6E-409C-BE32-E72D297353CC}">
              <c16:uniqueId val="{00000000-C85B-4C9A-8132-01F0DA1EB17E}"/>
            </c:ext>
          </c:extLst>
        </c:ser>
        <c:dLbls>
          <c:showLegendKey val="0"/>
          <c:showVal val="0"/>
          <c:showCatName val="0"/>
          <c:showSerName val="0"/>
          <c:showPercent val="0"/>
          <c:showBubbleSize val="0"/>
        </c:dLbls>
        <c:gapWidth val="219"/>
        <c:overlap val="-27"/>
        <c:axId val="119770096"/>
        <c:axId val="658372576"/>
      </c:barChart>
      <c:catAx>
        <c:axId val="119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658372576"/>
        <c:crosses val="autoZero"/>
        <c:auto val="1"/>
        <c:lblAlgn val="ctr"/>
        <c:lblOffset val="100"/>
        <c:noMultiLvlLbl val="0"/>
      </c:catAx>
      <c:valAx>
        <c:axId val="658372576"/>
        <c:scaling>
          <c:orientation val="minMax"/>
        </c:scaling>
        <c:delete val="0"/>
        <c:axPos val="l"/>
        <c:majorGridlines>
          <c:spPr>
            <a:ln w="9525" cap="flat" cmpd="sng" algn="ctr">
              <a:solidFill>
                <a:schemeClr val="bg1">
                  <a:lumMod val="9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977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'DATA FS'!$B$94:$D$94</c:f>
              <c:numCache>
                <c:formatCode>General</c:formatCode>
                <c:ptCount val="3"/>
                <c:pt idx="0">
                  <c:v>2021</c:v>
                </c:pt>
                <c:pt idx="1">
                  <c:v>2022</c:v>
                </c:pt>
                <c:pt idx="2">
                  <c:v>2023</c:v>
                </c:pt>
              </c:numCache>
            </c:numRef>
          </c:cat>
          <c:val>
            <c:numRef>
              <c:f>'DATA FS'!$B$95:$D$95</c:f>
              <c:numCache>
                <c:formatCode>0.0%</c:formatCode>
                <c:ptCount val="3"/>
                <c:pt idx="0" formatCode="0.00%">
                  <c:v>2.1813330072309725E-3</c:v>
                </c:pt>
                <c:pt idx="1">
                  <c:v>1.2285591944991809E-2</c:v>
                </c:pt>
                <c:pt idx="2" formatCode="0.00%">
                  <c:v>1.9330070997868596E-3</c:v>
                </c:pt>
              </c:numCache>
            </c:numRef>
          </c:val>
          <c:extLst>
            <c:ext xmlns:c16="http://schemas.microsoft.com/office/drawing/2014/chart" uri="{C3380CC4-5D6E-409C-BE32-E72D297353CC}">
              <c16:uniqueId val="{00000000-AF8A-4AFD-9FC9-46D8C7898F3B}"/>
            </c:ext>
          </c:extLst>
        </c:ser>
        <c:dLbls>
          <c:showLegendKey val="0"/>
          <c:showVal val="0"/>
          <c:showCatName val="0"/>
          <c:showSerName val="0"/>
          <c:showPercent val="0"/>
          <c:showBubbleSize val="0"/>
        </c:dLbls>
        <c:gapWidth val="219"/>
        <c:overlap val="-27"/>
        <c:axId val="1657013936"/>
        <c:axId val="1965541760"/>
      </c:barChart>
      <c:catAx>
        <c:axId val="165701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41760"/>
        <c:crosses val="autoZero"/>
        <c:auto val="1"/>
        <c:lblAlgn val="ctr"/>
        <c:lblOffset val="100"/>
        <c:noMultiLvlLbl val="0"/>
      </c:catAx>
      <c:valAx>
        <c:axId val="1965541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01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Credit</a:t>
            </a:r>
            <a:r>
              <a:rPr lang="en-IN" baseline="0">
                <a:latin typeface="Bahnschrift Light" panose="020B0502040204020203" pitchFamily="34" charset="0"/>
              </a:rPr>
              <a:t> Cost</a:t>
            </a:r>
            <a:endParaRPr lang="en-IN">
              <a:latin typeface="Bahnschrift Light" panose="020B0502040204020203" pitchFamily="34" charset="0"/>
            </a:endParaRPr>
          </a:p>
        </c:rich>
      </c:tx>
      <c:layout>
        <c:manualLayout>
          <c:xMode val="edge"/>
          <c:yMode val="edge"/>
          <c:x val="0.4276047681539808"/>
          <c:y val="4.25302566345873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bg1">
                <a:lumMod val="95000"/>
              </a:schemeClr>
            </a:solidFill>
            <a:ln>
              <a:noFill/>
            </a:ln>
            <a:effectLst/>
          </c:spPr>
          <c:invertIfNegative val="0"/>
          <c:dPt>
            <c:idx val="0"/>
            <c:invertIfNegative val="0"/>
            <c:bubble3D val="0"/>
            <c:spPr>
              <a:gradFill flip="none" rotWithShape="1">
                <a:gsLst>
                  <a:gs pos="0">
                    <a:srgbClr val="B8469A">
                      <a:tint val="66000"/>
                      <a:satMod val="160000"/>
                    </a:srgbClr>
                  </a:gs>
                  <a:gs pos="50000">
                    <a:srgbClr val="B8469A">
                      <a:tint val="44500"/>
                      <a:satMod val="160000"/>
                    </a:srgbClr>
                  </a:gs>
                  <a:gs pos="100000">
                    <a:srgbClr val="B8469A">
                      <a:tint val="23500"/>
                      <a:satMod val="160000"/>
                    </a:srgbClr>
                  </a:gs>
                </a:gsLst>
                <a:lin ang="18900000" scaled="1"/>
                <a:tileRect/>
              </a:gradFill>
              <a:ln>
                <a:noFill/>
              </a:ln>
              <a:effectLst/>
            </c:spPr>
            <c:extLst>
              <c:ext xmlns:c16="http://schemas.microsoft.com/office/drawing/2014/chart" uri="{C3380CC4-5D6E-409C-BE32-E72D297353CC}">
                <c16:uniqueId val="{00000001-4FCD-4EB0-A42A-B44402ADA505}"/>
              </c:ext>
            </c:extLst>
          </c:dPt>
          <c:dPt>
            <c:idx val="1"/>
            <c:invertIfNegative val="0"/>
            <c:bubble3D val="0"/>
            <c:spPr>
              <a:gradFill flip="none" rotWithShape="1">
                <a:gsLst>
                  <a:gs pos="0">
                    <a:schemeClr val="accent6">
                      <a:lumMod val="60000"/>
                      <a:lumOff val="40000"/>
                      <a:tint val="66000"/>
                      <a:satMod val="160000"/>
                    </a:schemeClr>
                  </a:gs>
                  <a:gs pos="50000">
                    <a:schemeClr val="accent6">
                      <a:lumMod val="60000"/>
                      <a:lumOff val="40000"/>
                      <a:tint val="44500"/>
                      <a:satMod val="160000"/>
                    </a:schemeClr>
                  </a:gs>
                  <a:gs pos="100000">
                    <a:schemeClr val="accent6">
                      <a:lumMod val="60000"/>
                      <a:lumOff val="40000"/>
                      <a:tint val="23500"/>
                      <a:satMod val="160000"/>
                    </a:schemeClr>
                  </a:gs>
                </a:gsLst>
                <a:lin ang="18900000" scaled="1"/>
                <a:tileRect/>
              </a:gradFill>
              <a:ln>
                <a:noFill/>
              </a:ln>
              <a:effectLst/>
            </c:spPr>
            <c:extLst>
              <c:ext xmlns:c16="http://schemas.microsoft.com/office/drawing/2014/chart" uri="{C3380CC4-5D6E-409C-BE32-E72D297353CC}">
                <c16:uniqueId val="{00000003-4FCD-4EB0-A42A-B44402ADA505}"/>
              </c:ext>
            </c:extLst>
          </c:dPt>
          <c:dPt>
            <c:idx val="2"/>
            <c:invertIfNegative val="0"/>
            <c:bubble3D val="0"/>
            <c:spPr>
              <a:gradFill flip="none" rotWithShape="1">
                <a:gsLst>
                  <a:gs pos="0">
                    <a:schemeClr val="bg1">
                      <a:lumMod val="95000"/>
                      <a:shade val="30000"/>
                      <a:satMod val="115000"/>
                    </a:schemeClr>
                  </a:gs>
                  <a:gs pos="50000">
                    <a:schemeClr val="bg1">
                      <a:lumMod val="95000"/>
                      <a:shade val="67500"/>
                      <a:satMod val="115000"/>
                    </a:schemeClr>
                  </a:gs>
                  <a:gs pos="100000">
                    <a:schemeClr val="bg1">
                      <a:lumMod val="95000"/>
                      <a:shade val="100000"/>
                      <a:satMod val="115000"/>
                    </a:schemeClr>
                  </a:gs>
                </a:gsLst>
                <a:path path="circle">
                  <a:fillToRect l="100000" t="100000"/>
                </a:path>
                <a:tileRect r="-100000" b="-100000"/>
              </a:gradFill>
              <a:ln>
                <a:noFill/>
              </a:ln>
              <a:effectLst/>
            </c:spPr>
            <c:extLst>
              <c:ext xmlns:c16="http://schemas.microsoft.com/office/drawing/2014/chart" uri="{C3380CC4-5D6E-409C-BE32-E72D297353CC}">
                <c16:uniqueId val="{00000005-4FCD-4EB0-A42A-B44402ADA505}"/>
              </c:ext>
            </c:extLst>
          </c:dPt>
          <c:dLbls>
            <c:dLbl>
              <c:idx val="0"/>
              <c:layout>
                <c:manualLayout>
                  <c:x val="-1.1111111111111086E-2"/>
                  <c:y val="-1.85185185185186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B8469A"/>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CD-4EB0-A42A-B44402ADA505}"/>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4FCD-4EB0-A42A-B44402ADA505}"/>
                </c:ext>
              </c:extLst>
            </c:dLbl>
            <c:dLbl>
              <c:idx val="2"/>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FCD-4EB0-A42A-B44402ADA5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SemiCondensed"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trendline>
            <c:spPr>
              <a:ln w="19050" cap="rnd">
                <a:solidFill>
                  <a:schemeClr val="accent1"/>
                </a:solidFill>
                <a:prstDash val="sysDot"/>
              </a:ln>
              <a:effectLst/>
            </c:spPr>
            <c:trendlineType val="poly"/>
            <c:order val="2"/>
            <c:dispRSqr val="0"/>
            <c:dispEq val="0"/>
          </c:trendline>
          <c:cat>
            <c:numRef>
              <c:f>'DATA FS'!$B$94:$D$94</c:f>
              <c:numCache>
                <c:formatCode>General</c:formatCode>
                <c:ptCount val="3"/>
                <c:pt idx="0">
                  <c:v>2021</c:v>
                </c:pt>
                <c:pt idx="1">
                  <c:v>2022</c:v>
                </c:pt>
                <c:pt idx="2">
                  <c:v>2023</c:v>
                </c:pt>
              </c:numCache>
            </c:numRef>
          </c:cat>
          <c:val>
            <c:numRef>
              <c:f>'DATA FS'!$B$95:$D$95</c:f>
              <c:numCache>
                <c:formatCode>0.0%</c:formatCode>
                <c:ptCount val="3"/>
                <c:pt idx="0" formatCode="0.00%">
                  <c:v>2.1813330072309725E-3</c:v>
                </c:pt>
                <c:pt idx="1">
                  <c:v>1.2285591944991809E-2</c:v>
                </c:pt>
                <c:pt idx="2" formatCode="0.00%">
                  <c:v>1.9330070997868596E-3</c:v>
                </c:pt>
              </c:numCache>
            </c:numRef>
          </c:val>
          <c:extLst>
            <c:ext xmlns:c16="http://schemas.microsoft.com/office/drawing/2014/chart" uri="{C3380CC4-5D6E-409C-BE32-E72D297353CC}">
              <c16:uniqueId val="{00000007-4FCD-4EB0-A42A-B44402ADA505}"/>
            </c:ext>
          </c:extLst>
        </c:ser>
        <c:dLbls>
          <c:showLegendKey val="0"/>
          <c:showVal val="0"/>
          <c:showCatName val="0"/>
          <c:showSerName val="0"/>
          <c:showPercent val="0"/>
          <c:showBubbleSize val="0"/>
        </c:dLbls>
        <c:gapWidth val="219"/>
        <c:overlap val="-27"/>
        <c:axId val="119770096"/>
        <c:axId val="658372576"/>
      </c:barChart>
      <c:catAx>
        <c:axId val="1197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658372576"/>
        <c:crosses val="autoZero"/>
        <c:auto val="1"/>
        <c:lblAlgn val="ctr"/>
        <c:lblOffset val="100"/>
        <c:noMultiLvlLbl val="0"/>
      </c:catAx>
      <c:valAx>
        <c:axId val="658372576"/>
        <c:scaling>
          <c:orientation val="minMax"/>
        </c:scaling>
        <c:delete val="0"/>
        <c:axPos val="l"/>
        <c:majorGridlines>
          <c:spPr>
            <a:ln w="9525" cap="flat" cmpd="sng" algn="ctr">
              <a:solidFill>
                <a:schemeClr val="bg1">
                  <a:lumMod val="9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977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Top</a:t>
            </a:r>
            <a:r>
              <a:rPr lang="en-IN" baseline="0">
                <a:latin typeface="Bahnschrift Light" panose="020B0502040204020203" pitchFamily="34" charset="0"/>
              </a:rPr>
              <a:t> Lenders</a:t>
            </a:r>
            <a:endParaRPr lang="en-IN">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'DATA LIST'!$C$99</c:f>
              <c:strCache>
                <c:ptCount val="1"/>
                <c:pt idx="0">
                  <c:v>Amount(₹ Crs)</c:v>
                </c:pt>
              </c:strCache>
            </c:strRef>
          </c:tx>
          <c:spPr>
            <a:solidFill>
              <a:schemeClr val="accent1"/>
            </a:solidFill>
            <a:ln>
              <a:noFill/>
            </a:ln>
            <a:effectLst/>
          </c:spPr>
          <c:invertIfNegative val="0"/>
          <c:cat>
            <c:strRef>
              <c:f>('DATA LIST'!$B$100:$B$103,'DATA LIST'!$B$105:$B$116)</c:f>
              <c:strCache>
                <c:ptCount val="16"/>
                <c:pt idx="0">
                  <c:v>State Bank of India</c:v>
                </c:pt>
                <c:pt idx="1">
                  <c:v>Punjab National Bank</c:v>
                </c:pt>
                <c:pt idx="2">
                  <c:v>Union Bank of India</c:v>
                </c:pt>
                <c:pt idx="3">
                  <c:v>Small Industries Development Bank of India</c:v>
                </c:pt>
                <c:pt idx="4">
                  <c:v>ICICI Bank Ltd.</c:v>
                </c:pt>
                <c:pt idx="5">
                  <c:v>Bank of India</c:v>
                </c:pt>
                <c:pt idx="6">
                  <c:v>HSBC Ltd.</c:v>
                </c:pt>
                <c:pt idx="7">
                  <c:v>IDBI Bank Ltd.</c:v>
                </c:pt>
                <c:pt idx="8">
                  <c:v>Axis Bank Ltd.</c:v>
                </c:pt>
                <c:pt idx="9">
                  <c:v>Indian Bank</c:v>
                </c:pt>
                <c:pt idx="10">
                  <c:v>HDFC Bank Ltd.</c:v>
                </c:pt>
                <c:pt idx="11">
                  <c:v>Bank of Maharashtra</c:v>
                </c:pt>
                <c:pt idx="12">
                  <c:v>Indian Overseas Bank</c:v>
                </c:pt>
                <c:pt idx="13">
                  <c:v>UCO Bank</c:v>
                </c:pt>
                <c:pt idx="14">
                  <c:v>Bank of Baroda</c:v>
                </c:pt>
                <c:pt idx="15">
                  <c:v>IDFC First Bank Ltd.</c:v>
                </c:pt>
              </c:strCache>
            </c:strRef>
          </c:cat>
          <c:val>
            <c:numRef>
              <c:f>('DATA LIST'!$C$100:$C$103,'DATA LIST'!$C$105:$C$116)</c:f>
              <c:numCache>
                <c:formatCode>General</c:formatCode>
                <c:ptCount val="16"/>
                <c:pt idx="0">
                  <c:v>1714.5900000000001</c:v>
                </c:pt>
                <c:pt idx="1">
                  <c:v>1713.54</c:v>
                </c:pt>
                <c:pt idx="2">
                  <c:v>1594.45</c:v>
                </c:pt>
                <c:pt idx="3">
                  <c:v>1368.45</c:v>
                </c:pt>
                <c:pt idx="4">
                  <c:v>1312.5</c:v>
                </c:pt>
                <c:pt idx="5">
                  <c:v>987.5</c:v>
                </c:pt>
                <c:pt idx="6">
                  <c:v>600</c:v>
                </c:pt>
                <c:pt idx="7">
                  <c:v>450</c:v>
                </c:pt>
                <c:pt idx="8">
                  <c:v>379.17</c:v>
                </c:pt>
                <c:pt idx="9">
                  <c:v>373.75</c:v>
                </c:pt>
                <c:pt idx="10">
                  <c:v>345.31</c:v>
                </c:pt>
                <c:pt idx="11">
                  <c:v>300</c:v>
                </c:pt>
                <c:pt idx="12">
                  <c:v>238.5</c:v>
                </c:pt>
                <c:pt idx="13">
                  <c:v>208.34</c:v>
                </c:pt>
                <c:pt idx="14">
                  <c:v>175</c:v>
                </c:pt>
                <c:pt idx="15">
                  <c:v>100</c:v>
                </c:pt>
              </c:numCache>
            </c:numRef>
          </c:val>
          <c:extLst>
            <c:ext xmlns:c16="http://schemas.microsoft.com/office/drawing/2014/chart" uri="{C3380CC4-5D6E-409C-BE32-E72D297353CC}">
              <c16:uniqueId val="{00000000-B566-418C-9000-D5B7EC853577}"/>
            </c:ext>
          </c:extLst>
        </c:ser>
        <c:dLbls>
          <c:showLegendKey val="0"/>
          <c:showVal val="0"/>
          <c:showCatName val="0"/>
          <c:showSerName val="0"/>
          <c:showPercent val="0"/>
          <c:showBubbleSize val="0"/>
        </c:dLbls>
        <c:gapWidth val="182"/>
        <c:axId val="110116911"/>
        <c:axId val="840323855"/>
      </c:barChart>
      <c:catAx>
        <c:axId val="11011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0323855"/>
        <c:crosses val="autoZero"/>
        <c:auto val="1"/>
        <c:lblAlgn val="ctr"/>
        <c:lblOffset val="100"/>
        <c:noMultiLvlLbl val="0"/>
      </c:catAx>
      <c:valAx>
        <c:axId val="840323855"/>
        <c:scaling>
          <c:orientation val="minMax"/>
        </c:scaling>
        <c:delete val="0"/>
        <c:axPos val="b"/>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6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accent5"/>
                </a:solidFill>
                <a:latin typeface="Bahnschrift Condensed" panose="020B0502040204020203" pitchFamily="34" charset="0"/>
                <a:ea typeface="+mn-ea"/>
                <a:cs typeface="+mn-cs"/>
              </a:defRPr>
            </a:pPr>
            <a:r>
              <a:rPr lang="en-IN"/>
              <a:t>Ratios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Bahnschrift Condensed"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'Automation Working'!$B$53</c:f>
              <c:strCache>
                <c:ptCount val="1"/>
                <c:pt idx="0">
                  <c:v>2021</c:v>
                </c:pt>
              </c:strCache>
            </c:strRef>
          </c:tx>
          <c:spPr>
            <a:gradFill flip="none" rotWithShape="1">
              <a:gsLst>
                <a:gs pos="0">
                  <a:srgbClr val="5B9BD5">
                    <a:shade val="30000"/>
                    <a:satMod val="115000"/>
                  </a:srgbClr>
                </a:gs>
                <a:gs pos="50000">
                  <a:srgbClr val="5B9BD5">
                    <a:shade val="67500"/>
                    <a:satMod val="115000"/>
                  </a:srgbClr>
                </a:gs>
                <a:gs pos="100000">
                  <a:srgbClr val="5B9BD5">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Working'!$B$54:$B$56</c:f>
              <c:numCache>
                <c:formatCode>General</c:formatCode>
                <c:ptCount val="3"/>
                <c:pt idx="0">
                  <c:v>14225</c:v>
                </c:pt>
                <c:pt idx="1">
                  <c:v>3680</c:v>
                </c:pt>
                <c:pt idx="2" formatCode="0.0%">
                  <c:v>8.2000000000000003E-2</c:v>
                </c:pt>
              </c:numCache>
            </c:numRef>
          </c:val>
          <c:extLst>
            <c:ext xmlns:c16="http://schemas.microsoft.com/office/drawing/2014/chart" uri="{C3380CC4-5D6E-409C-BE32-E72D297353CC}">
              <c16:uniqueId val="{00000000-B272-4262-AAB2-DD2D7E9E6010}"/>
            </c:ext>
          </c:extLst>
        </c:ser>
        <c:ser>
          <c:idx val="1"/>
          <c:order val="1"/>
          <c:tx>
            <c:strRef>
              <c:f>'Automation Working'!$C$53</c:f>
              <c:strCache>
                <c:ptCount val="1"/>
                <c:pt idx="0">
                  <c:v>2022</c:v>
                </c:pt>
              </c:strCache>
            </c:strRef>
          </c:tx>
          <c:spPr>
            <a:gradFill flip="none" rotWithShape="1">
              <a:gsLst>
                <a:gs pos="0">
                  <a:srgbClr val="A5A5A5">
                    <a:lumMod val="20000"/>
                    <a:lumOff val="80000"/>
                    <a:shade val="30000"/>
                    <a:satMod val="115000"/>
                  </a:srgbClr>
                </a:gs>
                <a:gs pos="50000">
                  <a:srgbClr val="A5A5A5">
                    <a:lumMod val="20000"/>
                    <a:lumOff val="80000"/>
                    <a:shade val="67500"/>
                    <a:satMod val="115000"/>
                  </a:srgbClr>
                </a:gs>
                <a:gs pos="100000">
                  <a:srgbClr val="A5A5A5">
                    <a:lumMod val="20000"/>
                    <a:lumOff val="80000"/>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Working'!$C$54:$C$56</c:f>
              <c:numCache>
                <c:formatCode>General</c:formatCode>
                <c:ptCount val="3"/>
                <c:pt idx="0">
                  <c:v>16579</c:v>
                </c:pt>
                <c:pt idx="1">
                  <c:v>9494</c:v>
                </c:pt>
                <c:pt idx="2" formatCode="0.0%">
                  <c:v>8.8999999999999996E-2</c:v>
                </c:pt>
              </c:numCache>
            </c:numRef>
          </c:val>
          <c:extLst>
            <c:ext xmlns:c16="http://schemas.microsoft.com/office/drawing/2014/chart" uri="{C3380CC4-5D6E-409C-BE32-E72D297353CC}">
              <c16:uniqueId val="{00000004-CA8E-4C3F-BFD5-3915D31BBBF3}"/>
            </c:ext>
          </c:extLst>
        </c:ser>
        <c:ser>
          <c:idx val="2"/>
          <c:order val="2"/>
          <c:tx>
            <c:strRef>
              <c:f>'Automation Working'!$D$53</c:f>
              <c:strCache>
                <c:ptCount val="1"/>
                <c:pt idx="0">
                  <c:v>2023</c:v>
                </c:pt>
              </c:strCache>
            </c:strRef>
          </c:tx>
          <c:spPr>
            <a:gradFill flip="none" rotWithShape="1">
              <a:gsLst>
                <a:gs pos="0">
                  <a:srgbClr val="5B9BD5">
                    <a:lumMod val="75000"/>
                    <a:shade val="30000"/>
                    <a:satMod val="115000"/>
                  </a:srgbClr>
                </a:gs>
                <a:gs pos="50000">
                  <a:srgbClr val="5B9BD5">
                    <a:lumMod val="75000"/>
                    <a:shade val="67500"/>
                    <a:satMod val="115000"/>
                  </a:srgbClr>
                </a:gs>
                <a:gs pos="100000">
                  <a:srgbClr val="5B9BD5">
                    <a:lumMod val="75000"/>
                    <a:shade val="100000"/>
                    <a:satMod val="11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Working'!$A$54:$A$56</c:f>
              <c:strCache>
                <c:ptCount val="3"/>
                <c:pt idx="0">
                  <c:v>AUM</c:v>
                </c:pt>
                <c:pt idx="1">
                  <c:v>Loans Disbursed </c:v>
                </c:pt>
                <c:pt idx="2">
                  <c:v>Net Interest Margin %</c:v>
                </c:pt>
              </c:strCache>
            </c:strRef>
          </c:cat>
          <c:val>
            <c:numRef>
              <c:f>'Automation Working'!$D$54:$D$56</c:f>
              <c:numCache>
                <c:formatCode>General</c:formatCode>
                <c:ptCount val="3"/>
                <c:pt idx="0">
                  <c:v>16143</c:v>
                </c:pt>
                <c:pt idx="1">
                  <c:v>15198</c:v>
                </c:pt>
                <c:pt idx="2" formatCode="0.0%">
                  <c:v>0.107</c:v>
                </c:pt>
              </c:numCache>
            </c:numRef>
          </c:val>
          <c:extLst>
            <c:ext xmlns:c16="http://schemas.microsoft.com/office/drawing/2014/chart" uri="{C3380CC4-5D6E-409C-BE32-E72D297353CC}">
              <c16:uniqueId val="{00000005-CA8E-4C3F-BFD5-3915D31BBBF3}"/>
            </c:ext>
          </c:extLst>
        </c:ser>
        <c:dLbls>
          <c:showLegendKey val="0"/>
          <c:showVal val="0"/>
          <c:showCatName val="0"/>
          <c:showSerName val="0"/>
          <c:showPercent val="0"/>
          <c:showBubbleSize val="0"/>
        </c:dLbls>
        <c:gapWidth val="182"/>
        <c:axId val="485539263"/>
        <c:axId val="1865290095"/>
      </c:barChart>
      <c:catAx>
        <c:axId val="485539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50000"/>
                  </a:schemeClr>
                </a:solidFill>
                <a:latin typeface="Bahnschrift Condensed" panose="020B0502040204020203" pitchFamily="34" charset="0"/>
                <a:ea typeface="+mn-ea"/>
                <a:cs typeface="+mn-cs"/>
              </a:defRPr>
            </a:pPr>
            <a:endParaRPr lang="en-US"/>
          </a:p>
        </c:txPr>
        <c:crossAx val="1865290095"/>
        <c:crosses val="autoZero"/>
        <c:auto val="1"/>
        <c:lblAlgn val="ctr"/>
        <c:lblOffset val="100"/>
        <c:noMultiLvlLbl val="0"/>
      </c:catAx>
      <c:valAx>
        <c:axId val="1865290095"/>
        <c:scaling>
          <c:orientation val="minMax"/>
        </c:scaling>
        <c:delete val="0"/>
        <c:axPos val="b"/>
        <c:majorGridlines>
          <c:spPr>
            <a:ln w="9525" cap="flat" cmpd="sng" algn="ctr">
              <a:solidFill>
                <a:schemeClr val="bg1">
                  <a:lumMod val="9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5392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5">
          <a:lumMod val="20000"/>
          <a:lumOff val="80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'Automation Working'!$B$107</c:f>
              <c:strCache>
                <c:ptCount val="1"/>
                <c:pt idx="0">
                  <c:v>2021</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2"/>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Working'!$B$108:$B$113</c:f>
              <c:numCache>
                <c:formatCode>0%</c:formatCode>
                <c:ptCount val="6"/>
                <c:pt idx="0">
                  <c:v>0.61499999999999999</c:v>
                </c:pt>
                <c:pt idx="1">
                  <c:v>3.0800000000000001E-2</c:v>
                </c:pt>
                <c:pt idx="2">
                  <c:v>2.4700000000000003E-2</c:v>
                </c:pt>
                <c:pt idx="3">
                  <c:v>0</c:v>
                </c:pt>
                <c:pt idx="4">
                  <c:v>1.4199999999999999E-2</c:v>
                </c:pt>
                <c:pt idx="5">
                  <c:v>1.1399999999999999E-2</c:v>
                </c:pt>
              </c:numCache>
            </c:numRef>
          </c:val>
          <c:extLst>
            <c:ext xmlns:c16="http://schemas.microsoft.com/office/drawing/2014/chart" uri="{C3380CC4-5D6E-409C-BE32-E72D297353CC}">
              <c16:uniqueId val="{00000000-C0AC-4E31-B11C-EA6D7B461A01}"/>
            </c:ext>
          </c:extLst>
        </c:ser>
        <c:ser>
          <c:idx val="1"/>
          <c:order val="1"/>
          <c:tx>
            <c:strRef>
              <c:f>'Automation Working'!$C$107</c:f>
              <c:strCache>
                <c:ptCount val="1"/>
                <c:pt idx="0">
                  <c:v>2022</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Working'!$C$108:$C$113</c:f>
              <c:numCache>
                <c:formatCode>0%</c:formatCode>
                <c:ptCount val="6"/>
                <c:pt idx="0">
                  <c:v>0.62139999999999995</c:v>
                </c:pt>
                <c:pt idx="1">
                  <c:v>2.6499999999999999E-2</c:v>
                </c:pt>
                <c:pt idx="2">
                  <c:v>2.2799999999999997E-2</c:v>
                </c:pt>
                <c:pt idx="3">
                  <c:v>0</c:v>
                </c:pt>
                <c:pt idx="4">
                  <c:v>1.3000000000000001E-2</c:v>
                </c:pt>
                <c:pt idx="5">
                  <c:v>1.1399999999999999E-2</c:v>
                </c:pt>
              </c:numCache>
            </c:numRef>
          </c:val>
          <c:extLst>
            <c:ext xmlns:c16="http://schemas.microsoft.com/office/drawing/2014/chart" uri="{C3380CC4-5D6E-409C-BE32-E72D297353CC}">
              <c16:uniqueId val="{00000001-C0AC-4E31-B11C-EA6D7B461A01}"/>
            </c:ext>
          </c:extLst>
        </c:ser>
        <c:ser>
          <c:idx val="2"/>
          <c:order val="2"/>
          <c:tx>
            <c:strRef>
              <c:f>'Automation Working'!$D$107</c:f>
              <c:strCache>
                <c:ptCount val="1"/>
                <c:pt idx="0">
                  <c:v>2023</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Working'!$A$108:$A$113</c:f>
              <c:strCache>
                <c:ptCount val="6"/>
                <c:pt idx="0">
                  <c:v>Rising Sun Holdings Pvt Ltd</c:v>
                </c:pt>
                <c:pt idx="1">
                  <c:v>Amansa Holdings Private Limited</c:v>
                </c:pt>
                <c:pt idx="2">
                  <c:v>Nippon Life India Trustee Ltd- A/C Nippo</c:v>
                </c:pt>
                <c:pt idx="3">
                  <c:v>Quant Mutual Fund - Quant Mid Cap Fund</c:v>
                </c:pt>
                <c:pt idx="4">
                  <c:v>Aditya Birla Sun Life Trustee Private Limited</c:v>
                </c:pt>
                <c:pt idx="5">
                  <c:v>Bank Muscat India Fund</c:v>
                </c:pt>
              </c:strCache>
            </c:strRef>
          </c:cat>
          <c:val>
            <c:numRef>
              <c:f>'Automation Working'!$D$108:$D$113</c:f>
              <c:numCache>
                <c:formatCode>0%</c:formatCode>
                <c:ptCount val="6"/>
                <c:pt idx="0">
                  <c:v>0.62130000000000007</c:v>
                </c:pt>
                <c:pt idx="1">
                  <c:v>2.2000000000000002E-2</c:v>
                </c:pt>
                <c:pt idx="2">
                  <c:v>0</c:v>
                </c:pt>
                <c:pt idx="3">
                  <c:v>1.9099999999999999E-2</c:v>
                </c:pt>
                <c:pt idx="4">
                  <c:v>0</c:v>
                </c:pt>
                <c:pt idx="5">
                  <c:v>1.1299999999999999E-2</c:v>
                </c:pt>
              </c:numCache>
            </c:numRef>
          </c:val>
          <c:extLst>
            <c:ext xmlns:c16="http://schemas.microsoft.com/office/drawing/2014/chart" uri="{C3380CC4-5D6E-409C-BE32-E72D297353CC}">
              <c16:uniqueId val="{00000002-C0AC-4E31-B11C-EA6D7B461A01}"/>
            </c:ext>
          </c:extLst>
        </c:ser>
        <c:dLbls>
          <c:dLblPos val="outEnd"/>
          <c:showLegendKey val="0"/>
          <c:showVal val="1"/>
          <c:showCatName val="0"/>
          <c:showSerName val="0"/>
          <c:showPercent val="0"/>
          <c:showBubbleSize val="0"/>
        </c:dLbls>
        <c:gapWidth val="182"/>
        <c:axId val="2050609872"/>
        <c:axId val="2056403184"/>
      </c:barChart>
      <c:catAx>
        <c:axId val="2050609872"/>
        <c:scaling>
          <c:orientation val="minMax"/>
        </c:scaling>
        <c:delete val="0"/>
        <c:axPos val="l"/>
        <c:numFmt formatCode="General" sourceLinked="1"/>
        <c:majorTickMark val="none"/>
        <c:minorTickMark val="none"/>
        <c:tickLblPos val="nextTo"/>
        <c:spPr>
          <a:noFill/>
          <a:ln w="9525" cap="flat" cmpd="sng" algn="ctr">
            <a:solidFill>
              <a:schemeClr val="bg1">
                <a:lumMod val="95000"/>
              </a:schemeClr>
            </a:solidFill>
            <a:prstDash val="sysDot"/>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056403184"/>
        <c:crosses val="autoZero"/>
        <c:auto val="1"/>
        <c:lblAlgn val="ctr"/>
        <c:lblOffset val="100"/>
        <c:noMultiLvlLbl val="0"/>
      </c:catAx>
      <c:valAx>
        <c:axId val="2056403184"/>
        <c:scaling>
          <c:orientation val="minMax"/>
        </c:scaling>
        <c:delete val="0"/>
        <c:axPos val="b"/>
        <c:majorGridlines>
          <c:spPr>
            <a:ln w="9525" cap="flat" cmpd="sng" algn="ctr">
              <a:solidFill>
                <a:schemeClr val="bg1">
                  <a:lumMod val="95000"/>
                </a:schemeClr>
              </a:solidFill>
              <a:prstDash val="sysDot"/>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050609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Bahnschrift Light" panose="020B0502040204020203"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'Automation Working'!$H$96</c:f>
              <c:strCache>
                <c:ptCount val="1"/>
                <c:pt idx="0">
                  <c:v>Holdings %</c:v>
                </c:pt>
              </c:strCache>
            </c:strRef>
          </c:tx>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1-B6E9-4B5A-BC12-18A15BF5940F}"/>
              </c:ext>
            </c:extLst>
          </c:dPt>
          <c:dPt>
            <c:idx val="1"/>
            <c:bubble3D val="0"/>
            <c:spPr>
              <a:gradFill flip="none" rotWithShape="1">
                <a:gsLst>
                  <a:gs pos="0">
                    <a:schemeClr val="accent2">
                      <a:tint val="66000"/>
                      <a:satMod val="160000"/>
                    </a:schemeClr>
                  </a:gs>
                  <a:gs pos="50000">
                    <a:schemeClr val="accent2">
                      <a:tint val="44500"/>
                      <a:satMod val="160000"/>
                    </a:schemeClr>
                  </a:gs>
                  <a:gs pos="100000">
                    <a:schemeClr val="accent2">
                      <a:tint val="23500"/>
                      <a:satMod val="160000"/>
                    </a:schemeClr>
                  </a:gs>
                </a:gsLst>
                <a:lin ang="18900000" scaled="1"/>
                <a:tileRect/>
              </a:gradFill>
              <a:ln w="19050">
                <a:solidFill>
                  <a:schemeClr val="lt1"/>
                </a:solidFill>
              </a:ln>
              <a:effectLst/>
            </c:spPr>
            <c:extLst>
              <c:ext xmlns:c16="http://schemas.microsoft.com/office/drawing/2014/chart" uri="{C3380CC4-5D6E-409C-BE32-E72D297353CC}">
                <c16:uniqueId val="{00000002-B6E9-4B5A-BC12-18A15BF5940F}"/>
              </c:ext>
            </c:extLst>
          </c:dPt>
          <c:dPt>
            <c:idx val="2"/>
            <c:bubble3D val="0"/>
            <c:spPr>
              <a:gradFill flip="none" rotWithShape="1">
                <a:gsLst>
                  <a:gs pos="0">
                    <a:schemeClr val="bg1">
                      <a:lumMod val="50000"/>
                      <a:tint val="66000"/>
                      <a:satMod val="160000"/>
                    </a:schemeClr>
                  </a:gs>
                  <a:gs pos="50000">
                    <a:schemeClr val="bg1">
                      <a:lumMod val="50000"/>
                      <a:tint val="44500"/>
                      <a:satMod val="160000"/>
                    </a:schemeClr>
                  </a:gs>
                  <a:gs pos="100000">
                    <a:schemeClr val="bg1">
                      <a:lumMod val="50000"/>
                      <a:tint val="23500"/>
                      <a:satMod val="160000"/>
                    </a:schemeClr>
                  </a:gs>
                </a:gsLst>
                <a:lin ang="2700000" scaled="1"/>
                <a:tileRect/>
              </a:gradFill>
              <a:ln w="19050">
                <a:solidFill>
                  <a:schemeClr val="lt1"/>
                </a:solidFill>
              </a:ln>
              <a:effectLst/>
            </c:spPr>
            <c:extLst>
              <c:ext xmlns:c16="http://schemas.microsoft.com/office/drawing/2014/chart" uri="{C3380CC4-5D6E-409C-BE32-E72D297353CC}">
                <c16:uniqueId val="{00000003-B6E9-4B5A-BC12-18A15BF5940F}"/>
              </c:ext>
            </c:extLst>
          </c:dPt>
          <c:dPt>
            <c:idx val="3"/>
            <c:bubble3D val="0"/>
            <c:spPr>
              <a:gradFill flip="none" rotWithShape="1">
                <a:gsLst>
                  <a:gs pos="0">
                    <a:schemeClr val="accent6">
                      <a:tint val="66000"/>
                      <a:satMod val="160000"/>
                    </a:schemeClr>
                  </a:gs>
                  <a:gs pos="50000">
                    <a:schemeClr val="accent6">
                      <a:tint val="44500"/>
                      <a:satMod val="160000"/>
                    </a:schemeClr>
                  </a:gs>
                  <a:gs pos="100000">
                    <a:schemeClr val="accent6">
                      <a:tint val="23500"/>
                      <a:satMod val="160000"/>
                    </a:schemeClr>
                  </a:gs>
                </a:gsLst>
                <a:lin ang="13500000" scaled="1"/>
                <a:tileRect/>
              </a:gradFill>
              <a:ln w="19050">
                <a:solidFill>
                  <a:schemeClr val="lt1"/>
                </a:solidFill>
              </a:ln>
              <a:effectLst/>
            </c:spPr>
            <c:extLst>
              <c:ext xmlns:c16="http://schemas.microsoft.com/office/drawing/2014/chart" uri="{C3380CC4-5D6E-409C-BE32-E72D297353CC}">
                <c16:uniqueId val="{00000004-B6E9-4B5A-BC12-18A15BF594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6B1-4266-8BC5-9DA6B7693B14}"/>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20000"/>
                          <a:lumOff val="8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6E9-4B5A-BC12-18A15BF5940F}"/>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6E9-4B5A-BC12-18A15BF5940F}"/>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E9-4B5A-BC12-18A15BF5940F}"/>
                </c:ext>
              </c:extLst>
            </c:dLbl>
            <c:dLbl>
              <c:idx val="3"/>
              <c:layout>
                <c:manualLayout>
                  <c:x val="0"/>
                  <c:y val="-7.3519095895598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6E9-4B5A-BC12-18A15BF594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'Automation Working'!$E$97:$E$101</c:f>
              <c:strCache>
                <c:ptCount val="5"/>
                <c:pt idx="0">
                  <c:v>Rising Sun Holdings Pvt Ltd</c:v>
                </c:pt>
                <c:pt idx="1">
                  <c:v>Amansa Holdings Private Limited</c:v>
                </c:pt>
                <c:pt idx="2">
                  <c:v>Nippon Life India Trustee Ltd- A/C Nippo</c:v>
                </c:pt>
                <c:pt idx="3">
                  <c:v>Quant Mutual Fund - Quant Mid Cap Fund</c:v>
                </c:pt>
                <c:pt idx="4">
                  <c:v>Aditya Birla Sun Life Trustee Private Limited</c:v>
                </c:pt>
              </c:strCache>
            </c:strRef>
          </c:cat>
          <c:val>
            <c:numRef>
              <c:f>'Automation Working'!$H$97:$H$101</c:f>
              <c:numCache>
                <c:formatCode>0%</c:formatCode>
                <c:ptCount val="5"/>
                <c:pt idx="0">
                  <c:v>0.62130000000000007</c:v>
                </c:pt>
                <c:pt idx="1">
                  <c:v>2.2000000000000002E-2</c:v>
                </c:pt>
                <c:pt idx="2">
                  <c:v>0</c:v>
                </c:pt>
                <c:pt idx="3">
                  <c:v>1.9099999999999999E-2</c:v>
                </c:pt>
                <c:pt idx="4">
                  <c:v>0</c:v>
                </c:pt>
              </c:numCache>
            </c:numRef>
          </c:val>
          <c:extLst>
            <c:ext xmlns:c16="http://schemas.microsoft.com/office/drawing/2014/chart" uri="{C3380CC4-5D6E-409C-BE32-E72D297353CC}">
              <c16:uniqueId val="{00000000-B6E9-4B5A-BC12-18A15BF5940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3.0210065214794093E-2"/>
          <c:y val="0.81295774916469521"/>
          <c:w val="0.95963219508754871"/>
          <c:h val="0.161094334636858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IN">
                <a:latin typeface="Bahnschrift Light" panose="020B0502040204020203" pitchFamily="34" charset="0"/>
              </a:rPr>
              <a:t>Operational</a:t>
            </a:r>
            <a:r>
              <a:rPr lang="en-IN" baseline="0">
                <a:latin typeface="Bahnschrift Light" panose="020B0502040204020203" pitchFamily="34" charset="0"/>
              </a:rPr>
              <a:t> Matrix</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'Automation Working'!$H$1</c:f>
              <c:strCache>
                <c:ptCount val="1"/>
                <c:pt idx="0">
                  <c:v>2021</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Working'!$H$3:$H$6</c:f>
              <c:numCache>
                <c:formatCode>General</c:formatCode>
                <c:ptCount val="4"/>
                <c:pt idx="0" formatCode="0%">
                  <c:v>2.4009695307347433E-2</c:v>
                </c:pt>
                <c:pt idx="1">
                  <c:v>1756.98</c:v>
                </c:pt>
                <c:pt idx="2">
                  <c:v>286.52999999999997</c:v>
                </c:pt>
                <c:pt idx="3">
                  <c:v>404.12</c:v>
                </c:pt>
              </c:numCache>
            </c:numRef>
          </c:val>
          <c:extLst>
            <c:ext xmlns:c16="http://schemas.microsoft.com/office/drawing/2014/chart" uri="{C3380CC4-5D6E-409C-BE32-E72D297353CC}">
              <c16:uniqueId val="{00000000-1DB0-4907-8DB9-E2A6F1FFFC11}"/>
            </c:ext>
          </c:extLst>
        </c:ser>
        <c:ser>
          <c:idx val="1"/>
          <c:order val="1"/>
          <c:tx>
            <c:strRef>
              <c:f>'Automation Working'!$I$1</c:f>
              <c:strCache>
                <c:ptCount val="1"/>
                <c:pt idx="0">
                  <c:v>2022</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Working'!$I$3:$I$6</c:f>
              <c:numCache>
                <c:formatCode>General</c:formatCode>
                <c:ptCount val="4"/>
                <c:pt idx="0" formatCode="0%">
                  <c:v>6.247498294612102E-2</c:v>
                </c:pt>
                <c:pt idx="1">
                  <c:v>1458.56</c:v>
                </c:pt>
                <c:pt idx="2">
                  <c:v>167</c:v>
                </c:pt>
                <c:pt idx="3">
                  <c:v>555</c:v>
                </c:pt>
              </c:numCache>
            </c:numRef>
          </c:val>
          <c:extLst>
            <c:ext xmlns:c16="http://schemas.microsoft.com/office/drawing/2014/chart" uri="{C3380CC4-5D6E-409C-BE32-E72D297353CC}">
              <c16:uniqueId val="{00000001-1DB0-4907-8DB9-E2A6F1FFFC11}"/>
            </c:ext>
          </c:extLst>
        </c:ser>
        <c:ser>
          <c:idx val="2"/>
          <c:order val="2"/>
          <c:tx>
            <c:strRef>
              <c:f>'Automation Working'!$J$1</c:f>
              <c:strCache>
                <c:ptCount val="1"/>
                <c:pt idx="0">
                  <c:v>2023</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'Automation Working'!$G$3:$G$6</c:f>
              <c:strCache>
                <c:ptCount val="4"/>
                <c:pt idx="0">
                  <c:v>Cash Flow To Debt</c:v>
                </c:pt>
                <c:pt idx="1">
                  <c:v>Interest Income</c:v>
                </c:pt>
                <c:pt idx="2">
                  <c:v>Employee Expense</c:v>
                </c:pt>
                <c:pt idx="3">
                  <c:v>Operating Cost</c:v>
                </c:pt>
              </c:strCache>
            </c:strRef>
          </c:cat>
          <c:val>
            <c:numRef>
              <c:f>'Automation Working'!$J$3:$J$6</c:f>
              <c:numCache>
                <c:formatCode>General</c:formatCode>
                <c:ptCount val="4"/>
                <c:pt idx="0" formatCode="0%">
                  <c:v>3.8268121740570066E-2</c:v>
                </c:pt>
                <c:pt idx="1">
                  <c:v>1816.94</c:v>
                </c:pt>
                <c:pt idx="2">
                  <c:v>143</c:v>
                </c:pt>
                <c:pt idx="3">
                  <c:v>741.64</c:v>
                </c:pt>
              </c:numCache>
            </c:numRef>
          </c:val>
          <c:extLst>
            <c:ext xmlns:c16="http://schemas.microsoft.com/office/drawing/2014/chart" uri="{C3380CC4-5D6E-409C-BE32-E72D297353CC}">
              <c16:uniqueId val="{00000002-1DB0-4907-8DB9-E2A6F1FFFC11}"/>
            </c:ext>
          </c:extLst>
        </c:ser>
        <c:dLbls>
          <c:showLegendKey val="0"/>
          <c:showVal val="0"/>
          <c:showCatName val="0"/>
          <c:showSerName val="0"/>
          <c:showPercent val="0"/>
          <c:showBubbleSize val="0"/>
        </c:dLbls>
        <c:gapWidth val="182"/>
        <c:axId val="1266118751"/>
        <c:axId val="1274077871"/>
      </c:barChart>
      <c:catAx>
        <c:axId val="1266118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274077871"/>
        <c:crosses val="autoZero"/>
        <c:auto val="1"/>
        <c:lblAlgn val="ctr"/>
        <c:lblOffset val="100"/>
        <c:noMultiLvlLbl val="0"/>
      </c:catAx>
      <c:valAx>
        <c:axId val="1274077871"/>
        <c:scaling>
          <c:orientation val="minMax"/>
        </c:scaling>
        <c:delete val="1"/>
        <c:axPos val="b"/>
        <c:majorGridlines>
          <c:spPr>
            <a:ln w="9525" cap="flat" cmpd="sng" algn="ctr">
              <a:solidFill>
                <a:schemeClr val="bg1">
                  <a:lumMod val="95000"/>
                </a:schemeClr>
              </a:solidFill>
              <a:prstDash val="sysDot"/>
              <a:round/>
            </a:ln>
            <a:effectLst/>
          </c:spPr>
        </c:majorGridlines>
        <c:numFmt formatCode="0%" sourceLinked="1"/>
        <c:majorTickMark val="none"/>
        <c:minorTickMark val="none"/>
        <c:tickLblPos val="nextTo"/>
        <c:crossAx val="1266118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IN">
                <a:latin typeface="Bahnschrift Light" panose="020B0502040204020203" pitchFamily="34" charset="0"/>
              </a:rPr>
              <a:t>Profitability</a:t>
            </a:r>
            <a:r>
              <a:rPr lang="en-IN" baseline="0">
                <a:latin typeface="Bahnschrift Light" panose="020B0502040204020203" pitchFamily="34" charset="0"/>
              </a:rPr>
              <a:t> Metrics</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col"/>
        <c:grouping val="clustered"/>
        <c:varyColors val="0"/>
        <c:ser>
          <c:idx val="0"/>
          <c:order val="0"/>
          <c:tx>
            <c:strRef>
              <c:f>'Automation Working'!$G$25</c:f>
              <c:strCache>
                <c:ptCount val="1"/>
                <c:pt idx="0">
                  <c:v>ROA</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3-7E55-4879-A5B6-72CD7E8FE8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Working'!$H$25:$J$25</c:f>
              <c:numCache>
                <c:formatCode>0%</c:formatCode>
                <c:ptCount val="3"/>
                <c:pt idx="0">
                  <c:v>-0.55600000000000005</c:v>
                </c:pt>
                <c:pt idx="1">
                  <c:v>2.7E-2</c:v>
                </c:pt>
                <c:pt idx="2">
                  <c:v>4.3999999999999997E-2</c:v>
                </c:pt>
              </c:numCache>
            </c:numRef>
          </c:val>
          <c:extLst>
            <c:ext xmlns:c16="http://schemas.microsoft.com/office/drawing/2014/chart" uri="{C3380CC4-5D6E-409C-BE32-E72D297353CC}">
              <c16:uniqueId val="{00000000-7E55-4879-A5B6-72CD7E8FE8F4}"/>
            </c:ext>
          </c:extLst>
        </c:ser>
        <c:ser>
          <c:idx val="1"/>
          <c:order val="1"/>
          <c:tx>
            <c:strRef>
              <c:f>'Automation Working'!$G$26</c:f>
              <c:strCache>
                <c:ptCount val="1"/>
                <c:pt idx="0">
                  <c:v>ROE</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Working'!$H$26:$J$26</c:f>
              <c:numCache>
                <c:formatCode>0%</c:formatCode>
                <c:ptCount val="3"/>
                <c:pt idx="0">
                  <c:v>-0.22800000000000001</c:v>
                </c:pt>
                <c:pt idx="1">
                  <c:v>5.7000000000000002E-2</c:v>
                </c:pt>
                <c:pt idx="2">
                  <c:v>9.7000000000000003E-2</c:v>
                </c:pt>
              </c:numCache>
            </c:numRef>
          </c:val>
          <c:extLst>
            <c:ext xmlns:c16="http://schemas.microsoft.com/office/drawing/2014/chart" uri="{C3380CC4-5D6E-409C-BE32-E72D297353CC}">
              <c16:uniqueId val="{00000001-7E55-4879-A5B6-72CD7E8FE8F4}"/>
            </c:ext>
          </c:extLst>
        </c:ser>
        <c:dLbls>
          <c:showLegendKey val="0"/>
          <c:showVal val="0"/>
          <c:showCatName val="0"/>
          <c:showSerName val="0"/>
          <c:showPercent val="0"/>
          <c:showBubbleSize val="0"/>
        </c:dLbls>
        <c:gapWidth val="219"/>
        <c:overlap val="-27"/>
        <c:axId val="1242333663"/>
        <c:axId val="1336418671"/>
      </c:barChart>
      <c:catAx>
        <c:axId val="124233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crossAx val="1336418671"/>
        <c:crosses val="autoZero"/>
        <c:auto val="1"/>
        <c:lblAlgn val="ctr"/>
        <c:lblOffset val="100"/>
        <c:noMultiLvlLbl val="0"/>
      </c:catAx>
      <c:valAx>
        <c:axId val="1336418671"/>
        <c:scaling>
          <c:orientation val="minMax"/>
        </c:scaling>
        <c:delete val="0"/>
        <c:axPos val="l"/>
        <c:majorGridlines>
          <c:spPr>
            <a:ln w="9525" cap="flat" cmpd="sng" algn="ctr">
              <a:solidFill>
                <a:schemeClr val="bg1">
                  <a:lumMod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3336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Financial</a:t>
            </a:r>
            <a:r>
              <a:rPr lang="en-IN" baseline="0">
                <a:latin typeface="Bahnschrift Light" panose="020B0502040204020203" pitchFamily="34" charset="0"/>
              </a:rPr>
              <a:t> Performance Matrix</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Working'!$G$8</c:f>
              <c:strCache>
                <c:ptCount val="1"/>
                <c:pt idx="0">
                  <c:v>Finance Cost</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Working'!$H$8:$J$8</c:f>
              <c:numCache>
                <c:formatCode>General</c:formatCode>
                <c:ptCount val="3"/>
                <c:pt idx="0">
                  <c:v>874.59</c:v>
                </c:pt>
                <c:pt idx="1">
                  <c:v>509.28</c:v>
                </c:pt>
                <c:pt idx="2">
                  <c:v>595.28</c:v>
                </c:pt>
              </c:numCache>
            </c:numRef>
          </c:val>
          <c:extLst>
            <c:ext xmlns:c16="http://schemas.microsoft.com/office/drawing/2014/chart" uri="{C3380CC4-5D6E-409C-BE32-E72D297353CC}">
              <c16:uniqueId val="{00000000-CF9D-4458-8B49-6F6E362C805B}"/>
            </c:ext>
          </c:extLst>
        </c:ser>
        <c:ser>
          <c:idx val="1"/>
          <c:order val="1"/>
          <c:tx>
            <c:strRef>
              <c:f>'Automation Working'!$G$9</c:f>
              <c:strCache>
                <c:ptCount val="1"/>
                <c:pt idx="0">
                  <c:v>PAT</c:v>
                </c:pt>
              </c:strCache>
            </c:strRef>
          </c:tx>
          <c:spPr>
            <a:solidFill>
              <a:schemeClr val="accent3">
                <a:lumMod val="20000"/>
                <a:lumOff val="80000"/>
              </a:schemeClr>
            </a:solidFill>
            <a:ln>
              <a:no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7-CF9D-4458-8B49-6F6E362C80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Working'!$H$9:$J$9</c:f>
              <c:numCache>
                <c:formatCode>General</c:formatCode>
                <c:ptCount val="3"/>
                <c:pt idx="0">
                  <c:v>-575.41</c:v>
                </c:pt>
                <c:pt idx="1">
                  <c:v>294.83</c:v>
                </c:pt>
                <c:pt idx="2">
                  <c:v>586.29999999999995</c:v>
                </c:pt>
              </c:numCache>
            </c:numRef>
          </c:val>
          <c:extLst>
            <c:ext xmlns:c16="http://schemas.microsoft.com/office/drawing/2014/chart" uri="{C3380CC4-5D6E-409C-BE32-E72D297353CC}">
              <c16:uniqueId val="{00000001-CF9D-4458-8B49-6F6E362C805B}"/>
            </c:ext>
          </c:extLst>
        </c:ser>
        <c:ser>
          <c:idx val="2"/>
          <c:order val="2"/>
          <c:tx>
            <c:strRef>
              <c:f>'Automation Working'!$G$10</c:f>
              <c:strCache>
                <c:ptCount val="1"/>
                <c:pt idx="0">
                  <c:v>Net Interest Income</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Working'!$H$10:$J$10</c:f>
              <c:numCache>
                <c:formatCode>General</c:formatCode>
                <c:ptCount val="3"/>
                <c:pt idx="0">
                  <c:v>882.38</c:v>
                </c:pt>
                <c:pt idx="1">
                  <c:v>949.27</c:v>
                </c:pt>
                <c:pt idx="2">
                  <c:v>1221.6600000000001</c:v>
                </c:pt>
              </c:numCache>
            </c:numRef>
          </c:val>
          <c:extLst>
            <c:ext xmlns:c16="http://schemas.microsoft.com/office/drawing/2014/chart" uri="{C3380CC4-5D6E-409C-BE32-E72D297353CC}">
              <c16:uniqueId val="{00000002-CF9D-4458-8B49-6F6E362C805B}"/>
            </c:ext>
          </c:extLst>
        </c:ser>
        <c:dLbls>
          <c:showLegendKey val="0"/>
          <c:showVal val="0"/>
          <c:showCatName val="0"/>
          <c:showSerName val="0"/>
          <c:showPercent val="0"/>
          <c:showBubbleSize val="0"/>
        </c:dLbls>
        <c:gapWidth val="219"/>
        <c:overlap val="-27"/>
        <c:axId val="1725465599"/>
        <c:axId val="1336707743"/>
      </c:barChart>
      <c:lineChart>
        <c:grouping val="standard"/>
        <c:varyColors val="0"/>
        <c:ser>
          <c:idx val="3"/>
          <c:order val="3"/>
          <c:tx>
            <c:strRef>
              <c:f>'Automation Working'!$G$11</c:f>
              <c:strCache>
                <c:ptCount val="1"/>
                <c:pt idx="0">
                  <c:v>Net Interest Margin %</c:v>
                </c:pt>
              </c:strCache>
            </c:strRef>
          </c:tx>
          <c:spPr>
            <a:ln w="28575" cap="rnd">
              <a:solidFill>
                <a:schemeClr val="accent6">
                  <a:lumMod val="60000"/>
                  <a:lumOff val="40000"/>
                </a:schemeClr>
              </a:solidFill>
              <a:prstDash val="sysDot"/>
              <a:round/>
            </a:ln>
            <a:effectLst/>
          </c:spPr>
          <c:marker>
            <c:symbol val="none"/>
          </c:marker>
          <c:dLbls>
            <c:dLbl>
              <c:idx val="0"/>
              <c:layout>
                <c:manualLayout>
                  <c:x val="-2.7212171537881618E-2"/>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9D-4458-8B49-6F6E362C805B}"/>
                </c:ext>
              </c:extLst>
            </c:dLbl>
            <c:dLbl>
              <c:idx val="1"/>
              <c:layout>
                <c:manualLayout>
                  <c:x val="-3.7678391360143774E-2"/>
                  <c:y val="-4.16666666666667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9D-4458-8B49-6F6E362C805B}"/>
                </c:ext>
              </c:extLst>
            </c:dLbl>
            <c:dLbl>
              <c:idx val="2"/>
              <c:layout>
                <c:manualLayout>
                  <c:x val="-2.9305415502334203E-2"/>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9D-4458-8B49-6F6E362C80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Working'!$H$11:$J$11</c:f>
              <c:numCache>
                <c:formatCode>0%</c:formatCode>
                <c:ptCount val="3"/>
                <c:pt idx="0">
                  <c:v>8.2000000000000003E-2</c:v>
                </c:pt>
                <c:pt idx="1">
                  <c:v>8.8999999999999996E-2</c:v>
                </c:pt>
                <c:pt idx="2">
                  <c:v>0.107</c:v>
                </c:pt>
              </c:numCache>
            </c:numRef>
          </c:val>
          <c:smooth val="1"/>
          <c:extLst>
            <c:ext xmlns:c16="http://schemas.microsoft.com/office/drawing/2014/chart" uri="{C3380CC4-5D6E-409C-BE32-E72D297353CC}">
              <c16:uniqueId val="{00000003-CF9D-4458-8B49-6F6E362C805B}"/>
            </c:ext>
          </c:extLst>
        </c:ser>
        <c:dLbls>
          <c:showLegendKey val="0"/>
          <c:showVal val="0"/>
          <c:showCatName val="0"/>
          <c:showSerName val="0"/>
          <c:showPercent val="0"/>
          <c:showBubbleSize val="0"/>
        </c:dLbls>
        <c:marker val="1"/>
        <c:smooth val="0"/>
        <c:axId val="1725465999"/>
        <c:axId val="1336708159"/>
      </c:lineChart>
      <c:catAx>
        <c:axId val="1725465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6707743"/>
        <c:crosses val="autoZero"/>
        <c:auto val="1"/>
        <c:lblAlgn val="ctr"/>
        <c:lblOffset val="100"/>
        <c:noMultiLvlLbl val="0"/>
      </c:catAx>
      <c:valAx>
        <c:axId val="1336707743"/>
        <c:scaling>
          <c:orientation val="minMax"/>
        </c:scaling>
        <c:delete val="0"/>
        <c:axPos val="l"/>
        <c:majorGridlines>
          <c:spPr>
            <a:ln w="9525" cap="flat" cmpd="sng" algn="ctr">
              <a:solidFill>
                <a:schemeClr val="accent5">
                  <a:lumMod val="20000"/>
                  <a:lumOff val="8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725465599"/>
        <c:crosses val="autoZero"/>
        <c:crossBetween val="between"/>
      </c:valAx>
      <c:valAx>
        <c:axId val="1336708159"/>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725465999"/>
        <c:crosses val="max"/>
        <c:crossBetween val="between"/>
      </c:valAx>
      <c:catAx>
        <c:axId val="1725465999"/>
        <c:scaling>
          <c:orientation val="minMax"/>
        </c:scaling>
        <c:delete val="1"/>
        <c:axPos val="b"/>
        <c:numFmt formatCode="General" sourceLinked="1"/>
        <c:majorTickMark val="none"/>
        <c:minorTickMark val="none"/>
        <c:tickLblPos val="nextTo"/>
        <c:crossAx val="13367081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bg1">
                    <a:lumMod val="75000"/>
                  </a:schemeClr>
                </a:solidFill>
                <a:latin typeface="Bahnschrift Light" panose="020B0502040204020203" pitchFamily="34" charset="0"/>
              </a:rPr>
              <a:t>Credit</a:t>
            </a:r>
            <a:r>
              <a:rPr lang="en-IN" baseline="0">
                <a:solidFill>
                  <a:schemeClr val="bg1">
                    <a:lumMod val="75000"/>
                  </a:schemeClr>
                </a:solidFill>
                <a:latin typeface="Bahnschrift Light" panose="020B0502040204020203" pitchFamily="34" charset="0"/>
              </a:rPr>
              <a:t> &amp; Risk Metrics</a:t>
            </a:r>
            <a:endParaRPr lang="en-IN">
              <a:solidFill>
                <a:schemeClr val="bg1">
                  <a:lumMod val="75000"/>
                </a:schemeClr>
              </a:solidFill>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Working'!$G$21</c:f>
              <c:strCache>
                <c:ptCount val="1"/>
                <c:pt idx="0">
                  <c:v>Gross NPA %</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50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Working'!$H$21:$J$21</c:f>
              <c:numCache>
                <c:formatCode>0%</c:formatCode>
                <c:ptCount val="3"/>
                <c:pt idx="0">
                  <c:v>4.3099999999999999E-2</c:v>
                </c:pt>
                <c:pt idx="1">
                  <c:v>3.2899999999999999E-2</c:v>
                </c:pt>
                <c:pt idx="2">
                  <c:v>1.44E-2</c:v>
                </c:pt>
              </c:numCache>
            </c:numRef>
          </c:val>
          <c:extLst>
            <c:ext xmlns:c16="http://schemas.microsoft.com/office/drawing/2014/chart" uri="{C3380CC4-5D6E-409C-BE32-E72D297353CC}">
              <c16:uniqueId val="{00000000-30F4-48DD-A636-AFE43FD617B6}"/>
            </c:ext>
          </c:extLst>
        </c:ser>
        <c:ser>
          <c:idx val="1"/>
          <c:order val="1"/>
          <c:tx>
            <c:strRef>
              <c:f>'Automation Working'!$G$22</c:f>
              <c:strCache>
                <c:ptCount val="1"/>
                <c:pt idx="0">
                  <c:v>Net NPA %</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Working'!$H$22:$J$22</c:f>
              <c:numCache>
                <c:formatCode>0%</c:formatCode>
                <c:ptCount val="3"/>
                <c:pt idx="0">
                  <c:v>1.32E-2</c:v>
                </c:pt>
                <c:pt idx="1">
                  <c:v>1.3000000000000001E-2</c:v>
                </c:pt>
                <c:pt idx="2">
                  <c:v>7.8000000000000005E-3</c:v>
                </c:pt>
              </c:numCache>
            </c:numRef>
          </c:val>
          <c:extLst>
            <c:ext xmlns:c16="http://schemas.microsoft.com/office/drawing/2014/chart" uri="{C3380CC4-5D6E-409C-BE32-E72D297353CC}">
              <c16:uniqueId val="{00000001-30F4-48DD-A636-AFE43FD617B6}"/>
            </c:ext>
          </c:extLst>
        </c:ser>
        <c:ser>
          <c:idx val="2"/>
          <c:order val="2"/>
          <c:tx>
            <c:strRef>
              <c:f>'Automation Working'!$G$23</c:f>
              <c:strCache>
                <c:ptCount val="1"/>
                <c:pt idx="0">
                  <c:v>PCR %</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Working'!$H$1:$J$1</c:f>
              <c:numCache>
                <c:formatCode>General</c:formatCode>
                <c:ptCount val="3"/>
                <c:pt idx="0">
                  <c:v>2021</c:v>
                </c:pt>
                <c:pt idx="1">
                  <c:v>2022</c:v>
                </c:pt>
                <c:pt idx="2">
                  <c:v>2023</c:v>
                </c:pt>
              </c:numCache>
            </c:numRef>
          </c:cat>
          <c:val>
            <c:numRef>
              <c:f>'Automation Working'!$H$23:$J$23</c:f>
              <c:numCache>
                <c:formatCode>0%</c:formatCode>
                <c:ptCount val="3"/>
                <c:pt idx="0">
                  <c:v>0.69373549883990715</c:v>
                </c:pt>
                <c:pt idx="1">
                  <c:v>0.60486322188449848</c:v>
                </c:pt>
                <c:pt idx="2">
                  <c:v>0.45833333333333331</c:v>
                </c:pt>
              </c:numCache>
            </c:numRef>
          </c:val>
          <c:extLst>
            <c:ext xmlns:c16="http://schemas.microsoft.com/office/drawing/2014/chart" uri="{C3380CC4-5D6E-409C-BE32-E72D297353CC}">
              <c16:uniqueId val="{00000002-30F4-48DD-A636-AFE43FD617B6}"/>
            </c:ext>
          </c:extLst>
        </c:ser>
        <c:dLbls>
          <c:showLegendKey val="0"/>
          <c:showVal val="0"/>
          <c:showCatName val="0"/>
          <c:showSerName val="0"/>
          <c:showPercent val="0"/>
          <c:showBubbleSize val="0"/>
        </c:dLbls>
        <c:gapWidth val="219"/>
        <c:overlap val="-27"/>
        <c:axId val="111348079"/>
        <c:axId val="1670453520"/>
      </c:barChart>
      <c:catAx>
        <c:axId val="11134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453520"/>
        <c:crosses val="autoZero"/>
        <c:auto val="1"/>
        <c:lblAlgn val="ctr"/>
        <c:lblOffset val="100"/>
        <c:noMultiLvlLbl val="0"/>
      </c:catAx>
      <c:valAx>
        <c:axId val="1670453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1348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ahnschrift Light" panose="020B0502040204020203" pitchFamily="34" charset="0"/>
              </a:rPr>
              <a:t>CRAR%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Working'!$G$28</c:f>
              <c:strCache>
                <c:ptCount val="1"/>
                <c:pt idx="0">
                  <c:v>CRAR%</c:v>
                </c:pt>
              </c:strCache>
            </c:strRef>
          </c:tx>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2-356C-42A4-ADFB-8B3FD758F4F8}"/>
              </c:ext>
            </c:extLst>
          </c:dPt>
          <c:dPt>
            <c:idx val="1"/>
            <c:invertIfNegative val="0"/>
            <c:bubble3D val="0"/>
            <c:spPr>
              <a:solidFill>
                <a:schemeClr val="bg1">
                  <a:lumMod val="95000"/>
                </a:schemeClr>
              </a:solidFill>
              <a:ln>
                <a:noFill/>
              </a:ln>
              <a:effectLst/>
            </c:spPr>
            <c:extLst>
              <c:ext xmlns:c16="http://schemas.microsoft.com/office/drawing/2014/chart" uri="{C3380CC4-5D6E-409C-BE32-E72D297353CC}">
                <c16:uniqueId val="{00000003-356C-42A4-ADFB-8B3FD758F4F8}"/>
              </c:ext>
            </c:extLst>
          </c:dPt>
          <c:dPt>
            <c:idx val="2"/>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4-356C-42A4-ADFB-8B3FD758F4F8}"/>
              </c:ext>
            </c:extLst>
          </c:dPt>
          <c:cat>
            <c:numRef>
              <c:f>'Automation Working'!$H$1:$J$1</c:f>
              <c:numCache>
                <c:formatCode>General</c:formatCode>
                <c:ptCount val="3"/>
                <c:pt idx="0">
                  <c:v>2021</c:v>
                </c:pt>
                <c:pt idx="1">
                  <c:v>2022</c:v>
                </c:pt>
                <c:pt idx="2">
                  <c:v>2023</c:v>
                </c:pt>
              </c:numCache>
            </c:numRef>
          </c:cat>
          <c:val>
            <c:numRef>
              <c:f>'Automation Working'!$H$28:$J$28</c:f>
              <c:numCache>
                <c:formatCode>0%</c:formatCode>
                <c:ptCount val="3"/>
                <c:pt idx="0">
                  <c:v>0.2029</c:v>
                </c:pt>
                <c:pt idx="1">
                  <c:v>0.49059999999999998</c:v>
                </c:pt>
                <c:pt idx="2">
                  <c:v>0.3891</c:v>
                </c:pt>
              </c:numCache>
            </c:numRef>
          </c:val>
          <c:extLst>
            <c:ext xmlns:c16="http://schemas.microsoft.com/office/drawing/2014/chart" uri="{C3380CC4-5D6E-409C-BE32-E72D297353CC}">
              <c16:uniqueId val="{00000000-356C-42A4-ADFB-8B3FD758F4F8}"/>
            </c:ext>
          </c:extLst>
        </c:ser>
        <c:dLbls>
          <c:showLegendKey val="0"/>
          <c:showVal val="0"/>
          <c:showCatName val="0"/>
          <c:showSerName val="0"/>
          <c:showPercent val="0"/>
          <c:showBubbleSize val="0"/>
        </c:dLbls>
        <c:gapWidth val="219"/>
        <c:overlap val="-27"/>
        <c:axId val="288646399"/>
        <c:axId val="295723183"/>
      </c:barChart>
      <c:catAx>
        <c:axId val="28864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95723183"/>
        <c:crosses val="autoZero"/>
        <c:auto val="1"/>
        <c:lblAlgn val="ctr"/>
        <c:lblOffset val="100"/>
        <c:noMultiLvlLbl val="0"/>
      </c:catAx>
      <c:valAx>
        <c:axId val="295723183"/>
        <c:scaling>
          <c:orientation val="minMax"/>
        </c:scaling>
        <c:delete val="0"/>
        <c:axPos val="l"/>
        <c:majorGridlines>
          <c:spPr>
            <a:ln w="9525" cap="flat" cmpd="sng" algn="ctr">
              <a:solidFill>
                <a:schemeClr val="bg1">
                  <a:lumMod val="7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288646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AUM &amp; Loan Disbursment</a:t>
            </a:r>
            <a:r>
              <a:rPr lang="en-IN" baseline="0">
                <a:latin typeface="Bahnschrift Light" panose="020B0502040204020203" pitchFamily="34" charset="0"/>
              </a:rPr>
              <a:t> Overview </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Working'!$Q$3</c:f>
              <c:strCache>
                <c:ptCount val="1"/>
                <c:pt idx="0">
                  <c:v>AUM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Working'!$R$2:$T$2</c:f>
              <c:numCache>
                <c:formatCode>General</c:formatCode>
                <c:ptCount val="3"/>
                <c:pt idx="0">
                  <c:v>2021</c:v>
                </c:pt>
                <c:pt idx="1">
                  <c:v>2022</c:v>
                </c:pt>
                <c:pt idx="2">
                  <c:v>2023</c:v>
                </c:pt>
              </c:numCache>
            </c:numRef>
          </c:cat>
          <c:val>
            <c:numRef>
              <c:f>'Automation Working'!$R$3:$T$3</c:f>
              <c:numCache>
                <c:formatCode>General</c:formatCode>
                <c:ptCount val="3"/>
                <c:pt idx="0">
                  <c:v>14225</c:v>
                </c:pt>
                <c:pt idx="1">
                  <c:v>16579</c:v>
                </c:pt>
                <c:pt idx="2">
                  <c:v>16143</c:v>
                </c:pt>
              </c:numCache>
            </c:numRef>
          </c:val>
          <c:extLst>
            <c:ext xmlns:c16="http://schemas.microsoft.com/office/drawing/2014/chart" uri="{C3380CC4-5D6E-409C-BE32-E72D297353CC}">
              <c16:uniqueId val="{00000000-51E6-499E-A7E0-9E8AD7E9D683}"/>
            </c:ext>
          </c:extLst>
        </c:ser>
        <c:ser>
          <c:idx val="1"/>
          <c:order val="1"/>
          <c:tx>
            <c:strRef>
              <c:f>'Automation Working'!$Q$4</c:f>
              <c:strCache>
                <c:ptCount val="1"/>
                <c:pt idx="0">
                  <c:v>Loans Disbursed </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Working'!$R$2:$T$2</c:f>
              <c:numCache>
                <c:formatCode>General</c:formatCode>
                <c:ptCount val="3"/>
                <c:pt idx="0">
                  <c:v>2021</c:v>
                </c:pt>
                <c:pt idx="1">
                  <c:v>2022</c:v>
                </c:pt>
                <c:pt idx="2">
                  <c:v>2023</c:v>
                </c:pt>
              </c:numCache>
            </c:numRef>
          </c:cat>
          <c:val>
            <c:numRef>
              <c:f>'Automation Working'!$R$4:$T$4</c:f>
              <c:numCache>
                <c:formatCode>General</c:formatCode>
                <c:ptCount val="3"/>
                <c:pt idx="0">
                  <c:v>3680</c:v>
                </c:pt>
                <c:pt idx="1">
                  <c:v>9494</c:v>
                </c:pt>
                <c:pt idx="2">
                  <c:v>15198</c:v>
                </c:pt>
              </c:numCache>
            </c:numRef>
          </c:val>
          <c:extLst>
            <c:ext xmlns:c16="http://schemas.microsoft.com/office/drawing/2014/chart" uri="{C3380CC4-5D6E-409C-BE32-E72D297353CC}">
              <c16:uniqueId val="{00000001-51E6-499E-A7E0-9E8AD7E9D683}"/>
            </c:ext>
          </c:extLst>
        </c:ser>
        <c:dLbls>
          <c:dLblPos val="outEnd"/>
          <c:showLegendKey val="0"/>
          <c:showVal val="1"/>
          <c:showCatName val="0"/>
          <c:showSerName val="0"/>
          <c:showPercent val="0"/>
          <c:showBubbleSize val="0"/>
        </c:dLbls>
        <c:gapWidth val="219"/>
        <c:overlap val="-27"/>
        <c:axId val="301341536"/>
        <c:axId val="2067378143"/>
      </c:barChart>
      <c:catAx>
        <c:axId val="30134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378143"/>
        <c:crosses val="autoZero"/>
        <c:auto val="1"/>
        <c:lblAlgn val="ctr"/>
        <c:lblOffset val="100"/>
        <c:noMultiLvlLbl val="0"/>
      </c:catAx>
      <c:valAx>
        <c:axId val="2067378143"/>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301341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latin typeface="Bahnschrift Light" panose="020B0502040204020203" pitchFamily="34" charset="0"/>
              </a:rPr>
              <a:t>Other Important Parameters </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Working'!$H$48</c:f>
              <c:strCache>
                <c:ptCount val="1"/>
                <c:pt idx="0">
                  <c:v>Net Worth </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Working'!$I$48:$K$48</c:f>
              <c:numCache>
                <c:formatCode>General</c:formatCode>
                <c:ptCount val="3"/>
                <c:pt idx="0">
                  <c:v>1942.06</c:v>
                </c:pt>
                <c:pt idx="1">
                  <c:v>5714.5</c:v>
                </c:pt>
                <c:pt idx="2">
                  <c:v>6424.7</c:v>
                </c:pt>
              </c:numCache>
            </c:numRef>
          </c:val>
          <c:extLst>
            <c:ext xmlns:c16="http://schemas.microsoft.com/office/drawing/2014/chart" uri="{C3380CC4-5D6E-409C-BE32-E72D297353CC}">
              <c16:uniqueId val="{00000000-AC9F-45CF-AD3F-06F69ADB4511}"/>
            </c:ext>
          </c:extLst>
        </c:ser>
        <c:ser>
          <c:idx val="1"/>
          <c:order val="1"/>
          <c:tx>
            <c:strRef>
              <c:f>'Automation Working'!$H$49</c:f>
              <c:strCache>
                <c:ptCount val="1"/>
                <c:pt idx="0">
                  <c:v>Total Debt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Working'!$I$49:$K$49</c:f>
              <c:numCache>
                <c:formatCode>General</c:formatCode>
                <c:ptCount val="3"/>
                <c:pt idx="0">
                  <c:v>8399.93</c:v>
                </c:pt>
                <c:pt idx="1">
                  <c:v>7095.15</c:v>
                </c:pt>
                <c:pt idx="2">
                  <c:v>11597.12</c:v>
                </c:pt>
              </c:numCache>
            </c:numRef>
          </c:val>
          <c:extLst>
            <c:ext xmlns:c16="http://schemas.microsoft.com/office/drawing/2014/chart" uri="{C3380CC4-5D6E-409C-BE32-E72D297353CC}">
              <c16:uniqueId val="{00000001-AC9F-45CF-AD3F-06F69ADB4511}"/>
            </c:ext>
          </c:extLst>
        </c:ser>
        <c:ser>
          <c:idx val="2"/>
          <c:order val="2"/>
          <c:tx>
            <c:strRef>
              <c:f>'Automation Working'!$H$51</c:f>
              <c:strCache>
                <c:ptCount val="1"/>
                <c:pt idx="0">
                  <c:v>AUM</c:v>
                </c:pt>
              </c:strCache>
            </c:strRef>
          </c:tx>
          <c:spPr>
            <a:solidFill>
              <a:schemeClr val="accent6">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'Automation Working'!$I$47:$K$47</c:f>
              <c:numCache>
                <c:formatCode>General</c:formatCode>
                <c:ptCount val="3"/>
                <c:pt idx="0">
                  <c:v>2021</c:v>
                </c:pt>
                <c:pt idx="1">
                  <c:v>2022</c:v>
                </c:pt>
                <c:pt idx="2">
                  <c:v>2023</c:v>
                </c:pt>
              </c:numCache>
            </c:numRef>
          </c:cat>
          <c:val>
            <c:numRef>
              <c:f>'Automation Working'!$I$51:$K$51</c:f>
              <c:numCache>
                <c:formatCode>General</c:formatCode>
                <c:ptCount val="3"/>
                <c:pt idx="0">
                  <c:v>14225</c:v>
                </c:pt>
                <c:pt idx="1">
                  <c:v>16579</c:v>
                </c:pt>
                <c:pt idx="2">
                  <c:v>16143</c:v>
                </c:pt>
              </c:numCache>
            </c:numRef>
          </c:val>
          <c:extLst>
            <c:ext xmlns:c16="http://schemas.microsoft.com/office/drawing/2014/chart" uri="{C3380CC4-5D6E-409C-BE32-E72D297353CC}">
              <c16:uniqueId val="{00000002-AC9F-45CF-AD3F-06F69ADB4511}"/>
            </c:ext>
          </c:extLst>
        </c:ser>
        <c:dLbls>
          <c:showLegendKey val="0"/>
          <c:showVal val="0"/>
          <c:showCatName val="0"/>
          <c:showSerName val="0"/>
          <c:showPercent val="0"/>
          <c:showBubbleSize val="0"/>
        </c:dLbls>
        <c:gapWidth val="219"/>
        <c:overlap val="-27"/>
        <c:axId val="1334185263"/>
        <c:axId val="460493536"/>
      </c:barChart>
      <c:lineChart>
        <c:grouping val="stacked"/>
        <c:varyColors val="0"/>
        <c:ser>
          <c:idx val="3"/>
          <c:order val="3"/>
          <c:tx>
            <c:strRef>
              <c:f>'Automation Working'!$H$52</c:f>
              <c:strCache>
                <c:ptCount val="1"/>
                <c:pt idx="0">
                  <c:v>Total Debt To Total Asset</c:v>
                </c:pt>
              </c:strCache>
            </c:strRef>
          </c:tx>
          <c:spPr>
            <a:ln w="19050" cap="rnd">
              <a:solidFill>
                <a:schemeClr val="accent2">
                  <a:lumMod val="60000"/>
                  <a:lumOff val="40000"/>
                </a:schemeClr>
              </a:solidFill>
              <a:round/>
            </a:ln>
            <a:effectLst/>
          </c:spPr>
          <c:marker>
            <c:symbol val="circle"/>
            <c:size val="5"/>
            <c:spPr>
              <a:solidFill>
                <a:schemeClr val="accent4"/>
              </a:solidFill>
              <a:ln w="19050">
                <a:solidFill>
                  <a:schemeClr val="accent2">
                    <a:lumMod val="60000"/>
                    <a:lumOff val="40000"/>
                  </a:schemeClr>
                </a:solidFill>
              </a:ln>
              <a:effectLst/>
            </c:spPr>
          </c:marker>
          <c:dLbls>
            <c:dLbl>
              <c:idx val="0"/>
              <c:layout>
                <c:manualLayout>
                  <c:x val="-3.3265543128576769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9F-45CF-AD3F-06F69ADB4511}"/>
                </c:ext>
              </c:extLst>
            </c:dLbl>
            <c:dLbl>
              <c:idx val="1"/>
              <c:layout>
                <c:manualLayout>
                  <c:x val="-2.9763907009779215E-2"/>
                  <c:y val="-4.6296296296296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C9F-45CF-AD3F-06F69ADB4511}"/>
                </c:ext>
              </c:extLst>
            </c:dLbl>
            <c:dLbl>
              <c:idx val="2"/>
              <c:layout>
                <c:manualLayout>
                  <c:x val="-2.9763907009779343E-2"/>
                  <c:y val="-7.40740740740741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C9F-45CF-AD3F-06F69ADB45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'Automation Working'!$I$47:$K$47</c:f>
              <c:numCache>
                <c:formatCode>General</c:formatCode>
                <c:ptCount val="3"/>
                <c:pt idx="0">
                  <c:v>2021</c:v>
                </c:pt>
                <c:pt idx="1">
                  <c:v>2022</c:v>
                </c:pt>
                <c:pt idx="2">
                  <c:v>2023</c:v>
                </c:pt>
              </c:numCache>
            </c:numRef>
          </c:cat>
          <c:val>
            <c:numRef>
              <c:f>'Automation Working'!$I$52:$K$52</c:f>
              <c:numCache>
                <c:formatCode>0%</c:formatCode>
                <c:ptCount val="3"/>
                <c:pt idx="0">
                  <c:v>0.77</c:v>
                </c:pt>
                <c:pt idx="1">
                  <c:v>0.53</c:v>
                </c:pt>
                <c:pt idx="2">
                  <c:v>0.62</c:v>
                </c:pt>
              </c:numCache>
            </c:numRef>
          </c:val>
          <c:smooth val="0"/>
          <c:extLst>
            <c:ext xmlns:c16="http://schemas.microsoft.com/office/drawing/2014/chart" uri="{C3380CC4-5D6E-409C-BE32-E72D297353CC}">
              <c16:uniqueId val="{00000003-AC9F-45CF-AD3F-06F69ADB4511}"/>
            </c:ext>
          </c:extLst>
        </c:ser>
        <c:dLbls>
          <c:showLegendKey val="0"/>
          <c:showVal val="0"/>
          <c:showCatName val="0"/>
          <c:showSerName val="0"/>
          <c:showPercent val="0"/>
          <c:showBubbleSize val="0"/>
        </c:dLbls>
        <c:marker val="1"/>
        <c:smooth val="0"/>
        <c:axId val="1334171663"/>
        <c:axId val="460502688"/>
      </c:lineChart>
      <c:catAx>
        <c:axId val="133418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460493536"/>
        <c:crosses val="autoZero"/>
        <c:auto val="1"/>
        <c:lblAlgn val="ctr"/>
        <c:lblOffset val="100"/>
        <c:noMultiLvlLbl val="0"/>
      </c:catAx>
      <c:valAx>
        <c:axId val="460493536"/>
        <c:scaling>
          <c:orientation val="minMax"/>
        </c:scaling>
        <c:delete val="0"/>
        <c:axPos val="l"/>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85263"/>
        <c:crosses val="autoZero"/>
        <c:crossBetween val="between"/>
      </c:valAx>
      <c:valAx>
        <c:axId val="460502688"/>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71663"/>
        <c:crosses val="max"/>
        <c:crossBetween val="between"/>
      </c:valAx>
      <c:catAx>
        <c:axId val="1334171663"/>
        <c:scaling>
          <c:orientation val="minMax"/>
        </c:scaling>
        <c:delete val="1"/>
        <c:axPos val="b"/>
        <c:numFmt formatCode="General" sourceLinked="1"/>
        <c:majorTickMark val="none"/>
        <c:minorTickMark val="none"/>
        <c:tickLblPos val="nextTo"/>
        <c:crossAx val="460502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Other Important Parameter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5"/>
          <c:order val="5"/>
          <c:tx>
            <c:strRef>
              <c:f>'Automation Working'!$H$53</c:f>
              <c:strCache>
                <c:ptCount val="1"/>
                <c:pt idx="0">
                  <c:v>Cash &amp; Cash Equivalent</c:v>
                </c:pt>
              </c:strCache>
            </c:strRef>
          </c:tx>
          <c:spPr>
            <a:solidFill>
              <a:schemeClr val="bg1">
                <a:lumMod val="85000"/>
              </a:schemeClr>
            </a:solidFill>
            <a:ln>
              <a:noFill/>
            </a:ln>
            <a:effectLst/>
          </c:spPr>
          <c:invertIfNegative val="0"/>
          <c:cat>
            <c:numRef>
              <c:f>'Automation Working'!$I$47:$K$47</c:f>
              <c:numCache>
                <c:formatCode>General</c:formatCode>
                <c:ptCount val="3"/>
                <c:pt idx="0">
                  <c:v>2021</c:v>
                </c:pt>
                <c:pt idx="1">
                  <c:v>2022</c:v>
                </c:pt>
                <c:pt idx="2">
                  <c:v>2023</c:v>
                </c:pt>
              </c:numCache>
            </c:numRef>
          </c:cat>
          <c:val>
            <c:numRef>
              <c:f>'Automation Working'!$I$53:$K$53</c:f>
              <c:numCache>
                <c:formatCode>General</c:formatCode>
                <c:ptCount val="3"/>
                <c:pt idx="0">
                  <c:v>265.08999999999997</c:v>
                </c:pt>
                <c:pt idx="1">
                  <c:v>335.2</c:v>
                </c:pt>
                <c:pt idx="2">
                  <c:v>601.38</c:v>
                </c:pt>
              </c:numCache>
            </c:numRef>
          </c:val>
          <c:extLst>
            <c:ext xmlns:c16="http://schemas.microsoft.com/office/drawing/2014/chart" uri="{C3380CC4-5D6E-409C-BE32-E72D297353CC}">
              <c16:uniqueId val="{00000005-A74B-4732-BF37-6D5A9FA2AA28}"/>
            </c:ext>
          </c:extLst>
        </c:ser>
        <c:ser>
          <c:idx val="6"/>
          <c:order val="6"/>
          <c:tx>
            <c:strRef>
              <c:f>'Automation Working'!$H$54</c:f>
              <c:strCache>
                <c:ptCount val="1"/>
                <c:pt idx="0">
                  <c:v>Loans Disbursed </c:v>
                </c:pt>
              </c:strCache>
            </c:strRef>
          </c:tx>
          <c:spPr>
            <a:solidFill>
              <a:schemeClr val="accent5"/>
            </a:solidFill>
            <a:ln>
              <a:noFill/>
            </a:ln>
            <a:effectLst/>
          </c:spPr>
          <c:invertIfNegative val="0"/>
          <c:cat>
            <c:numRef>
              <c:f>'Automation Working'!$I$47:$K$47</c:f>
              <c:numCache>
                <c:formatCode>General</c:formatCode>
                <c:ptCount val="3"/>
                <c:pt idx="0">
                  <c:v>2021</c:v>
                </c:pt>
                <c:pt idx="1">
                  <c:v>2022</c:v>
                </c:pt>
                <c:pt idx="2">
                  <c:v>2023</c:v>
                </c:pt>
              </c:numCache>
            </c:numRef>
          </c:cat>
          <c:val>
            <c:numRef>
              <c:f>'Automation Working'!$I$54:$K$54</c:f>
              <c:numCache>
                <c:formatCode>General</c:formatCode>
                <c:ptCount val="3"/>
                <c:pt idx="0">
                  <c:v>3680</c:v>
                </c:pt>
                <c:pt idx="1">
                  <c:v>9494</c:v>
                </c:pt>
                <c:pt idx="2">
                  <c:v>15198</c:v>
                </c:pt>
              </c:numCache>
            </c:numRef>
          </c:val>
          <c:extLst>
            <c:ext xmlns:c16="http://schemas.microsoft.com/office/drawing/2014/chart" uri="{C3380CC4-5D6E-409C-BE32-E72D297353CC}">
              <c16:uniqueId val="{00000006-A74B-4732-BF37-6D5A9FA2AA28}"/>
            </c:ext>
          </c:extLst>
        </c:ser>
        <c:dLbls>
          <c:showLegendKey val="0"/>
          <c:showVal val="0"/>
          <c:showCatName val="0"/>
          <c:showSerName val="0"/>
          <c:showPercent val="0"/>
          <c:showBubbleSize val="0"/>
        </c:dLbls>
        <c:gapWidth val="219"/>
        <c:overlap val="-27"/>
        <c:axId val="110207311"/>
        <c:axId val="840320111"/>
        <c:extLst>
          <c:ext xmlns:c15="http://schemas.microsoft.com/office/drawing/2012/chart" uri="{02D57815-91ED-43cb-92C2-25804820EDAC}">
            <c15:filteredBarSeries>
              <c15:ser>
                <c:idx val="0"/>
                <c:order val="0"/>
                <c:tx>
                  <c:strRef>
                    <c:extLst>
                      <c:ext uri="{02D57815-91ED-43cb-92C2-25804820EDAC}">
                        <c15:formulaRef>
                          <c15:sqref>'Automation Working'!$H$48</c15:sqref>
                        </c15:formulaRef>
                      </c:ext>
                    </c:extLst>
                    <c:strCache>
                      <c:ptCount val="1"/>
                      <c:pt idx="0">
                        <c:v>Net Worth </c:v>
                      </c:pt>
                    </c:strCache>
                  </c:strRef>
                </c:tx>
                <c:spPr>
                  <a:solidFill>
                    <a:schemeClr val="accent1"/>
                  </a:solidFill>
                  <a:ln>
                    <a:noFill/>
                  </a:ln>
                  <a:effectLst/>
                </c:spPr>
                <c:invertIfNegative val="0"/>
                <c:cat>
                  <c:numRef>
                    <c:extLst>
                      <c:ex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c:ext uri="{02D57815-91ED-43cb-92C2-25804820EDAC}">
                        <c15:formulaRef>
                          <c15:sqref>'Automation Working'!$I$48:$K$48</c15:sqref>
                        </c15:formulaRef>
                      </c:ext>
                    </c:extLst>
                    <c:numCache>
                      <c:formatCode>General</c:formatCode>
                      <c:ptCount val="3"/>
                      <c:pt idx="0">
                        <c:v>1942.06</c:v>
                      </c:pt>
                      <c:pt idx="1">
                        <c:v>5714.5</c:v>
                      </c:pt>
                      <c:pt idx="2">
                        <c:v>6424.7</c:v>
                      </c:pt>
                    </c:numCache>
                  </c:numRef>
                </c:val>
                <c:extLst>
                  <c:ext xmlns:c16="http://schemas.microsoft.com/office/drawing/2014/chart" uri="{C3380CC4-5D6E-409C-BE32-E72D297353CC}">
                    <c16:uniqueId val="{00000000-A74B-4732-BF37-6D5A9FA2AA28}"/>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'Automation Working'!$H$49</c15:sqref>
                        </c15:formulaRef>
                      </c:ext>
                    </c:extLst>
                    <c:strCache>
                      <c:ptCount val="1"/>
                      <c:pt idx="0">
                        <c:v>Total Debt</c:v>
                      </c:pt>
                    </c:strCache>
                  </c:strRef>
                </c:tx>
                <c:spPr>
                  <a:solidFill>
                    <a:schemeClr val="accent2"/>
                  </a:solidFill>
                  <a:ln>
                    <a:noFill/>
                  </a:ln>
                  <a:effectLst/>
                </c:spPr>
                <c:invertIfNegative val="0"/>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Working'!$I$49:$K$49</c15:sqref>
                        </c15:formulaRef>
                      </c:ext>
                    </c:extLst>
                    <c:numCache>
                      <c:formatCode>General</c:formatCode>
                      <c:ptCount val="3"/>
                      <c:pt idx="0">
                        <c:v>8399.93</c:v>
                      </c:pt>
                      <c:pt idx="1">
                        <c:v>7095.15</c:v>
                      </c:pt>
                      <c:pt idx="2">
                        <c:v>11597.12</c:v>
                      </c:pt>
                    </c:numCache>
                  </c:numRef>
                </c:val>
                <c:extLst xmlns:c15="http://schemas.microsoft.com/office/drawing/2012/chart">
                  <c:ext xmlns:c16="http://schemas.microsoft.com/office/drawing/2014/chart" uri="{C3380CC4-5D6E-409C-BE32-E72D297353CC}">
                    <c16:uniqueId val="{00000001-A74B-4732-BF37-6D5A9FA2AA28}"/>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'Automation Working'!$H$51</c15:sqref>
                        </c15:formulaRef>
                      </c:ext>
                    </c:extLst>
                    <c:strCache>
                      <c:ptCount val="1"/>
                      <c:pt idx="0">
                        <c:v>AUM</c:v>
                      </c:pt>
                    </c:strCache>
                  </c:strRef>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Working'!$I$51:$K$51</c15:sqref>
                        </c15:formulaRef>
                      </c:ext>
                    </c:extLst>
                    <c:numCache>
                      <c:formatCode>General</c:formatCode>
                      <c:ptCount val="3"/>
                      <c:pt idx="0">
                        <c:v>14225</c:v>
                      </c:pt>
                      <c:pt idx="1">
                        <c:v>16579</c:v>
                      </c:pt>
                      <c:pt idx="2">
                        <c:v>16143</c:v>
                      </c:pt>
                    </c:numCache>
                  </c:numRef>
                </c:val>
                <c:extLst xmlns:c15="http://schemas.microsoft.com/office/drawing/2012/chart">
                  <c:ext xmlns:c16="http://schemas.microsoft.com/office/drawing/2014/chart" uri="{C3380CC4-5D6E-409C-BE32-E72D297353CC}">
                    <c16:uniqueId val="{00000003-A74B-4732-BF37-6D5A9FA2AA28}"/>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'Automation Working'!$H$52</c15:sqref>
                        </c15:formulaRef>
                      </c:ext>
                    </c:extLst>
                    <c:strCache>
                      <c:ptCount val="1"/>
                      <c:pt idx="0">
                        <c:v>Total Debt To Total Asset</c:v>
                      </c:pt>
                    </c:strCache>
                  </c:strRef>
                </c:tx>
                <c:spPr>
                  <a:solidFill>
                    <a:schemeClr val="accent5"/>
                  </a:solidFill>
                  <a:ln>
                    <a:noFill/>
                  </a:ln>
                  <a:effectLst/>
                </c:spPr>
                <c:invertIfNegative val="0"/>
                <c:cat>
                  <c:numRef>
                    <c:extLst xmlns:c15="http://schemas.microsoft.com/office/drawing/2012/chart">
                      <c:ext xmlns:c15="http://schemas.microsoft.com/office/drawing/2012/chart" uri="{02D57815-91ED-43cb-92C2-25804820EDAC}">
                        <c15:formulaRef>
                          <c15:sqref>'Automation Working'!$I$47:$K$47</c15:sqref>
                        </c15:formulaRef>
                      </c:ext>
                    </c:extLst>
                    <c:numCache>
                      <c:formatCode>General</c:formatCode>
                      <c:ptCount val="3"/>
                      <c:pt idx="0">
                        <c:v>2021</c:v>
                      </c:pt>
                      <c:pt idx="1">
                        <c:v>2022</c:v>
                      </c:pt>
                      <c:pt idx="2">
                        <c:v>2023</c:v>
                      </c:pt>
                    </c:numCache>
                  </c:numRef>
                </c:cat>
                <c:val>
                  <c:numRef>
                    <c:extLst xmlns:c15="http://schemas.microsoft.com/office/drawing/2012/chart">
                      <c:ext xmlns:c15="http://schemas.microsoft.com/office/drawing/2012/chart" uri="{02D57815-91ED-43cb-92C2-25804820EDAC}">
                        <c15:formulaRef>
                          <c15:sqref>'Automation Working'!$I$52:$K$52</c15:sqref>
                        </c15:formulaRef>
                      </c:ext>
                    </c:extLst>
                    <c:numCache>
                      <c:formatCode>0%</c:formatCode>
                      <c:ptCount val="3"/>
                      <c:pt idx="0">
                        <c:v>0.77</c:v>
                      </c:pt>
                      <c:pt idx="1">
                        <c:v>0.53</c:v>
                      </c:pt>
                      <c:pt idx="2">
                        <c:v>0.62</c:v>
                      </c:pt>
                    </c:numCache>
                  </c:numRef>
                </c:val>
                <c:extLst xmlns:c15="http://schemas.microsoft.com/office/drawing/2012/chart">
                  <c:ext xmlns:c16="http://schemas.microsoft.com/office/drawing/2014/chart" uri="{C3380CC4-5D6E-409C-BE32-E72D297353CC}">
                    <c16:uniqueId val="{00000004-A74B-4732-BF37-6D5A9FA2AA28}"/>
                  </c:ext>
                </c:extLst>
              </c15:ser>
            </c15:filteredBarSeries>
          </c:ext>
        </c:extLst>
      </c:barChart>
      <c:lineChart>
        <c:grouping val="stacked"/>
        <c:varyColors val="0"/>
        <c:ser>
          <c:idx val="2"/>
          <c:order val="2"/>
          <c:tx>
            <c:strRef>
              <c:f>'Automation Working'!$H$50</c:f>
              <c:strCache>
                <c:ptCount val="1"/>
                <c:pt idx="0">
                  <c:v>Gearing Ratio Times</c:v>
                </c:pt>
              </c:strCache>
            </c:strRef>
          </c:tx>
          <c:spPr>
            <a:ln w="28575" cap="rnd">
              <a:solidFill>
                <a:schemeClr val="accent2">
                  <a:lumMod val="60000"/>
                  <a:lumOff val="40000"/>
                </a:schemeClr>
              </a:solidFill>
              <a:round/>
            </a:ln>
            <a:effectLst/>
          </c:spPr>
          <c:marker>
            <c:symbol val="circle"/>
            <c:size val="5"/>
            <c:spPr>
              <a:solidFill>
                <a:schemeClr val="accent3"/>
              </a:solidFill>
              <a:ln w="9525">
                <a:solidFill>
                  <a:schemeClr val="accent2">
                    <a:lumMod val="60000"/>
                    <a:lumOff val="40000"/>
                  </a:schemeClr>
                </a:solidFill>
              </a:ln>
              <a:effectLst/>
            </c:spPr>
          </c:marker>
          <c:cat>
            <c:numRef>
              <c:f>'Automation Working'!$I$47:$K$47</c:f>
              <c:numCache>
                <c:formatCode>General</c:formatCode>
                <c:ptCount val="3"/>
                <c:pt idx="0">
                  <c:v>2021</c:v>
                </c:pt>
                <c:pt idx="1">
                  <c:v>2022</c:v>
                </c:pt>
                <c:pt idx="2">
                  <c:v>2023</c:v>
                </c:pt>
              </c:numCache>
            </c:numRef>
          </c:cat>
          <c:val>
            <c:numRef>
              <c:f>'Automation Working'!$I$50:$K$50</c:f>
              <c:numCache>
                <c:formatCode>General</c:formatCode>
                <c:ptCount val="3"/>
                <c:pt idx="0">
                  <c:v>4.08</c:v>
                </c:pt>
                <c:pt idx="1">
                  <c:v>1.18</c:v>
                </c:pt>
                <c:pt idx="2">
                  <c:v>1.73</c:v>
                </c:pt>
              </c:numCache>
            </c:numRef>
          </c:val>
          <c:smooth val="0"/>
          <c:extLst>
            <c:ext xmlns:c16="http://schemas.microsoft.com/office/drawing/2014/chart" uri="{C3380CC4-5D6E-409C-BE32-E72D297353CC}">
              <c16:uniqueId val="{00000002-A74B-4732-BF37-6D5A9FA2AA28}"/>
            </c:ext>
          </c:extLst>
        </c:ser>
        <c:dLbls>
          <c:showLegendKey val="0"/>
          <c:showVal val="0"/>
          <c:showCatName val="0"/>
          <c:showSerName val="0"/>
          <c:showPercent val="0"/>
          <c:showBubbleSize val="0"/>
        </c:dLbls>
        <c:marker val="1"/>
        <c:smooth val="0"/>
        <c:axId val="457577568"/>
        <c:axId val="2074791535"/>
      </c:lineChart>
      <c:catAx>
        <c:axId val="110207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0320111"/>
        <c:crosses val="autoZero"/>
        <c:auto val="1"/>
        <c:lblAlgn val="ctr"/>
        <c:lblOffset val="100"/>
        <c:noMultiLvlLbl val="0"/>
      </c:catAx>
      <c:valAx>
        <c:axId val="840320111"/>
        <c:scaling>
          <c:orientation val="minMax"/>
        </c:scaling>
        <c:delete val="0"/>
        <c:axPos val="l"/>
        <c:majorGridlines>
          <c:spPr>
            <a:ln w="9525" cap="flat" cmpd="sng" algn="ctr">
              <a:solidFill>
                <a:schemeClr val="bg1">
                  <a:lumMod val="8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0207311"/>
        <c:crosses val="autoZero"/>
        <c:crossBetween val="between"/>
      </c:valAx>
      <c:valAx>
        <c:axId val="207479153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457577568"/>
        <c:crosses val="max"/>
        <c:crossBetween val="between"/>
      </c:valAx>
      <c:catAx>
        <c:axId val="457577568"/>
        <c:scaling>
          <c:orientation val="minMax"/>
        </c:scaling>
        <c:delete val="1"/>
        <c:axPos val="b"/>
        <c:numFmt formatCode="General" sourceLinked="1"/>
        <c:majorTickMark val="out"/>
        <c:minorTickMark val="none"/>
        <c:tickLblPos val="nextTo"/>
        <c:crossAx val="207479153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'Automation Working'!$A$54</c:f>
              <c:strCache>
                <c:ptCount val="1"/>
                <c:pt idx="0">
                  <c:v>AUM</c:v>
                </c:pt>
              </c:strCache>
            </c:strRef>
          </c:tx>
          <c:spPr>
            <a:solidFill>
              <a:schemeClr val="accent1"/>
            </a:solidFill>
            <a:ln>
              <a:noFill/>
            </a:ln>
            <a:effectLst/>
          </c:spPr>
          <c:invertIfNegative val="0"/>
          <c:cat>
            <c:strRef>
              <c:f>'Automation Working'!$B$53:$D$53</c:f>
              <c:strCache>
                <c:ptCount val="3"/>
                <c:pt idx="0">
                  <c:v>2021</c:v>
                </c:pt>
                <c:pt idx="1">
                  <c:v>2022</c:v>
                </c:pt>
                <c:pt idx="2">
                  <c:v>2023</c:v>
                </c:pt>
              </c:strCache>
            </c:strRef>
          </c:cat>
          <c:val>
            <c:numRef>
              <c:f>'Automation Working'!$B$54:$D$54</c:f>
              <c:numCache>
                <c:formatCode>General</c:formatCode>
                <c:ptCount val="3"/>
                <c:pt idx="0">
                  <c:v>14225</c:v>
                </c:pt>
                <c:pt idx="1">
                  <c:v>16579</c:v>
                </c:pt>
                <c:pt idx="2">
                  <c:v>16143</c:v>
                </c:pt>
              </c:numCache>
            </c:numRef>
          </c:val>
          <c:extLst>
            <c:ext xmlns:c16="http://schemas.microsoft.com/office/drawing/2014/chart" uri="{C3380CC4-5D6E-409C-BE32-E72D297353CC}">
              <c16:uniqueId val="{00000000-9F73-4632-84AC-F7516E12B065}"/>
            </c:ext>
          </c:extLst>
        </c:ser>
        <c:ser>
          <c:idx val="1"/>
          <c:order val="1"/>
          <c:tx>
            <c:strRef>
              <c:f>'Automation Working'!$A$55</c:f>
              <c:strCache>
                <c:ptCount val="1"/>
                <c:pt idx="0">
                  <c:v>Loans Disbursed </c:v>
                </c:pt>
              </c:strCache>
            </c:strRef>
          </c:tx>
          <c:spPr>
            <a:solidFill>
              <a:schemeClr val="accent2"/>
            </a:solidFill>
            <a:ln>
              <a:noFill/>
            </a:ln>
            <a:effectLst/>
          </c:spPr>
          <c:invertIfNegative val="0"/>
          <c:cat>
            <c:strRef>
              <c:f>'Automation Working'!$B$53:$D$53</c:f>
              <c:strCache>
                <c:ptCount val="3"/>
                <c:pt idx="0">
                  <c:v>2021</c:v>
                </c:pt>
                <c:pt idx="1">
                  <c:v>2022</c:v>
                </c:pt>
                <c:pt idx="2">
                  <c:v>2023</c:v>
                </c:pt>
              </c:strCache>
            </c:strRef>
          </c:cat>
          <c:val>
            <c:numRef>
              <c:f>'Automation Working'!$B$55:$D$55</c:f>
              <c:numCache>
                <c:formatCode>General</c:formatCode>
                <c:ptCount val="3"/>
                <c:pt idx="0">
                  <c:v>3680</c:v>
                </c:pt>
                <c:pt idx="1">
                  <c:v>9494</c:v>
                </c:pt>
                <c:pt idx="2">
                  <c:v>15198</c:v>
                </c:pt>
              </c:numCache>
            </c:numRef>
          </c:val>
          <c:extLst>
            <c:ext xmlns:c16="http://schemas.microsoft.com/office/drawing/2014/chart" uri="{C3380CC4-5D6E-409C-BE32-E72D297353CC}">
              <c16:uniqueId val="{00000001-9F73-4632-84AC-F7516E12B065}"/>
            </c:ext>
          </c:extLst>
        </c:ser>
        <c:dLbls>
          <c:showLegendKey val="0"/>
          <c:showVal val="0"/>
          <c:showCatName val="0"/>
          <c:showSerName val="0"/>
          <c:showPercent val="0"/>
          <c:showBubbleSize val="0"/>
        </c:dLbls>
        <c:gapWidth val="219"/>
        <c:overlap val="-27"/>
        <c:axId val="661084976"/>
        <c:axId val="658332928"/>
      </c:barChart>
      <c:catAx>
        <c:axId val="66108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332928"/>
        <c:crosses val="autoZero"/>
        <c:auto val="1"/>
        <c:lblAlgn val="ctr"/>
        <c:lblOffset val="100"/>
        <c:noMultiLvlLbl val="0"/>
      </c:catAx>
      <c:valAx>
        <c:axId val="658332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84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2">
                    <a:lumMod val="75000"/>
                  </a:schemeClr>
                </a:solidFill>
                <a:latin typeface="Bahnschrift Light Condensed" panose="020B0502040204020203" pitchFamily="34" charset="0"/>
              </a:rPr>
              <a:t>Spread</a:t>
            </a:r>
            <a:r>
              <a:rPr lang="en-IN" baseline="0">
                <a:solidFill>
                  <a:schemeClr val="accent2">
                    <a:lumMod val="75000"/>
                  </a:schemeClr>
                </a:solidFill>
                <a:latin typeface="Bahnschrift Light Condensed" panose="020B0502040204020203" pitchFamily="34" charset="0"/>
              </a:rPr>
              <a:t> Calculation</a:t>
            </a:r>
            <a:endParaRPr lang="en-IN">
              <a:solidFill>
                <a:schemeClr val="accent2">
                  <a:lumMod val="75000"/>
                </a:schemeClr>
              </a:solidFill>
              <a:latin typeface="Bahnschrift 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19050">
                <a:solidFill>
                  <a:schemeClr val="lt1"/>
                </a:solidFill>
              </a:ln>
              <a:effectLst/>
            </c:spPr>
            <c:extLst>
              <c:ext xmlns:c16="http://schemas.microsoft.com/office/drawing/2014/chart" uri="{C3380CC4-5D6E-409C-BE32-E72D297353CC}">
                <c16:uniqueId val="{00000001-DA4C-481D-90B4-312154725D28}"/>
              </c:ext>
            </c:extLst>
          </c:dPt>
          <c:dPt>
            <c:idx val="1"/>
            <c:bubble3D val="0"/>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2-DA4C-481D-90B4-312154725D28}"/>
              </c:ext>
            </c:extLst>
          </c:dPt>
          <c:dLbls>
            <c:dLbl>
              <c:idx val="0"/>
              <c:layout>
                <c:manualLayout>
                  <c:x val="6.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C-481D-90B4-312154725D28}"/>
                </c:ext>
              </c:extLst>
            </c:dLbl>
            <c:dLbl>
              <c:idx val="1"/>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4C-481D-90B4-312154725D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'Imp Ratios'!$A$62:$A$63</c:f>
              <c:strCache>
                <c:ptCount val="2"/>
                <c:pt idx="0">
                  <c:v>Cost Of Borrowing</c:v>
                </c:pt>
                <c:pt idx="1">
                  <c:v>Cost Of Lending</c:v>
                </c:pt>
              </c:strCache>
            </c:strRef>
          </c:cat>
          <c:val>
            <c:numRef>
              <c:f>'Imp Ratios'!$B$62:$B$63</c:f>
              <c:numCache>
                <c:formatCode>0.0%</c:formatCode>
                <c:ptCount val="2"/>
                <c:pt idx="0">
                  <c:v>9.9782333776499338E-2</c:v>
                </c:pt>
                <c:pt idx="1">
                  <c:v>0.14703528639012911</c:v>
                </c:pt>
              </c:numCache>
            </c:numRef>
          </c:val>
          <c:extLst>
            <c:ext xmlns:c16="http://schemas.microsoft.com/office/drawing/2014/chart" uri="{C3380CC4-5D6E-409C-BE32-E72D297353CC}">
              <c16:uniqueId val="{00000000-DA4C-481D-90B4-312154725D2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3"/>
                </a:solidFill>
                <a:latin typeface="Bahnschrift Light Condensed" panose="020B0502040204020203" pitchFamily="34" charset="0"/>
              </a:rPr>
              <a:t>Credit</a:t>
            </a:r>
            <a:r>
              <a:rPr lang="en-IN" baseline="0">
                <a:solidFill>
                  <a:schemeClr val="accent3"/>
                </a:solidFill>
                <a:latin typeface="Bahnschrift Light Condensed" panose="020B0502040204020203" pitchFamily="34" charset="0"/>
              </a:rPr>
              <a:t> Cost &amp; Slipage Ratio</a:t>
            </a:r>
            <a:endParaRPr lang="en-IN">
              <a:solidFill>
                <a:schemeClr val="accent3"/>
              </a:solidFill>
              <a:latin typeface="Bahnschrift 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0" scaled="1"/>
                <a:tileRect/>
              </a:gradFill>
              <a:ln w="19050">
                <a:solidFill>
                  <a:schemeClr val="lt1"/>
                </a:solidFill>
              </a:ln>
              <a:effectLst/>
            </c:spPr>
            <c:extLst>
              <c:ext xmlns:c16="http://schemas.microsoft.com/office/drawing/2014/chart" uri="{C3380CC4-5D6E-409C-BE32-E72D297353CC}">
                <c16:uniqueId val="{00000001-DA4C-481D-90B4-312154725D28}"/>
              </c:ext>
            </c:extLst>
          </c:dPt>
          <c:dPt>
            <c:idx val="1"/>
            <c:bubble3D val="0"/>
            <c:spPr>
              <a:gradFill flip="none" rotWithShape="1">
                <a:gsLst>
                  <a:gs pos="0">
                    <a:srgbClr val="7030A0">
                      <a:tint val="66000"/>
                      <a:satMod val="160000"/>
                    </a:srgbClr>
                  </a:gs>
                  <a:gs pos="50000">
                    <a:srgbClr val="7030A0">
                      <a:tint val="44500"/>
                      <a:satMod val="160000"/>
                    </a:srgbClr>
                  </a:gs>
                  <a:gs pos="100000">
                    <a:srgbClr val="7030A0">
                      <a:tint val="23500"/>
                      <a:satMod val="160000"/>
                    </a:srgbClr>
                  </a:gs>
                </a:gsLst>
                <a:path path="circle">
                  <a:fillToRect r="100000" b="100000"/>
                </a:path>
                <a:tileRect l="-100000" t="-100000"/>
              </a:gradFill>
              <a:ln w="19050">
                <a:solidFill>
                  <a:schemeClr val="lt1"/>
                </a:solidFill>
              </a:ln>
              <a:effectLst/>
            </c:spPr>
            <c:extLst>
              <c:ext xmlns:c16="http://schemas.microsoft.com/office/drawing/2014/chart" uri="{C3380CC4-5D6E-409C-BE32-E72D297353CC}">
                <c16:uniqueId val="{00000002-DA4C-481D-90B4-312154725D28}"/>
              </c:ext>
            </c:extLst>
          </c:dPt>
          <c:dLbls>
            <c:dLbl>
              <c:idx val="0"/>
              <c:layout>
                <c:manualLayout>
                  <c:x val="6.6666666666666666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C-481D-90B4-312154725D28}"/>
                </c:ext>
              </c:extLst>
            </c:dLbl>
            <c:dLbl>
              <c:idx val="1"/>
              <c:layout>
                <c:manualLayout>
                  <c:x val="-8.611111111111111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4C-481D-90B4-312154725D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'Imp Ratios'!$A$64:$A$65</c:f>
              <c:strCache>
                <c:ptCount val="2"/>
                <c:pt idx="0">
                  <c:v>CREDIT COST</c:v>
                </c:pt>
                <c:pt idx="1">
                  <c:v>Slipage Ratio</c:v>
                </c:pt>
              </c:strCache>
            </c:strRef>
          </c:cat>
          <c:val>
            <c:numRef>
              <c:f>'Imp Ratios'!$B$64:$B$65</c:f>
              <c:numCache>
                <c:formatCode>0.0%</c:formatCode>
                <c:ptCount val="2"/>
                <c:pt idx="0">
                  <c:v>3.1508526435692137E-2</c:v>
                </c:pt>
                <c:pt idx="1">
                  <c:v>3.9045553145336219E-2</c:v>
                </c:pt>
              </c:numCache>
            </c:numRef>
          </c:val>
          <c:extLst>
            <c:ext xmlns:c16="http://schemas.microsoft.com/office/drawing/2014/chart" uri="{C3380CC4-5D6E-409C-BE32-E72D297353CC}">
              <c16:uniqueId val="{00000000-DA4C-481D-90B4-312154725D2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Yeild</a:t>
            </a:r>
            <a:r>
              <a:rPr lang="en-IN" baseline="0">
                <a:latin typeface="Bahnschrift Light" panose="020B0502040204020203" pitchFamily="34" charset="0"/>
              </a:rPr>
              <a:t> Comparision</a:t>
            </a:r>
            <a:endParaRPr lang="en-IN">
              <a:latin typeface="Bahnschrift Light" panose="020B0502040204020203" pitchFamily="34" charset="0"/>
            </a:endParaRPr>
          </a:p>
        </c:rich>
      </c:tx>
      <c:layout>
        <c:manualLayout>
          <c:xMode val="edge"/>
          <c:yMode val="edge"/>
          <c:x val="0.44611365158378025"/>
          <c:y val="1.82013267381789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'Trend Files'!$B$125</c:f>
              <c:strCache>
                <c:ptCount val="1"/>
                <c:pt idx="0">
                  <c:v>10Y Gsec (%)</c:v>
                </c:pt>
              </c:strCache>
            </c:strRef>
          </c:tx>
          <c:spPr>
            <a:ln w="28575" cap="rnd">
              <a:solidFill>
                <a:schemeClr val="accent1"/>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Files'!$B$126:$B$136</c:f>
              <c:numCache>
                <c:formatCode>0.00</c:formatCode>
                <c:ptCount val="11"/>
                <c:pt idx="0">
                  <c:v>6.8289999999999997</c:v>
                </c:pt>
                <c:pt idx="1">
                  <c:v>6.8639999999999999</c:v>
                </c:pt>
                <c:pt idx="2">
                  <c:v>6.7089999999999996</c:v>
                </c:pt>
                <c:pt idx="3">
                  <c:v>6.7119999999999997</c:v>
                </c:pt>
                <c:pt idx="4">
                  <c:v>6.7169999999999996</c:v>
                </c:pt>
                <c:pt idx="5">
                  <c:v>6.7460000000000004</c:v>
                </c:pt>
                <c:pt idx="6">
                  <c:v>6.782</c:v>
                </c:pt>
                <c:pt idx="7">
                  <c:v>6.7850000000000001</c:v>
                </c:pt>
                <c:pt idx="8">
                  <c:v>6.7809999999999997</c:v>
                </c:pt>
                <c:pt idx="9">
                  <c:v>6.7480000000000002</c:v>
                </c:pt>
                <c:pt idx="10">
                  <c:v>6.76</c:v>
                </c:pt>
              </c:numCache>
            </c:numRef>
          </c:val>
          <c:smooth val="0"/>
          <c:extLst>
            <c:ext xmlns:c16="http://schemas.microsoft.com/office/drawing/2014/chart" uri="{C3380CC4-5D6E-409C-BE32-E72D297353CC}">
              <c16:uniqueId val="{00000000-7E7F-4442-8AD8-D3F1B9A4297F}"/>
            </c:ext>
          </c:extLst>
        </c:ser>
        <c:ser>
          <c:idx val="1"/>
          <c:order val="1"/>
          <c:tx>
            <c:strRef>
              <c:f>'Trend Files'!$C$125</c:f>
              <c:strCache>
                <c:ptCount val="1"/>
                <c:pt idx="0">
                  <c:v>AAA PSU CORP. Bonds - 10 Y</c:v>
                </c:pt>
              </c:strCache>
            </c:strRef>
          </c:tx>
          <c:spPr>
            <a:ln w="28575" cap="rnd">
              <a:solidFill>
                <a:schemeClr val="accent2"/>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Files'!$C$126:$C$136</c:f>
              <c:numCache>
                <c:formatCode>0.00</c:formatCode>
                <c:ptCount val="11"/>
                <c:pt idx="0">
                  <c:v>7.21</c:v>
                </c:pt>
                <c:pt idx="1">
                  <c:v>7.21</c:v>
                </c:pt>
                <c:pt idx="2">
                  <c:v>7.2</c:v>
                </c:pt>
                <c:pt idx="3">
                  <c:v>7.27</c:v>
                </c:pt>
                <c:pt idx="4">
                  <c:v>7.23</c:v>
                </c:pt>
                <c:pt idx="5">
                  <c:v>7.21</c:v>
                </c:pt>
                <c:pt idx="6">
                  <c:v>7.22</c:v>
                </c:pt>
                <c:pt idx="7">
                  <c:v>7.22</c:v>
                </c:pt>
                <c:pt idx="8">
                  <c:v>7.25</c:v>
                </c:pt>
                <c:pt idx="9">
                  <c:v>7.22</c:v>
                </c:pt>
                <c:pt idx="10">
                  <c:v>7.25</c:v>
                </c:pt>
              </c:numCache>
            </c:numRef>
          </c:val>
          <c:smooth val="0"/>
          <c:extLst>
            <c:ext xmlns:c16="http://schemas.microsoft.com/office/drawing/2014/chart" uri="{C3380CC4-5D6E-409C-BE32-E72D297353CC}">
              <c16:uniqueId val="{00000001-7E7F-4442-8AD8-D3F1B9A4297F}"/>
            </c:ext>
          </c:extLst>
        </c:ser>
        <c:ser>
          <c:idx val="2"/>
          <c:order val="2"/>
          <c:tx>
            <c:strRef>
              <c:f>'Trend Files'!$D$125</c:f>
              <c:strCache>
                <c:ptCount val="1"/>
                <c:pt idx="0">
                  <c:v>POONAWALA FINCORP PAPER</c:v>
                </c:pt>
              </c:strCache>
            </c:strRef>
          </c:tx>
          <c:spPr>
            <a:ln w="28575" cap="rnd">
              <a:solidFill>
                <a:schemeClr val="accent3"/>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Files'!$D$126:$D$136</c:f>
              <c:numCache>
                <c:formatCode>General</c:formatCode>
                <c:ptCount val="11"/>
                <c:pt idx="0">
                  <c:v>8.02</c:v>
                </c:pt>
                <c:pt idx="1">
                  <c:v>7.95</c:v>
                </c:pt>
                <c:pt idx="2">
                  <c:v>8.02</c:v>
                </c:pt>
                <c:pt idx="3">
                  <c:v>8.02</c:v>
                </c:pt>
                <c:pt idx="4">
                  <c:v>8</c:v>
                </c:pt>
                <c:pt idx="5">
                  <c:v>7.96</c:v>
                </c:pt>
                <c:pt idx="6">
                  <c:v>7.92</c:v>
                </c:pt>
                <c:pt idx="7">
                  <c:v>7.88</c:v>
                </c:pt>
                <c:pt idx="8">
                  <c:v>8.01</c:v>
                </c:pt>
                <c:pt idx="9">
                  <c:v>7.98</c:v>
                </c:pt>
                <c:pt idx="10">
                  <c:v>8.0299999999999994</c:v>
                </c:pt>
              </c:numCache>
            </c:numRef>
          </c:val>
          <c:smooth val="0"/>
          <c:extLst>
            <c:ext xmlns:c16="http://schemas.microsoft.com/office/drawing/2014/chart" uri="{C3380CC4-5D6E-409C-BE32-E72D297353CC}">
              <c16:uniqueId val="{00000002-7E7F-4442-8AD8-D3F1B9A4297F}"/>
            </c:ext>
          </c:extLst>
        </c:ser>
        <c:ser>
          <c:idx val="3"/>
          <c:order val="3"/>
          <c:tx>
            <c:strRef>
              <c:f>'Trend Files'!$H$125</c:f>
              <c:strCache>
                <c:ptCount val="1"/>
                <c:pt idx="0">
                  <c:v>AAA NBFC BOND-10Yr</c:v>
                </c:pt>
              </c:strCache>
            </c:strRef>
          </c:tx>
          <c:spPr>
            <a:ln w="28575" cap="rnd">
              <a:solidFill>
                <a:schemeClr val="accent4"/>
              </a:solidFill>
              <a:round/>
            </a:ln>
            <a:effectLst/>
          </c:spPr>
          <c:marker>
            <c:symbol val="none"/>
          </c:marker>
          <c:cat>
            <c:numRef>
              <c:f>'Trend Files'!$A$126:$A$136</c:f>
              <c:numCache>
                <c:formatCode>[$-409]d/mmm/yy;@</c:formatCode>
                <c:ptCount val="11"/>
                <c:pt idx="0">
                  <c:v>45608</c:v>
                </c:pt>
                <c:pt idx="1">
                  <c:v>45610</c:v>
                </c:pt>
                <c:pt idx="2">
                  <c:v>45628</c:v>
                </c:pt>
                <c:pt idx="3">
                  <c:v>45629</c:v>
                </c:pt>
                <c:pt idx="4">
                  <c:v>45637</c:v>
                </c:pt>
                <c:pt idx="5">
                  <c:v>45644</c:v>
                </c:pt>
                <c:pt idx="6">
                  <c:v>45652</c:v>
                </c:pt>
                <c:pt idx="7">
                  <c:v>45653</c:v>
                </c:pt>
                <c:pt idx="8">
                  <c:v>45658</c:v>
                </c:pt>
                <c:pt idx="9">
                  <c:v>45664</c:v>
                </c:pt>
                <c:pt idx="10" formatCode="d\-mmm\-yy">
                  <c:v>45674</c:v>
                </c:pt>
              </c:numCache>
            </c:numRef>
          </c:cat>
          <c:val>
            <c:numRef>
              <c:f>'Trend Files'!$H$126:$H$136</c:f>
              <c:numCache>
                <c:formatCode>General</c:formatCode>
                <c:ptCount val="11"/>
                <c:pt idx="0">
                  <c:v>7.54</c:v>
                </c:pt>
                <c:pt idx="1">
                  <c:v>7.57</c:v>
                </c:pt>
                <c:pt idx="2">
                  <c:v>7.45</c:v>
                </c:pt>
                <c:pt idx="3">
                  <c:v>7.38</c:v>
                </c:pt>
                <c:pt idx="4">
                  <c:v>7.38</c:v>
                </c:pt>
                <c:pt idx="5">
                  <c:v>7.47</c:v>
                </c:pt>
                <c:pt idx="6">
                  <c:v>7.49</c:v>
                </c:pt>
                <c:pt idx="7">
                  <c:v>7.49</c:v>
                </c:pt>
                <c:pt idx="8">
                  <c:v>7.39</c:v>
                </c:pt>
                <c:pt idx="9">
                  <c:v>7.52</c:v>
                </c:pt>
                <c:pt idx="10">
                  <c:v>7.49</c:v>
                </c:pt>
              </c:numCache>
            </c:numRef>
          </c:val>
          <c:smooth val="0"/>
          <c:extLst>
            <c:ext xmlns:c16="http://schemas.microsoft.com/office/drawing/2014/chart" uri="{C3380CC4-5D6E-409C-BE32-E72D297353CC}">
              <c16:uniqueId val="{00000003-7E7F-4442-8AD8-D3F1B9A4297F}"/>
            </c:ext>
          </c:extLst>
        </c:ser>
        <c:dLbls>
          <c:showLegendKey val="0"/>
          <c:showVal val="0"/>
          <c:showCatName val="0"/>
          <c:showSerName val="0"/>
          <c:showPercent val="0"/>
          <c:showBubbleSize val="0"/>
        </c:dLbls>
        <c:smooth val="0"/>
        <c:axId val="843331967"/>
        <c:axId val="1270976592"/>
      </c:lineChart>
      <c:dateAx>
        <c:axId val="843331967"/>
        <c:scaling>
          <c:orientation val="minMax"/>
        </c:scaling>
        <c:delete val="0"/>
        <c:axPos val="b"/>
        <c:numFmt formatCode="[$-409]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1270976592"/>
        <c:crosses val="autoZero"/>
        <c:auto val="1"/>
        <c:lblOffset val="100"/>
        <c:baseTimeUnit val="days"/>
      </c:dateAx>
      <c:valAx>
        <c:axId val="1270976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843331967"/>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latin typeface="Bahnschrift Light" panose="020B0502040204020203" pitchFamily="34" charset="0"/>
              </a:rPr>
              <a:t>Segment</a:t>
            </a:r>
            <a:r>
              <a:rPr lang="en-IN" baseline="0">
                <a:latin typeface="Bahnschrift Light" panose="020B0502040204020203" pitchFamily="34" charset="0"/>
              </a:rPr>
              <a:t> Wise Breakup Of AUM</a:t>
            </a:r>
            <a:endParaRPr lang="en-IN">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'Georaphic Breakup'!$C$59</c:f>
              <c:strCache>
                <c:ptCount val="1"/>
                <c:pt idx="0">
                  <c:v>Percentage of AUM</c:v>
                </c:pt>
              </c:strCache>
            </c:strRef>
          </c:tx>
          <c:dPt>
            <c:idx val="0"/>
            <c:bubble3D val="0"/>
            <c: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w="19050">
                <a:solidFill>
                  <a:schemeClr val="lt1"/>
                </a:solidFill>
              </a:ln>
              <a:effectLst/>
            </c:spPr>
            <c:extLst>
              <c:ext xmlns:c16="http://schemas.microsoft.com/office/drawing/2014/chart" uri="{C3380CC4-5D6E-409C-BE32-E72D297353CC}">
                <c16:uniqueId val="{00000001-DA4C-481D-90B4-312154725D28}"/>
              </c:ext>
            </c:extLst>
          </c:dPt>
          <c:dPt>
            <c:idx val="1"/>
            <c:bubble3D val="0"/>
            <c:spPr>
              <a:gradFill flip="none" rotWithShape="1">
                <a:gsLst>
                  <a:gs pos="0">
                    <a:schemeClr val="accent6">
                      <a:lumMod val="60000"/>
                      <a:lumOff val="40000"/>
                      <a:shade val="30000"/>
                      <a:satMod val="115000"/>
                    </a:schemeClr>
                  </a:gs>
                  <a:gs pos="50000">
                    <a:schemeClr val="accent6">
                      <a:lumMod val="60000"/>
                      <a:lumOff val="40000"/>
                      <a:shade val="67500"/>
                      <a:satMod val="115000"/>
                    </a:schemeClr>
                  </a:gs>
                  <a:gs pos="100000">
                    <a:schemeClr val="accent6">
                      <a:lumMod val="60000"/>
                      <a:lumOff val="40000"/>
                      <a:shade val="100000"/>
                      <a:satMod val="115000"/>
                    </a:schemeClr>
                  </a:gs>
                </a:gsLst>
                <a:path path="circle">
                  <a:fillToRect l="100000" b="100000"/>
                </a:path>
                <a:tileRect t="-100000" r="-100000"/>
              </a:gradFill>
              <a:ln w="19050">
                <a:solidFill>
                  <a:schemeClr val="lt1"/>
                </a:solidFill>
              </a:ln>
              <a:effectLst/>
            </c:spPr>
            <c:extLst>
              <c:ext xmlns:c16="http://schemas.microsoft.com/office/drawing/2014/chart" uri="{C3380CC4-5D6E-409C-BE32-E72D297353CC}">
                <c16:uniqueId val="{00000002-DA4C-481D-90B4-312154725D28}"/>
              </c:ext>
            </c:extLst>
          </c:dPt>
          <c:dPt>
            <c:idx val="2"/>
            <c:bubble3D val="0"/>
            <c:spPr>
              <a:gradFill flip="none" rotWithShape="1">
                <a:gsLst>
                  <a:gs pos="0">
                    <a:sysClr val="window" lastClr="FFFFFF">
                      <a:lumMod val="85000"/>
                      <a:shade val="30000"/>
                      <a:satMod val="115000"/>
                    </a:sysClr>
                  </a:gs>
                  <a:gs pos="50000">
                    <a:sysClr val="window" lastClr="FFFFFF">
                      <a:lumMod val="85000"/>
                      <a:shade val="67500"/>
                      <a:satMod val="115000"/>
                    </a:sysClr>
                  </a:gs>
                  <a:gs pos="100000">
                    <a:sysClr val="window" lastClr="FFFFFF">
                      <a:lumMod val="85000"/>
                      <a:shade val="100000"/>
                      <a:satMod val="115000"/>
                    </a:sysClr>
                  </a:gs>
                </a:gsLst>
                <a:path path="circle">
                  <a:fillToRect l="100000" t="100000"/>
                </a:path>
                <a:tileRect r="-100000" b="-100000"/>
              </a:gradFill>
              <a:ln w="19050">
                <a:solidFill>
                  <a:schemeClr val="lt1"/>
                </a:solidFill>
              </a:ln>
              <a:effectLst/>
            </c:spPr>
            <c:extLst>
              <c:ext xmlns:c16="http://schemas.microsoft.com/office/drawing/2014/chart" uri="{C3380CC4-5D6E-409C-BE32-E72D297353CC}">
                <c16:uniqueId val="{00000007-4800-4AD7-AC33-821D2504D4AE}"/>
              </c:ext>
            </c:extLst>
          </c:dPt>
          <c:dPt>
            <c:idx val="3"/>
            <c:bubble3D val="0"/>
            <c:spPr>
              <a:gradFill flip="none" rotWithShape="1">
                <a:gsLst>
                  <a:gs pos="0">
                    <a:srgbClr val="FFC000">
                      <a:tint val="66000"/>
                      <a:satMod val="160000"/>
                    </a:srgbClr>
                  </a:gs>
                  <a:gs pos="50000">
                    <a:srgbClr val="FFC000">
                      <a:tint val="44500"/>
                      <a:satMod val="160000"/>
                    </a:srgbClr>
                  </a:gs>
                  <a:gs pos="100000">
                    <a:srgbClr val="FFC000">
                      <a:tint val="23500"/>
                      <a:satMod val="160000"/>
                    </a:srgbClr>
                  </a:gs>
                </a:gsLst>
                <a:lin ang="18900000" scaled="1"/>
                <a:tileRect/>
              </a:gradFill>
              <a:ln w="19050">
                <a:solidFill>
                  <a:schemeClr val="lt1"/>
                </a:solidFill>
              </a:ln>
              <a:effectLst/>
            </c:spPr>
            <c:extLst>
              <c:ext xmlns:c16="http://schemas.microsoft.com/office/drawing/2014/chart" uri="{C3380CC4-5D6E-409C-BE32-E72D297353CC}">
                <c16:uniqueId val="{00000006-4800-4AD7-AC33-821D2504D4AE}"/>
              </c:ext>
            </c:extLst>
          </c:dPt>
          <c:dLbls>
            <c:dLbl>
              <c:idx val="0"/>
              <c:layout>
                <c:manualLayout>
                  <c:x val="4.2817277657262523E-2"/>
                  <c:y val="-4.27466179003728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4C-481D-90B4-312154725D28}"/>
                </c:ext>
              </c:extLst>
            </c:dLbl>
            <c:dLbl>
              <c:idx val="1"/>
              <c:layout>
                <c:manualLayout>
                  <c:x val="-4.3433328707761509E-2"/>
                  <c:y val="9.259346905058687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4C-481D-90B4-312154725D2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'Georaphic Breakup'!$B$60:$B$63</c:f>
              <c:strCache>
                <c:ptCount val="4"/>
                <c:pt idx="0">
                  <c:v>Mortgages (home loans and loans against property)</c:v>
                </c:pt>
                <c:pt idx="1">
                  <c:v>Vehicle finance</c:v>
                </c:pt>
                <c:pt idx="2">
                  <c:v>M&amp;SME</c:v>
                </c:pt>
                <c:pt idx="3">
                  <c:v>Others</c:v>
                </c:pt>
              </c:strCache>
            </c:strRef>
          </c:cat>
          <c:val>
            <c:numRef>
              <c:f>'Georaphic Breakup'!$C$60:$C$63</c:f>
              <c:numCache>
                <c:formatCode>0%</c:formatCode>
                <c:ptCount val="4"/>
                <c:pt idx="0">
                  <c:v>0.16</c:v>
                </c:pt>
                <c:pt idx="1">
                  <c:v>0.31</c:v>
                </c:pt>
                <c:pt idx="2">
                  <c:v>0.21</c:v>
                </c:pt>
                <c:pt idx="3">
                  <c:v>0.32</c:v>
                </c:pt>
              </c:numCache>
            </c:numRef>
          </c:val>
          <c:extLst>
            <c:ext xmlns:c16="http://schemas.microsoft.com/office/drawing/2014/chart" uri="{C3380CC4-5D6E-409C-BE32-E72D297353CC}">
              <c16:uniqueId val="{00000000-DA4C-481D-90B4-312154725D2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r>
              <a:rPr lang="en-US">
                <a:latin typeface="Bahnschrift Light" panose="020B0502040204020203" pitchFamily="34" charset="0"/>
              </a:rPr>
              <a:t>Ticket</a:t>
            </a:r>
            <a:r>
              <a:rPr lang="en-US" baseline="0">
                <a:latin typeface="Bahnschrift Light" panose="020B0502040204020203" pitchFamily="34" charset="0"/>
              </a:rPr>
              <a:t> Size as a % of AUM </a:t>
            </a:r>
            <a:endParaRPr lang="en-US">
              <a:latin typeface="Bahnschrift Light" panose="020B0502040204020203"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Light" panose="020B0502040204020203" pitchFamily="34" charset="0"/>
              <a:ea typeface="+mn-ea"/>
              <a:cs typeface="+mn-cs"/>
            </a:defRPr>
          </a:pPr>
          <a:endParaRPr lang="en-US"/>
        </a:p>
      </c:txPr>
    </c:title>
    <c:autoTitleDeleted val="0"/>
    <c:plotArea>
      <c:layout/>
      <c:barChart>
        <c:barDir val="bar"/>
        <c:grouping val="clustered"/>
        <c:varyColors val="0"/>
        <c:ser>
          <c:idx val="0"/>
          <c:order val="0"/>
          <c:tx>
            <c:strRef>
              <c:f>'Georaphic Breakup'!$I$4</c:f>
              <c:strCache>
                <c:ptCount val="1"/>
                <c:pt idx="0">
                  <c:v>Percentage Of AUM</c:v>
                </c:pt>
              </c:strCache>
            </c:strRef>
          </c:tx>
          <c:spPr>
            <a:solidFill>
              <a:schemeClr val="bg1">
                <a:lumMod val="95000"/>
              </a:schemeClr>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4-DADF-4839-98EB-803F925153FA}"/>
              </c:ext>
            </c:extLst>
          </c:dPt>
          <c:dPt>
            <c:idx val="1"/>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8-DADF-4839-98EB-803F925153FA}"/>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3-DADF-4839-98EB-803F925153FA}"/>
              </c:ext>
            </c:extLst>
          </c:dPt>
          <c:dPt>
            <c:idx val="3"/>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7-DADF-4839-98EB-803F925153FA}"/>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2-DADF-4839-98EB-803F925153FA}"/>
              </c:ext>
            </c:extLst>
          </c:dPt>
          <c:dPt>
            <c:idx val="5"/>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6-DADF-4839-98EB-803F925153FA}"/>
              </c:ext>
            </c:extLst>
          </c:dPt>
          <c:dPt>
            <c:idx val="6"/>
            <c:invertIfNegative val="0"/>
            <c:bubble3D val="0"/>
            <c:spPr>
              <a:solidFill>
                <a:schemeClr val="accent5"/>
              </a:solidFill>
              <a:ln>
                <a:noFill/>
              </a:ln>
              <a:effectLst/>
            </c:spPr>
            <c:extLst>
              <c:ext xmlns:c16="http://schemas.microsoft.com/office/drawing/2014/chart" uri="{C3380CC4-5D6E-409C-BE32-E72D297353CC}">
                <c16:uniqueId val="{00000001-DADF-4839-98EB-803F925153FA}"/>
              </c:ext>
            </c:extLst>
          </c:dPt>
          <c:dPt>
            <c:idx val="7"/>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5-DADF-4839-98EB-803F925153FA}"/>
              </c:ext>
            </c:extLst>
          </c:dPt>
          <c:cat>
            <c:strRef>
              <c:f>'Georaphic Breakup'!$H$5:$H$14</c:f>
              <c:strCache>
                <c:ptCount val="10"/>
                <c:pt idx="0">
                  <c:v>Upto Rs 2 lakh</c:v>
                </c:pt>
                <c:pt idx="1">
                  <c:v>Rs. 2-5 lakh</c:v>
                </c:pt>
                <c:pt idx="2">
                  <c:v>Rs. 5-10 lakh</c:v>
                </c:pt>
                <c:pt idx="3">
                  <c:v>Rs. 10-25 lakh</c:v>
                </c:pt>
                <c:pt idx="4">
                  <c:v>Rs. 25-50 lakh</c:v>
                </c:pt>
                <c:pt idx="5">
                  <c:v>Rs. 50 lakh- 1Crore</c:v>
                </c:pt>
                <c:pt idx="6">
                  <c:v>Rs. 1 - 5 Crore</c:v>
                </c:pt>
                <c:pt idx="7">
                  <c:v>Rs. 5 - 25 Crore</c:v>
                </c:pt>
                <c:pt idx="8">
                  <c:v>Rs. 25 - 100 Crore</c:v>
                </c:pt>
                <c:pt idx="9">
                  <c:v>Rs. &gt; 100 Crore</c:v>
                </c:pt>
              </c:strCache>
            </c:strRef>
          </c:cat>
          <c:val>
            <c:numRef>
              <c:f>'Georaphic Breakup'!$I$5:$I$14</c:f>
              <c:numCache>
                <c:formatCode>0.00%</c:formatCode>
                <c:ptCount val="10"/>
                <c:pt idx="0">
                  <c:v>0.17799999999999999</c:v>
                </c:pt>
                <c:pt idx="1">
                  <c:v>0.13900000000000001</c:v>
                </c:pt>
                <c:pt idx="2">
                  <c:v>0.13500000000000001</c:v>
                </c:pt>
                <c:pt idx="3">
                  <c:v>0.23899999999999999</c:v>
                </c:pt>
                <c:pt idx="4">
                  <c:v>0.14000000000000001</c:v>
                </c:pt>
                <c:pt idx="5">
                  <c:v>3.5000000000000003E-2</c:v>
                </c:pt>
                <c:pt idx="6">
                  <c:v>9.6000000000000002E-2</c:v>
                </c:pt>
                <c:pt idx="7">
                  <c:v>3.7999999999999999E-2</c:v>
                </c:pt>
                <c:pt idx="8" formatCode="0%">
                  <c:v>0</c:v>
                </c:pt>
                <c:pt idx="9" formatCode="0%">
                  <c:v>0</c:v>
                </c:pt>
              </c:numCache>
            </c:numRef>
          </c:val>
          <c:extLst>
            <c:ext xmlns:c16="http://schemas.microsoft.com/office/drawing/2014/chart" uri="{C3380CC4-5D6E-409C-BE32-E72D297353CC}">
              <c16:uniqueId val="{00000000-DADF-4839-98EB-803F925153FA}"/>
            </c:ext>
          </c:extLst>
        </c:ser>
        <c:dLbls>
          <c:showLegendKey val="0"/>
          <c:showVal val="0"/>
          <c:showCatName val="0"/>
          <c:showSerName val="0"/>
          <c:showPercent val="0"/>
          <c:showBubbleSize val="0"/>
        </c:dLbls>
        <c:gapWidth val="182"/>
        <c:axId val="1334176863"/>
        <c:axId val="117167920"/>
      </c:barChart>
      <c:catAx>
        <c:axId val="1334176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17167920"/>
        <c:crosses val="autoZero"/>
        <c:auto val="1"/>
        <c:lblAlgn val="ctr"/>
        <c:lblOffset val="100"/>
        <c:noMultiLvlLbl val="0"/>
      </c:catAx>
      <c:valAx>
        <c:axId val="117167920"/>
        <c:scaling>
          <c:orientation val="minMax"/>
        </c:scaling>
        <c:delete val="0"/>
        <c:axPos val="b"/>
        <c:majorGridlines>
          <c:spPr>
            <a:ln w="9525" cap="flat" cmpd="sng" algn="ctr">
              <a:solidFill>
                <a:schemeClr val="tx1">
                  <a:lumMod val="15000"/>
                  <a:lumOff val="85000"/>
                </a:schemeClr>
              </a:solidFill>
              <a:prstDash val="sysDot"/>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crossAx val="13341768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r>
              <a:rPr lang="en-IN">
                <a:latin typeface="Arial Narrow" panose="020B0606020202030204" pitchFamily="34" charset="0"/>
              </a:rPr>
              <a:t>Live</a:t>
            </a:r>
            <a:r>
              <a:rPr lang="en-IN" baseline="0">
                <a:latin typeface="Arial Narrow" panose="020B0606020202030204" pitchFamily="34" charset="0"/>
              </a:rPr>
              <a:t> Market Trade </a:t>
            </a:r>
            <a:endParaRPr lang="en-IN">
              <a:latin typeface="Arial Narrow" panose="020B0606020202030204" pitchFamily="34" charset="0"/>
            </a:endParaRPr>
          </a:p>
        </c:rich>
      </c:tx>
      <c:layout>
        <c:manualLayout>
          <c:xMode val="edge"/>
          <c:yMode val="edge"/>
          <c:x val="0.4128522195595115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Narrow" panose="020B0606020202030204" pitchFamily="34" charset="0"/>
              <a:ea typeface="+mn-ea"/>
              <a:cs typeface="+mn-cs"/>
            </a:defRPr>
          </a:pPr>
          <a:endParaRPr lang="en-US"/>
        </a:p>
      </c:txPr>
    </c:title>
    <c:autoTitleDeleted val="0"/>
    <c:plotArea>
      <c:layout/>
      <c:areaChart>
        <c:grouping val="standard"/>
        <c:varyColors val="0"/>
        <c:ser>
          <c:idx val="0"/>
          <c:order val="0"/>
          <c:tx>
            <c:strRef>
              <c:f>'NSE Poona'!$B$1</c:f>
              <c:strCache>
                <c:ptCount val="1"/>
                <c:pt idx="0">
                  <c:v>Nifty 50</c:v>
                </c:pt>
              </c:strCache>
            </c:strRef>
          </c:tx>
          <c:spPr>
            <a:solidFill>
              <a:srgbClr val="5B9BD5">
                <a:lumMod val="20000"/>
                <a:lumOff val="80000"/>
              </a:srgbClr>
            </a:solidFill>
            <a:ln w="12700">
              <a:solidFill>
                <a:sysClr val="window" lastClr="FFFFFF">
                  <a:lumMod val="50000"/>
                </a:sysClr>
              </a:solidFill>
              <a:prstDash val="dashDot"/>
            </a:ln>
            <a:effectLst/>
          </c:spPr>
          <c:dPt>
            <c:idx val="3"/>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1-98CF-4637-8FCA-8F4DA999C8A5}"/>
              </c:ext>
            </c:extLst>
          </c:dPt>
          <c:dPt>
            <c:idx val="6"/>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20-AC3F-4448-A228-C882A366EBC9}"/>
              </c:ext>
            </c:extLst>
          </c:dPt>
          <c:dPt>
            <c:idx val="7"/>
            <c:bubble3D val="0"/>
            <c:spPr>
              <a:solidFill>
                <a:srgbClr val="5B9BD5">
                  <a:lumMod val="20000"/>
                  <a:lumOff val="80000"/>
                </a:srgbClr>
              </a:solidFill>
              <a:ln w="12700" cap="rnd">
                <a:solidFill>
                  <a:sysClr val="window" lastClr="FFFFFF">
                    <a:lumMod val="50000"/>
                  </a:sysClr>
                </a:solidFill>
                <a:prstDash val="dashDot"/>
                <a:round/>
              </a:ln>
              <a:effectLst/>
            </c:spPr>
            <c:extLst>
              <c:ext xmlns:c16="http://schemas.microsoft.com/office/drawing/2014/chart" uri="{C3380CC4-5D6E-409C-BE32-E72D297353CC}">
                <c16:uniqueId val="{00000005-98CF-4637-8FCA-8F4DA999C8A5}"/>
              </c:ext>
            </c:extLst>
          </c:dPt>
          <c:dLbls>
            <c:dLbl>
              <c:idx val="16"/>
              <c:layout>
                <c:manualLayout>
                  <c:x val="4.6376811594202897E-3"/>
                  <c:y val="-0.2314814814814815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A93D-442E-B611-FC14499103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lumMod val="75000"/>
                      </a:schemeClr>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45781</c:v>
                </c:pt>
              </c:numCache>
            </c:numRef>
          </c:cat>
          <c:val>
            <c:numRef>
              <c:f>'NSE Poona'!$B$2:$B$18</c:f>
              <c:numCache>
                <c:formatCode>General</c:formatCode>
                <c:ptCount val="17"/>
                <c:pt idx="0">
                  <c:v>21725.7</c:v>
                </c:pt>
                <c:pt idx="1">
                  <c:v>21982.799999999999</c:v>
                </c:pt>
                <c:pt idx="2">
                  <c:v>22326.9</c:v>
                </c:pt>
                <c:pt idx="3">
                  <c:v>22604.85</c:v>
                </c:pt>
                <c:pt idx="4">
                  <c:v>22530.7</c:v>
                </c:pt>
                <c:pt idx="5">
                  <c:v>24010.6</c:v>
                </c:pt>
                <c:pt idx="6">
                  <c:v>24951.15</c:v>
                </c:pt>
                <c:pt idx="7">
                  <c:v>25235.9</c:v>
                </c:pt>
                <c:pt idx="8">
                  <c:v>25810.85</c:v>
                </c:pt>
                <c:pt idx="9">
                  <c:v>24205.35</c:v>
                </c:pt>
                <c:pt idx="10">
                  <c:v>24131.1</c:v>
                </c:pt>
                <c:pt idx="11">
                  <c:v>23644.799999999999</c:v>
                </c:pt>
                <c:pt idx="12">
                  <c:v>23494.6</c:v>
                </c:pt>
                <c:pt idx="13">
                  <c:v>22124.7</c:v>
                </c:pt>
                <c:pt idx="14">
                  <c:v>23519.35</c:v>
                </c:pt>
                <c:pt idx="15">
                  <c:v>24334.2</c:v>
                </c:pt>
                <c:pt idx="16">
                  <c:v>23632.85</c:v>
                </c:pt>
              </c:numCache>
            </c:numRef>
          </c:val>
          <c:extLst>
            <c:ext xmlns:c16="http://schemas.microsoft.com/office/drawing/2014/chart" uri="{C3380CC4-5D6E-409C-BE32-E72D297353CC}">
              <c16:uniqueId val="{00000020-53D3-4903-A3CB-4FFBD83590C6}"/>
            </c:ext>
          </c:extLst>
        </c:ser>
        <c:dLbls>
          <c:showLegendKey val="0"/>
          <c:showVal val="1"/>
          <c:showCatName val="0"/>
          <c:showSerName val="0"/>
          <c:showPercent val="0"/>
          <c:showBubbleSize val="0"/>
        </c:dLbls>
        <c:axId val="2110906655"/>
        <c:axId val="666570544"/>
      </c:areaChart>
      <c:lineChart>
        <c:grouping val="standard"/>
        <c:varyColors val="0"/>
        <c:ser>
          <c:idx val="1"/>
          <c:order val="1"/>
          <c:tx>
            <c:strRef>
              <c:f>'NSE Poona'!$C$1</c:f>
              <c:strCache>
                <c:ptCount val="1"/>
                <c:pt idx="0">
                  <c:v>Poonawalla Fincorp</c:v>
                </c:pt>
              </c:strCache>
            </c:strRef>
          </c:tx>
          <c:spPr>
            <a:ln w="28575" cap="rnd">
              <a:solidFill>
                <a:srgbClr val="44546A">
                  <a:lumMod val="75000"/>
                </a:srgbClr>
              </a:solidFill>
              <a:prstDash val="lgDashDotDot"/>
              <a:round/>
            </a:ln>
            <a:effectLst/>
          </c:spPr>
          <c:marker>
            <c:symbol val="none"/>
          </c:marker>
          <c:dPt>
            <c:idx val="2"/>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5-53D3-4903-A3CB-4FFBD83590C6}"/>
              </c:ext>
            </c:extLst>
          </c:dPt>
          <c:dPt>
            <c:idx val="3"/>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7-53D3-4903-A3CB-4FFBD83590C6}"/>
              </c:ext>
            </c:extLst>
          </c:dPt>
          <c:dPt>
            <c:idx val="4"/>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9-53D3-4903-A3CB-4FFBD83590C6}"/>
              </c:ext>
            </c:extLst>
          </c:dPt>
          <c:dPt>
            <c:idx val="5"/>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B-53D3-4903-A3CB-4FFBD83590C6}"/>
              </c:ext>
            </c:extLst>
          </c:dPt>
          <c:dPt>
            <c:idx val="6"/>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0D-53D3-4903-A3CB-4FFBD83590C6}"/>
              </c:ext>
            </c:extLst>
          </c:dPt>
          <c:dPt>
            <c:idx val="7"/>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1-98CF-4637-8FCA-8F4DA999C8A5}"/>
              </c:ext>
            </c:extLst>
          </c:dPt>
          <c:dPt>
            <c:idx val="8"/>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3-98CF-4637-8FCA-8F4DA999C8A5}"/>
              </c:ext>
            </c:extLst>
          </c:dPt>
          <c:dPt>
            <c:idx val="9"/>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3-53D3-4903-A3CB-4FFBD83590C6}"/>
              </c:ext>
            </c:extLst>
          </c:dPt>
          <c:dPt>
            <c:idx val="10"/>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5-53D3-4903-A3CB-4FFBD83590C6}"/>
              </c:ext>
            </c:extLst>
          </c:dPt>
          <c:dPt>
            <c:idx val="11"/>
            <c:marker>
              <c:symbol val="none"/>
            </c:marker>
            <c:bubble3D val="0"/>
            <c:spPr>
              <a:ln w="28575" cap="rnd">
                <a:solidFill>
                  <a:srgbClr val="44546A">
                    <a:lumMod val="75000"/>
                  </a:srgbClr>
                </a:solidFill>
                <a:prstDash val="lgDashDotDot"/>
                <a:round/>
              </a:ln>
              <a:effectLst/>
            </c:spPr>
            <c:extLst>
              <c:ext xmlns:c16="http://schemas.microsoft.com/office/drawing/2014/chart" uri="{C3380CC4-5D6E-409C-BE32-E72D297353CC}">
                <c16:uniqueId val="{00000016-53D3-4903-A3CB-4FFBD83590C6}"/>
              </c:ext>
            </c:extLst>
          </c:dPt>
          <c:dLbls>
            <c:dLbl>
              <c:idx val="16"/>
              <c:layout>
                <c:manualLayout>
                  <c:x val="-1.6231884057971185E-2"/>
                  <c:y val="-6.018518518518518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1B-A93D-442E-B611-FC14499103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45781</c:v>
                </c:pt>
              </c:numCache>
            </c:numRef>
          </c:cat>
          <c:val>
            <c:numRef>
              <c:f>'NSE Poona'!$C$2:$C$18</c:f>
              <c:numCache>
                <c:formatCode>General</c:formatCode>
                <c:ptCount val="17"/>
                <c:pt idx="0">
                  <c:v>478.3</c:v>
                </c:pt>
                <c:pt idx="1">
                  <c:v>467</c:v>
                </c:pt>
                <c:pt idx="2">
                  <c:v>465.6</c:v>
                </c:pt>
                <c:pt idx="3">
                  <c:v>490.65</c:v>
                </c:pt>
                <c:pt idx="4">
                  <c:v>449.1</c:v>
                </c:pt>
                <c:pt idx="5">
                  <c:v>409.1</c:v>
                </c:pt>
                <c:pt idx="6">
                  <c:v>369.05</c:v>
                </c:pt>
                <c:pt idx="7">
                  <c:v>387.3</c:v>
                </c:pt>
                <c:pt idx="8">
                  <c:v>394.45</c:v>
                </c:pt>
                <c:pt idx="9">
                  <c:v>374.5</c:v>
                </c:pt>
                <c:pt idx="10">
                  <c:v>354.45</c:v>
                </c:pt>
                <c:pt idx="11">
                  <c:v>314.35000000000002</c:v>
                </c:pt>
                <c:pt idx="12">
                  <c:v>310.85000000000002</c:v>
                </c:pt>
                <c:pt idx="13">
                  <c:v>281.3</c:v>
                </c:pt>
                <c:pt idx="14">
                  <c:v>350.45</c:v>
                </c:pt>
                <c:pt idx="15">
                  <c:v>375.25</c:v>
                </c:pt>
                <c:pt idx="16">
                  <c:v>348.5</c:v>
                </c:pt>
              </c:numCache>
            </c:numRef>
          </c:val>
          <c:smooth val="0"/>
          <c:extLst>
            <c:ext xmlns:c16="http://schemas.microsoft.com/office/drawing/2014/chart" uri="{C3380CC4-5D6E-409C-BE32-E72D297353CC}">
              <c16:uniqueId val="{00000017-53D3-4903-A3CB-4FFBD83590C6}"/>
            </c:ext>
          </c:extLst>
        </c:ser>
        <c:dLbls>
          <c:showLegendKey val="0"/>
          <c:showVal val="1"/>
          <c:showCatName val="0"/>
          <c:showSerName val="0"/>
          <c:showPercent val="0"/>
          <c:showBubbleSize val="0"/>
        </c:dLbls>
        <c:marker val="1"/>
        <c:smooth val="0"/>
        <c:axId val="2110906655"/>
        <c:axId val="666570544"/>
      </c:lineChart>
      <c:dateAx>
        <c:axId val="2110906655"/>
        <c:scaling>
          <c:orientation val="minMax"/>
        </c:scaling>
        <c:delete val="0"/>
        <c:axPos val="b"/>
        <c:majorGridlines>
          <c:spPr>
            <a:ln w="9525" cap="flat" cmpd="sng" algn="ctr">
              <a:solidFill>
                <a:schemeClr val="accent1">
                  <a:lumMod val="20000"/>
                  <a:lumOff val="80000"/>
                </a:schemeClr>
              </a:solidFill>
              <a:prstDash val="sysDot"/>
              <a:round/>
            </a:ln>
            <a:effectLst/>
          </c:spPr>
        </c:majorGridlines>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666570544"/>
        <c:crosses val="autoZero"/>
        <c:auto val="1"/>
        <c:lblOffset val="100"/>
        <c:baseTimeUnit val="months"/>
      </c:dateAx>
      <c:valAx>
        <c:axId val="666570544"/>
        <c:scaling>
          <c:orientation val="minMax"/>
        </c:scaling>
        <c:delete val="0"/>
        <c:axPos val="l"/>
        <c:majorGridlines>
          <c:spPr>
            <a:ln w="9525" cap="flat" cmpd="sng" algn="ctr">
              <a:solidFill>
                <a:schemeClr val="accent5">
                  <a:lumMod val="20000"/>
                  <a:lumOff val="80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906655"/>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Bahnschrift Ligh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1">
                    <a:lumMod val="50000"/>
                  </a:schemeClr>
                </a:solidFill>
                <a:latin typeface="Bahnschrift Light" panose="020B0502040204020203" pitchFamily="34" charset="0"/>
              </a:rPr>
              <a:t>Live</a:t>
            </a:r>
            <a:r>
              <a:rPr lang="en-IN" baseline="0">
                <a:solidFill>
                  <a:schemeClr val="accent1">
                    <a:lumMod val="50000"/>
                  </a:schemeClr>
                </a:solidFill>
                <a:latin typeface="Bahnschrift Light" panose="020B0502040204020203" pitchFamily="34" charset="0"/>
              </a:rPr>
              <a:t> Market Trade</a:t>
            </a:r>
            <a:endParaRPr lang="en-IN">
              <a:solidFill>
                <a:schemeClr val="accent1">
                  <a:lumMod val="50000"/>
                </a:schemeClr>
              </a:solidFill>
              <a:latin typeface="Bahnschrift Light" panose="020B0502040204020203" pitchFamily="34" charset="0"/>
            </a:endParaRPr>
          </a:p>
        </c:rich>
      </c:tx>
      <c:layout>
        <c:manualLayout>
          <c:xMode val="edge"/>
          <c:yMode val="edge"/>
          <c:x val="0.387056716417910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v>Nifty 50</c:v>
          </c:tx>
          <c:spPr>
            <a:solidFill>
              <a:schemeClr val="accent3">
                <a:lumMod val="20000"/>
                <a:lumOff val="80000"/>
              </a:schemeClr>
            </a:solidFill>
            <a:ln>
              <a:solidFill>
                <a:schemeClr val="accent5">
                  <a:lumMod val="50000"/>
                </a:schemeClr>
              </a:solidFill>
              <a:prstDash val="sysDash"/>
            </a:ln>
            <a:effectLst/>
          </c:spPr>
          <c:dLbls>
            <c:dLbl>
              <c:idx val="0"/>
              <c:delete val="1"/>
              <c:extLst>
                <c:ext xmlns:c15="http://schemas.microsoft.com/office/drawing/2012/chart" uri="{CE6537A1-D6FC-4f65-9D91-7224C49458BB}"/>
                <c:ext xmlns:c16="http://schemas.microsoft.com/office/drawing/2014/chart" uri="{C3380CC4-5D6E-409C-BE32-E72D297353CC}">
                  <c16:uniqueId val="{0000000F-7A81-4216-A8E8-4AC244FBEBD1}"/>
                </c:ext>
              </c:extLst>
            </c:dLbl>
            <c:dLbl>
              <c:idx val="1"/>
              <c:delete val="1"/>
              <c:extLst>
                <c:ext xmlns:c15="http://schemas.microsoft.com/office/drawing/2012/chart" uri="{CE6537A1-D6FC-4f65-9D91-7224C49458BB}"/>
                <c:ext xmlns:c16="http://schemas.microsoft.com/office/drawing/2014/chart" uri="{C3380CC4-5D6E-409C-BE32-E72D297353CC}">
                  <c16:uniqueId val="{00000010-7A81-4216-A8E8-4AC244FBEBD1}"/>
                </c:ext>
              </c:extLst>
            </c:dLbl>
            <c:dLbl>
              <c:idx val="2"/>
              <c:delete val="1"/>
              <c:extLst>
                <c:ext xmlns:c15="http://schemas.microsoft.com/office/drawing/2012/chart" uri="{CE6537A1-D6FC-4f65-9D91-7224C49458BB}"/>
                <c:ext xmlns:c16="http://schemas.microsoft.com/office/drawing/2014/chart" uri="{C3380CC4-5D6E-409C-BE32-E72D297353CC}">
                  <c16:uniqueId val="{0000000E-7A81-4216-A8E8-4AC244FBEBD1}"/>
                </c:ext>
              </c:extLst>
            </c:dLbl>
            <c:dLbl>
              <c:idx val="3"/>
              <c:delete val="1"/>
              <c:extLst>
                <c:ext xmlns:c15="http://schemas.microsoft.com/office/drawing/2012/chart" uri="{CE6537A1-D6FC-4f65-9D91-7224C49458BB}"/>
                <c:ext xmlns:c16="http://schemas.microsoft.com/office/drawing/2014/chart" uri="{C3380CC4-5D6E-409C-BE32-E72D297353CC}">
                  <c16:uniqueId val="{0000000D-7A81-4216-A8E8-4AC244FBEBD1}"/>
                </c:ext>
              </c:extLst>
            </c:dLbl>
            <c:dLbl>
              <c:idx val="4"/>
              <c:delete val="1"/>
              <c:extLst>
                <c:ext xmlns:c15="http://schemas.microsoft.com/office/drawing/2012/chart" uri="{CE6537A1-D6FC-4f65-9D91-7224C49458BB}"/>
                <c:ext xmlns:c16="http://schemas.microsoft.com/office/drawing/2014/chart" uri="{C3380CC4-5D6E-409C-BE32-E72D297353CC}">
                  <c16:uniqueId val="{0000000C-7A81-4216-A8E8-4AC244FBEBD1}"/>
                </c:ext>
              </c:extLst>
            </c:dLbl>
            <c:dLbl>
              <c:idx val="5"/>
              <c:delete val="1"/>
              <c:extLst>
                <c:ext xmlns:c15="http://schemas.microsoft.com/office/drawing/2012/chart" uri="{CE6537A1-D6FC-4f65-9D91-7224C49458BB}"/>
                <c:ext xmlns:c16="http://schemas.microsoft.com/office/drawing/2014/chart" uri="{C3380CC4-5D6E-409C-BE32-E72D297353CC}">
                  <c16:uniqueId val="{0000000B-7A81-4216-A8E8-4AC244FBEBD1}"/>
                </c:ext>
              </c:extLst>
            </c:dLbl>
            <c:dLbl>
              <c:idx val="6"/>
              <c:delete val="1"/>
              <c:extLst>
                <c:ext xmlns:c15="http://schemas.microsoft.com/office/drawing/2012/chart" uri="{CE6537A1-D6FC-4f65-9D91-7224C49458BB}"/>
                <c:ext xmlns:c16="http://schemas.microsoft.com/office/drawing/2014/chart" uri="{C3380CC4-5D6E-409C-BE32-E72D297353CC}">
                  <c16:uniqueId val="{0000000A-7A81-4216-A8E8-4AC244FBEBD1}"/>
                </c:ext>
              </c:extLst>
            </c:dLbl>
            <c:dLbl>
              <c:idx val="7"/>
              <c:delete val="1"/>
              <c:extLst>
                <c:ext xmlns:c15="http://schemas.microsoft.com/office/drawing/2012/chart" uri="{CE6537A1-D6FC-4f65-9D91-7224C49458BB}"/>
                <c:ext xmlns:c16="http://schemas.microsoft.com/office/drawing/2014/chart" uri="{C3380CC4-5D6E-409C-BE32-E72D297353CC}">
                  <c16:uniqueId val="{00000009-7A81-4216-A8E8-4AC244FBEBD1}"/>
                </c:ext>
              </c:extLst>
            </c:dLbl>
            <c:dLbl>
              <c:idx val="8"/>
              <c:delete val="1"/>
              <c:extLst>
                <c:ext xmlns:c15="http://schemas.microsoft.com/office/drawing/2012/chart" uri="{CE6537A1-D6FC-4f65-9D91-7224C49458BB}"/>
                <c:ext xmlns:c16="http://schemas.microsoft.com/office/drawing/2014/chart" uri="{C3380CC4-5D6E-409C-BE32-E72D297353CC}">
                  <c16:uniqueId val="{00000008-7A81-4216-A8E8-4AC244FBEBD1}"/>
                </c:ext>
              </c:extLst>
            </c:dLbl>
            <c:dLbl>
              <c:idx val="9"/>
              <c:delete val="1"/>
              <c:extLst>
                <c:ext xmlns:c15="http://schemas.microsoft.com/office/drawing/2012/chart" uri="{CE6537A1-D6FC-4f65-9D91-7224C49458BB}"/>
                <c:ext xmlns:c16="http://schemas.microsoft.com/office/drawing/2014/chart" uri="{C3380CC4-5D6E-409C-BE32-E72D297353CC}">
                  <c16:uniqueId val="{00000007-7A81-4216-A8E8-4AC244FBEBD1}"/>
                </c:ext>
              </c:extLst>
            </c:dLbl>
            <c:dLbl>
              <c:idx val="10"/>
              <c:delete val="1"/>
              <c:extLst>
                <c:ext xmlns:c15="http://schemas.microsoft.com/office/drawing/2012/chart" uri="{CE6537A1-D6FC-4f65-9D91-7224C49458BB}"/>
                <c:ext xmlns:c16="http://schemas.microsoft.com/office/drawing/2014/chart" uri="{C3380CC4-5D6E-409C-BE32-E72D297353CC}">
                  <c16:uniqueId val="{00000006-7A81-4216-A8E8-4AC244FBEBD1}"/>
                </c:ext>
              </c:extLst>
            </c:dLbl>
            <c:dLbl>
              <c:idx val="11"/>
              <c:delete val="1"/>
              <c:extLst>
                <c:ext xmlns:c15="http://schemas.microsoft.com/office/drawing/2012/chart" uri="{CE6537A1-D6FC-4f65-9D91-7224C49458BB}"/>
                <c:ext xmlns:c16="http://schemas.microsoft.com/office/drawing/2014/chart" uri="{C3380CC4-5D6E-409C-BE32-E72D297353CC}">
                  <c16:uniqueId val="{00000005-7A81-4216-A8E8-4AC244FBEBD1}"/>
                </c:ext>
              </c:extLst>
            </c:dLbl>
            <c:dLbl>
              <c:idx val="12"/>
              <c:delete val="1"/>
              <c:extLst>
                <c:ext xmlns:c15="http://schemas.microsoft.com/office/drawing/2012/chart" uri="{CE6537A1-D6FC-4f65-9D91-7224C49458BB}"/>
                <c:ext xmlns:c16="http://schemas.microsoft.com/office/drawing/2014/chart" uri="{C3380CC4-5D6E-409C-BE32-E72D297353CC}">
                  <c16:uniqueId val="{00000004-7A81-4216-A8E8-4AC244FBEBD1}"/>
                </c:ext>
              </c:extLst>
            </c:dLbl>
            <c:dLbl>
              <c:idx val="16"/>
              <c:layout>
                <c:manualLayout>
                  <c:x val="4.2985074626865669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DCC-46B2-9039-9D6A85596C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Bahnschrift Ligh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'NSE Poona'!$A$2:$A$18</c:f>
              <c:numCache>
                <c:formatCode>mmm\-yy</c:formatCode>
                <c:ptCount val="17"/>
                <c:pt idx="0">
                  <c:v>45292</c:v>
                </c:pt>
                <c:pt idx="1">
                  <c:v>45323</c:v>
                </c:pt>
                <c:pt idx="2">
                  <c:v>45352</c:v>
                </c:pt>
                <c:pt idx="3">
                  <c:v>45383</c:v>
                </c:pt>
                <c:pt idx="4">
                  <c:v>45413</c:v>
                </c:pt>
                <c:pt idx="5">
                  <c:v>45444</c:v>
                </c:pt>
                <c:pt idx="6">
                  <c:v>45474</c:v>
                </c:pt>
                <c:pt idx="7">
                  <c:v>45505</c:v>
                </c:pt>
                <c:pt idx="8">
                  <c:v>45536</c:v>
                </c:pt>
                <c:pt idx="9">
                  <c:v>45566</c:v>
                </c:pt>
                <c:pt idx="10">
                  <c:v>45597</c:v>
                </c:pt>
                <c:pt idx="11">
                  <c:v>45627</c:v>
                </c:pt>
                <c:pt idx="12">
                  <c:v>45658</c:v>
                </c:pt>
                <c:pt idx="13">
                  <c:v>45689</c:v>
                </c:pt>
                <c:pt idx="14">
                  <c:v>45717</c:v>
                </c:pt>
                <c:pt idx="15">
                  <c:v>45748</c:v>
                </c:pt>
                <c:pt idx="16" formatCode="[$-F800]dddd\,\ mmmm\ dd\,\ yyyy">
                  <c:v>45781</c:v>
                </c:pt>
              </c:numCache>
            </c:numRef>
          </c:cat>
          <c:val>
            <c:numRef>
              <c:f>'NSE Poona'!$B$2:$B$18</c:f>
              <c:numCache>
                <c:formatCode>General</c:formatCode>
                <c:ptCount val="17"/>
                <c:pt idx="0">
                  <c:v>21725.7</c:v>
                </c:pt>
                <c:pt idx="1">
                  <c:v>21982.799999999999</c:v>
                </c:pt>
                <c:pt idx="2">
                  <c:v>22326.9</c:v>
                </c:pt>
                <c:pt idx="3">
                  <c:v>22604.85</c:v>
                </c:pt>
                <c:pt idx="4">
                  <c:v>22530.7</c:v>
                </c:pt>
                <c:pt idx="5">
                  <c:v>24010.6</c:v>
                </c:pt>
                <c:pt idx="6">
                  <c:v>24951.15</c:v>
                </c:pt>
                <c:pt idx="7">
                  <c:v>25235.9</c:v>
                </c:pt>
                <c:pt idx="8">
                  <c:v>25810.85</c:v>
                </c:pt>
                <c:pt idx="9">
                  <c:v>24205.35</c:v>
                </c:pt>
                <c:pt idx="10">
                  <c:v>24131.1</c:v>
                </c:pt>
                <c:pt idx="11">
                  <c:v>23644.799999999999</c:v>
                </c:pt>
                <c:pt idx="12">
                  <c:v>23494.6</c:v>
                </c:pt>
                <c:pt idx="13">
                  <c:v>22124.7</c:v>
                </c:pt>
                <c:pt idx="14">
                  <c:v>23519.35</c:v>
                </c:pt>
                <c:pt idx="15">
                  <c:v>24334.2</c:v>
                </c:pt>
                <c:pt idx="16">
                  <c:v>23632.85</c:v>
                </c:pt>
              </c:numCache>
            </c:numRef>
          </c:val>
          <c:extLst>
            <c:ext xmlns:c16="http://schemas.microsoft.com/office/drawing/2014/chart" uri="{C3380CC4-5D6E-409C-BE32-E72D297353CC}">
              <c16:uniqueId val="{00000000-7A81-4216-A8E8-4AC244FBEBD1}"/>
            </c:ext>
          </c:extLst>
        </c:ser>
        <c:dLbls>
          <c:showLegendKey val="0"/>
          <c:showVal val="0"/>
          <c:showCatName val="0"/>
          <c:showSerName val="0"/>
          <c:showPercent val="0"/>
          <c:showBubbleSize val="0"/>
        </c:dLbls>
        <c:axId val="2091367199"/>
        <c:axId val="751008495"/>
      </c:areaChart>
      <c:lineChart>
        <c:grouping val="standard"/>
        <c:varyColors val="0"/>
        <c:ser>
          <c:idx val="1"/>
          <c:order val="1"/>
          <c:tx>
            <c:v>Poonawalla Fincorp Script</c:v>
          </c:tx>
          <c:spPr>
            <a:ln w="19050" cap="rnd">
              <a:solidFill>
                <a:srgbClr val="00B0F0"/>
              </a:solidFill>
              <a:round/>
            </a:ln>
            <a:effectLst/>
          </c:spPr>
          <c:marker>
            <c:symbol val="none"/>
          </c:marker>
          <c:dLbls>
            <c:dLbl>
              <c:idx val="16"/>
              <c:layout>
                <c:manualLayout>
                  <c:x val="-1.671641791044776E-2"/>
                  <c:y val="1.38888888888888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CC-46B2-9039-9D6A85596C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Bahnschrift Ligh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'NSE Poona'!$C$2:$C$18</c:f>
              <c:numCache>
                <c:formatCode>General</c:formatCode>
                <c:ptCount val="17"/>
                <c:pt idx="0">
                  <c:v>478.3</c:v>
                </c:pt>
                <c:pt idx="1">
                  <c:v>467</c:v>
                </c:pt>
                <c:pt idx="2">
                  <c:v>465.6</c:v>
                </c:pt>
                <c:pt idx="3">
                  <c:v>490.65</c:v>
                </c:pt>
                <c:pt idx="4">
                  <c:v>449.1</c:v>
                </c:pt>
                <c:pt idx="5">
                  <c:v>409.1</c:v>
                </c:pt>
                <c:pt idx="6">
                  <c:v>369.05</c:v>
                </c:pt>
                <c:pt idx="7">
                  <c:v>387.3</c:v>
                </c:pt>
                <c:pt idx="8">
                  <c:v>394.45</c:v>
                </c:pt>
                <c:pt idx="9">
                  <c:v>374.5</c:v>
                </c:pt>
                <c:pt idx="10">
                  <c:v>354.45</c:v>
                </c:pt>
                <c:pt idx="11">
                  <c:v>314.35000000000002</c:v>
                </c:pt>
                <c:pt idx="12">
                  <c:v>310.85000000000002</c:v>
                </c:pt>
                <c:pt idx="13">
                  <c:v>281.3</c:v>
                </c:pt>
                <c:pt idx="14">
                  <c:v>350.45</c:v>
                </c:pt>
                <c:pt idx="15">
                  <c:v>375.25</c:v>
                </c:pt>
                <c:pt idx="16">
                  <c:v>348.5</c:v>
                </c:pt>
              </c:numCache>
            </c:numRef>
          </c:val>
          <c:smooth val="0"/>
          <c:extLst>
            <c:ext xmlns:c16="http://schemas.microsoft.com/office/drawing/2014/chart" uri="{C3380CC4-5D6E-409C-BE32-E72D297353CC}">
              <c16:uniqueId val="{00000002-7A81-4216-A8E8-4AC244FBEBD1}"/>
            </c:ext>
          </c:extLst>
        </c:ser>
        <c:dLbls>
          <c:showLegendKey val="0"/>
          <c:showVal val="0"/>
          <c:showCatName val="0"/>
          <c:showSerName val="0"/>
          <c:showPercent val="0"/>
          <c:showBubbleSize val="0"/>
        </c:dLbls>
        <c:marker val="1"/>
        <c:smooth val="0"/>
        <c:axId val="611804303"/>
        <c:axId val="838990239"/>
      </c:lineChart>
      <c:dateAx>
        <c:axId val="2091367199"/>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Bahnschrift Light" panose="020B0502040204020203" pitchFamily="34" charset="0"/>
                <a:ea typeface="+mn-ea"/>
                <a:cs typeface="+mn-cs"/>
              </a:defRPr>
            </a:pPr>
            <a:endParaRPr lang="en-US"/>
          </a:p>
        </c:txPr>
        <c:crossAx val="751008495"/>
        <c:crosses val="autoZero"/>
        <c:auto val="1"/>
        <c:lblOffset val="100"/>
        <c:baseTimeUnit val="months"/>
      </c:dateAx>
      <c:valAx>
        <c:axId val="751008495"/>
        <c:scaling>
          <c:orientation val="minMax"/>
        </c:scaling>
        <c:delete val="0"/>
        <c:axPos val="l"/>
        <c:majorGridlines>
          <c:spPr>
            <a:ln w="9525" cap="flat" cmpd="sng" algn="ctr">
              <a:solidFill>
                <a:schemeClr val="bg1">
                  <a:lumMod val="95000"/>
                </a:schemeClr>
              </a:solidFill>
              <a:prstDash val="sysDot"/>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Bahnschrift Light" panose="020B0502040204020203" pitchFamily="34" charset="0"/>
                <a:ea typeface="+mn-ea"/>
                <a:cs typeface="+mn-cs"/>
              </a:defRPr>
            </a:pPr>
            <a:endParaRPr lang="en-US"/>
          </a:p>
        </c:txPr>
        <c:crossAx val="2091367199"/>
        <c:crosses val="autoZero"/>
        <c:crossBetween val="between"/>
      </c:valAx>
      <c:valAx>
        <c:axId val="83899023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Bahnschrift" panose="020B0502040204020203" pitchFamily="34" charset="0"/>
                <a:ea typeface="+mn-ea"/>
                <a:cs typeface="+mn-cs"/>
              </a:defRPr>
            </a:pPr>
            <a:endParaRPr lang="en-US"/>
          </a:p>
        </c:txPr>
        <c:crossAx val="611804303"/>
        <c:crosses val="max"/>
        <c:crossBetween val="between"/>
      </c:valAx>
      <c:catAx>
        <c:axId val="611804303"/>
        <c:scaling>
          <c:orientation val="minMax"/>
        </c:scaling>
        <c:delete val="1"/>
        <c:axPos val="b"/>
        <c:majorTickMark val="out"/>
        <c:minorTickMark val="none"/>
        <c:tickLblPos val="nextTo"/>
        <c:crossAx val="838990239"/>
        <c:crosses val="autoZero"/>
        <c:auto val="1"/>
        <c:lblAlgn val="ctr"/>
        <c:lblOffset val="100"/>
        <c:tickLblSkip val="1"/>
        <c:tickMarkSkip val="1"/>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1476E1C-F86E-4CDF-A956-5090F5675A2B}"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IN"/>
        </a:p>
      </dgm:t>
    </dgm:pt>
    <dgm:pt modelId="{C6B91882-7CFE-41BE-B484-4E46AE197B64}">
      <dgm:prSet phldrT="[Text]"/>
      <dgm:spPr>
        <a:solidFill>
          <a:schemeClr val="accent5">
            <a:lumMod val="50000"/>
          </a:schemeClr>
        </a:solidFill>
      </dgm:spPr>
      <dgm:t>
        <a:bodyPr/>
        <a:lstStyle/>
        <a:p>
          <a:r>
            <a:rPr lang="en-IN">
              <a:latin typeface="Bahnschrift Light SemiCondensed" panose="020B0502040204020203" pitchFamily="34" charset="0"/>
            </a:rPr>
            <a:t>Rising Sun Holdings Pvt Ltd</a:t>
          </a:r>
        </a:p>
      </dgm:t>
    </dgm:pt>
    <dgm:pt modelId="{8ED0300E-D7F0-4A19-BA0C-95A88826C3EA}" type="parTrans" cxnId="{07AF8042-4CD5-479F-951F-7230F2BB8198}">
      <dgm:prSet/>
      <dgm:spPr/>
      <dgm:t>
        <a:bodyPr/>
        <a:lstStyle/>
        <a:p>
          <a:endParaRPr lang="en-IN"/>
        </a:p>
      </dgm:t>
    </dgm:pt>
    <dgm:pt modelId="{2250C093-0C9C-4A8F-BDD4-9C1AA9850387}" type="sibTrans" cxnId="{07AF8042-4CD5-479F-951F-7230F2BB8198}">
      <dgm:prSet/>
      <dgm:spPr/>
      <dgm:t>
        <a:bodyPr/>
        <a:lstStyle/>
        <a:p>
          <a:endParaRPr lang="en-IN"/>
        </a:p>
      </dgm:t>
    </dgm:pt>
    <dgm:pt modelId="{186411D7-86BD-431F-9181-30DAE26BDF46}">
      <dgm:prSet phldrT="[Text]"/>
      <dgm:spPr/>
      <dgm:t>
        <a:bodyPr/>
        <a:lstStyle/>
        <a:p>
          <a:r>
            <a:rPr lang="en-IN">
              <a:solidFill>
                <a:schemeClr val="accent1">
                  <a:lumMod val="50000"/>
                </a:schemeClr>
              </a:solidFill>
              <a:latin typeface="Bahnschrift Light" panose="020B0502040204020203" pitchFamily="34" charset="0"/>
            </a:rPr>
            <a:t>Holding Company</a:t>
          </a:r>
        </a:p>
      </dgm:t>
    </dgm:pt>
    <dgm:pt modelId="{D9145457-50E8-4BD6-9B3C-DBC0A14A4935}" type="parTrans" cxnId="{969034D7-1E39-4BA6-AE99-4A9B0942FE31}">
      <dgm:prSet/>
      <dgm:spPr/>
      <dgm:t>
        <a:bodyPr/>
        <a:lstStyle/>
        <a:p>
          <a:endParaRPr lang="en-IN"/>
        </a:p>
      </dgm:t>
    </dgm:pt>
    <dgm:pt modelId="{5427AE7B-195A-4B7D-A72A-5463DF22BDDF}" type="sibTrans" cxnId="{969034D7-1E39-4BA6-AE99-4A9B0942FE31}">
      <dgm:prSet/>
      <dgm:spPr/>
      <dgm:t>
        <a:bodyPr/>
        <a:lstStyle/>
        <a:p>
          <a:endParaRPr lang="en-IN"/>
        </a:p>
      </dgm:t>
    </dgm:pt>
    <dgm:pt modelId="{463B07E6-BA0D-4C54-B765-2A29A5B92DBF}">
      <dgm:prSet phldrT="[Text]"/>
      <dgm:spPr>
        <a:solidFill>
          <a:schemeClr val="accent5">
            <a:lumMod val="75000"/>
          </a:schemeClr>
        </a:solidFill>
      </dgm:spPr>
      <dgm:t>
        <a:bodyPr/>
        <a:lstStyle/>
        <a:p>
          <a:r>
            <a:rPr lang="en-IN"/>
            <a:t>Poonawalla Fincorp Ltd</a:t>
          </a:r>
        </a:p>
      </dgm:t>
    </dgm:pt>
    <dgm:pt modelId="{E3A9351C-2962-45C0-BBDA-008D05AA7EC2}" type="parTrans" cxnId="{87AD7692-84CD-4222-87D5-B5BE368004B5}">
      <dgm:prSet/>
      <dgm:spPr/>
      <dgm:t>
        <a:bodyPr/>
        <a:lstStyle/>
        <a:p>
          <a:endParaRPr lang="en-IN"/>
        </a:p>
      </dgm:t>
    </dgm:pt>
    <dgm:pt modelId="{7FE911E7-9350-4409-B149-7B1DE6A70B38}" type="sibTrans" cxnId="{87AD7692-84CD-4222-87D5-B5BE368004B5}">
      <dgm:prSet/>
      <dgm:spPr/>
      <dgm:t>
        <a:bodyPr/>
        <a:lstStyle/>
        <a:p>
          <a:endParaRPr lang="en-IN"/>
        </a:p>
      </dgm:t>
    </dgm:pt>
    <dgm:pt modelId="{665F0F30-668A-4E00-8625-5D0334E5D0D6}">
      <dgm:prSet phldrT="[Text]"/>
      <dgm:spPr/>
      <dgm:t>
        <a:bodyPr/>
        <a:lstStyle/>
        <a:p>
          <a:r>
            <a:rPr lang="en-IN">
              <a:solidFill>
                <a:schemeClr val="accent5">
                  <a:lumMod val="75000"/>
                </a:schemeClr>
              </a:solidFill>
              <a:latin typeface="Bahnschrift Light" panose="020B0502040204020203" pitchFamily="34" charset="0"/>
            </a:rPr>
            <a:t>Subsidary Company</a:t>
          </a:r>
        </a:p>
      </dgm:t>
    </dgm:pt>
    <dgm:pt modelId="{5321650E-51CC-44D6-BA4D-D10F8425F637}" type="parTrans" cxnId="{D6112F66-E8AF-46AC-8995-E347100F5376}">
      <dgm:prSet/>
      <dgm:spPr/>
      <dgm:t>
        <a:bodyPr/>
        <a:lstStyle/>
        <a:p>
          <a:endParaRPr lang="en-IN"/>
        </a:p>
      </dgm:t>
    </dgm:pt>
    <dgm:pt modelId="{891756A3-46C4-4651-AD95-248136AA1236}" type="sibTrans" cxnId="{D6112F66-E8AF-46AC-8995-E347100F5376}">
      <dgm:prSet/>
      <dgm:spPr/>
      <dgm:t>
        <a:bodyPr/>
        <a:lstStyle/>
        <a:p>
          <a:endParaRPr lang="en-IN"/>
        </a:p>
      </dgm:t>
    </dgm:pt>
    <dgm:pt modelId="{C6DE3025-10A7-430E-B717-2E5D192E982C}">
      <dgm:prSet phldrT="[Text]"/>
      <dgm:spPr>
        <a:solidFill>
          <a:schemeClr val="accent5"/>
        </a:solidFill>
      </dgm:spPr>
      <dgm:t>
        <a:bodyPr/>
        <a:lstStyle/>
        <a:p>
          <a:r>
            <a:rPr lang="en-IN"/>
            <a:t>Jaguar Advisory Services Pvt Ltd</a:t>
          </a:r>
        </a:p>
      </dgm:t>
    </dgm:pt>
    <dgm:pt modelId="{07DDD8E7-1E93-40F3-9599-CE5F4C9D9AD2}" type="parTrans" cxnId="{EAB8448C-45E8-4F06-810E-F8B34D9C666C}">
      <dgm:prSet/>
      <dgm:spPr/>
      <dgm:t>
        <a:bodyPr/>
        <a:lstStyle/>
        <a:p>
          <a:endParaRPr lang="en-IN"/>
        </a:p>
      </dgm:t>
    </dgm:pt>
    <dgm:pt modelId="{6303F824-9633-4756-9B02-95E67CADC37C}" type="sibTrans" cxnId="{EAB8448C-45E8-4F06-810E-F8B34D9C666C}">
      <dgm:prSet/>
      <dgm:spPr/>
      <dgm:t>
        <a:bodyPr/>
        <a:lstStyle/>
        <a:p>
          <a:endParaRPr lang="en-IN"/>
        </a:p>
      </dgm:t>
    </dgm:pt>
    <dgm:pt modelId="{33B9D64B-EE87-4A85-B448-FA718B008ACE}">
      <dgm:prSet phldrT="[Text]" custT="1"/>
      <dgm:spPr/>
      <dgm:t>
        <a:bodyPr/>
        <a:lstStyle/>
        <a:p>
          <a:r>
            <a:rPr lang="en-IN" sz="1100">
              <a:solidFill>
                <a:schemeClr val="accent5"/>
              </a:solidFill>
              <a:latin typeface="Bahnschrift Light Condensed" panose="020B0502040204020203" pitchFamily="34" charset="0"/>
            </a:rPr>
            <a:t>Associate Company</a:t>
          </a:r>
        </a:p>
      </dgm:t>
    </dgm:pt>
    <dgm:pt modelId="{B5E48D32-4C21-4138-93C6-FE9750602876}" type="parTrans" cxnId="{47224984-122F-493A-88FC-35CDEC7299E2}">
      <dgm:prSet/>
      <dgm:spPr/>
      <dgm:t>
        <a:bodyPr/>
        <a:lstStyle/>
        <a:p>
          <a:endParaRPr lang="en-IN"/>
        </a:p>
      </dgm:t>
    </dgm:pt>
    <dgm:pt modelId="{D4199FD3-0C77-4073-BFE5-23FA1BD49464}" type="sibTrans" cxnId="{47224984-122F-493A-88FC-35CDEC7299E2}">
      <dgm:prSet/>
      <dgm:spPr/>
      <dgm:t>
        <a:bodyPr/>
        <a:lstStyle/>
        <a:p>
          <a:endParaRPr lang="en-IN"/>
        </a:p>
      </dgm:t>
    </dgm:pt>
    <dgm:pt modelId="{2488F4F6-2AB0-44DA-8184-CD894B7A2D94}">
      <dgm:prSet phldrT="[Text]"/>
      <dgm:spPr/>
      <dgm:t>
        <a:bodyPr/>
        <a:lstStyle/>
        <a:p>
          <a:r>
            <a:rPr lang="en-IN">
              <a:solidFill>
                <a:schemeClr val="accent1">
                  <a:lumMod val="50000"/>
                </a:schemeClr>
              </a:solidFill>
              <a:latin typeface="Bahnschrift Light" panose="020B0502040204020203" pitchFamily="34" charset="0"/>
            </a:rPr>
            <a:t>61.87%</a:t>
          </a:r>
        </a:p>
      </dgm:t>
    </dgm:pt>
    <dgm:pt modelId="{94186CF3-3FBC-4051-97D4-EB78095394A1}" type="parTrans" cxnId="{EA74121B-2549-4D54-AF9C-32D02EA3AFDF}">
      <dgm:prSet/>
      <dgm:spPr/>
      <dgm:t>
        <a:bodyPr/>
        <a:lstStyle/>
        <a:p>
          <a:endParaRPr lang="en-IN"/>
        </a:p>
      </dgm:t>
    </dgm:pt>
    <dgm:pt modelId="{22CDB00C-B8E2-4EB8-8CBD-FAC205CADE59}" type="sibTrans" cxnId="{EA74121B-2549-4D54-AF9C-32D02EA3AFDF}">
      <dgm:prSet/>
      <dgm:spPr/>
      <dgm:t>
        <a:bodyPr/>
        <a:lstStyle/>
        <a:p>
          <a:endParaRPr lang="en-IN"/>
        </a:p>
      </dgm:t>
    </dgm:pt>
    <dgm:pt modelId="{ED5C0739-4038-488E-AA1A-4410277737A6}" type="pres">
      <dgm:prSet presAssocID="{D1476E1C-F86E-4CDF-A956-5090F5675A2B}" presName="rootnode" presStyleCnt="0">
        <dgm:presLayoutVars>
          <dgm:chMax/>
          <dgm:chPref/>
          <dgm:dir/>
          <dgm:animLvl val="lvl"/>
        </dgm:presLayoutVars>
      </dgm:prSet>
      <dgm:spPr/>
      <dgm:t>
        <a:bodyPr/>
        <a:lstStyle/>
        <a:p>
          <a:endParaRPr lang="en-US"/>
        </a:p>
      </dgm:t>
    </dgm:pt>
    <dgm:pt modelId="{538F053A-575C-4E83-AA6F-9C318012C170}" type="pres">
      <dgm:prSet presAssocID="{C6B91882-7CFE-41BE-B484-4E46AE197B64}" presName="composite" presStyleCnt="0"/>
      <dgm:spPr/>
    </dgm:pt>
    <dgm:pt modelId="{DBBDD3A5-A6D6-4CFF-80EE-3AF56633D894}" type="pres">
      <dgm:prSet presAssocID="{C6B91882-7CFE-41BE-B484-4E46AE197B64}" presName="bentUpArrow1" presStyleLbl="alignImgPlace1" presStyleIdx="0" presStyleCnt="2"/>
      <dgm:spPr>
        <a:solidFill>
          <a:schemeClr val="accent5">
            <a:lumMod val="40000"/>
            <a:lumOff val="60000"/>
          </a:schemeClr>
        </a:solidFill>
      </dgm:spPr>
    </dgm:pt>
    <dgm:pt modelId="{82D46E3F-511C-4DC4-9912-831FA2A41165}" type="pres">
      <dgm:prSet presAssocID="{C6B91882-7CFE-41BE-B484-4E46AE197B64}" presName="ParentText" presStyleLbl="node1" presStyleIdx="0" presStyleCnt="3">
        <dgm:presLayoutVars>
          <dgm:chMax val="1"/>
          <dgm:chPref val="1"/>
          <dgm:bulletEnabled val="1"/>
        </dgm:presLayoutVars>
      </dgm:prSet>
      <dgm:spPr/>
      <dgm:t>
        <a:bodyPr/>
        <a:lstStyle/>
        <a:p>
          <a:endParaRPr lang="en-US"/>
        </a:p>
      </dgm:t>
    </dgm:pt>
    <dgm:pt modelId="{3DB222A0-20A6-4429-958A-1CCCA34A4305}" type="pres">
      <dgm:prSet presAssocID="{C6B91882-7CFE-41BE-B484-4E46AE197B64}" presName="ChildText" presStyleLbl="revTx" presStyleIdx="0" presStyleCnt="3" custScaleY="91628">
        <dgm:presLayoutVars>
          <dgm:chMax val="0"/>
          <dgm:chPref val="0"/>
          <dgm:bulletEnabled val="1"/>
        </dgm:presLayoutVars>
      </dgm:prSet>
      <dgm:spPr/>
      <dgm:t>
        <a:bodyPr/>
        <a:lstStyle/>
        <a:p>
          <a:endParaRPr lang="en-US"/>
        </a:p>
      </dgm:t>
    </dgm:pt>
    <dgm:pt modelId="{A1764CC1-AF09-4393-91B8-E08D3D0FB8CF}" type="pres">
      <dgm:prSet presAssocID="{2250C093-0C9C-4A8F-BDD4-9C1AA9850387}" presName="sibTrans" presStyleCnt="0"/>
      <dgm:spPr/>
    </dgm:pt>
    <dgm:pt modelId="{43DC6B8D-7AF6-4ACA-9418-0CFAC524CFF6}" type="pres">
      <dgm:prSet presAssocID="{463B07E6-BA0D-4C54-B765-2A29A5B92DBF}" presName="composite" presStyleCnt="0"/>
      <dgm:spPr/>
    </dgm:pt>
    <dgm:pt modelId="{584BF6B5-61B8-43AA-BB14-A448CEA6FEFE}" type="pres">
      <dgm:prSet presAssocID="{463B07E6-BA0D-4C54-B765-2A29A5B92DBF}" presName="bentUpArrow1" presStyleLbl="alignImgPlace1" presStyleIdx="1" presStyleCnt="2"/>
      <dgm:spPr>
        <a:solidFill>
          <a:schemeClr val="accent6">
            <a:lumMod val="20000"/>
            <a:lumOff val="80000"/>
          </a:schemeClr>
        </a:solidFill>
      </dgm:spPr>
    </dgm:pt>
    <dgm:pt modelId="{549E4E2D-45D9-4ED1-B7C7-D009EE208F1A}" type="pres">
      <dgm:prSet presAssocID="{463B07E6-BA0D-4C54-B765-2A29A5B92DBF}" presName="ParentText" presStyleLbl="node1" presStyleIdx="1" presStyleCnt="3">
        <dgm:presLayoutVars>
          <dgm:chMax val="1"/>
          <dgm:chPref val="1"/>
          <dgm:bulletEnabled val="1"/>
        </dgm:presLayoutVars>
      </dgm:prSet>
      <dgm:spPr/>
      <dgm:t>
        <a:bodyPr/>
        <a:lstStyle/>
        <a:p>
          <a:endParaRPr lang="en-US"/>
        </a:p>
      </dgm:t>
    </dgm:pt>
    <dgm:pt modelId="{9F2BD233-1F84-4DBE-9FD9-8790F3AAA6CD}" type="pres">
      <dgm:prSet presAssocID="{463B07E6-BA0D-4C54-B765-2A29A5B92DBF}" presName="ChildText" presStyleLbl="revTx" presStyleIdx="1" presStyleCnt="3">
        <dgm:presLayoutVars>
          <dgm:chMax val="0"/>
          <dgm:chPref val="0"/>
          <dgm:bulletEnabled val="1"/>
        </dgm:presLayoutVars>
      </dgm:prSet>
      <dgm:spPr/>
      <dgm:t>
        <a:bodyPr/>
        <a:lstStyle/>
        <a:p>
          <a:endParaRPr lang="en-US"/>
        </a:p>
      </dgm:t>
    </dgm:pt>
    <dgm:pt modelId="{DEC1B0E1-6802-4D06-910D-996F0B24ABB1}" type="pres">
      <dgm:prSet presAssocID="{7FE911E7-9350-4409-B149-7B1DE6A70B38}" presName="sibTrans" presStyleCnt="0"/>
      <dgm:spPr/>
    </dgm:pt>
    <dgm:pt modelId="{3314E25B-BD47-44C7-AC13-1D91C3633ADC}" type="pres">
      <dgm:prSet presAssocID="{C6DE3025-10A7-430E-B717-2E5D192E982C}" presName="composite" presStyleCnt="0"/>
      <dgm:spPr/>
    </dgm:pt>
    <dgm:pt modelId="{41B8653C-FE9C-4718-892A-A501AC2E7BB9}" type="pres">
      <dgm:prSet presAssocID="{C6DE3025-10A7-430E-B717-2E5D192E982C}" presName="ParentText" presStyleLbl="node1" presStyleIdx="2" presStyleCnt="3">
        <dgm:presLayoutVars>
          <dgm:chMax val="1"/>
          <dgm:chPref val="1"/>
          <dgm:bulletEnabled val="1"/>
        </dgm:presLayoutVars>
      </dgm:prSet>
      <dgm:spPr/>
      <dgm:t>
        <a:bodyPr/>
        <a:lstStyle/>
        <a:p>
          <a:endParaRPr lang="en-US"/>
        </a:p>
      </dgm:t>
    </dgm:pt>
    <dgm:pt modelId="{D304A559-439C-497E-95EC-60B51BC6E18B}" type="pres">
      <dgm:prSet presAssocID="{C6DE3025-10A7-430E-B717-2E5D192E982C}" presName="FinalChildText" presStyleLbl="revTx" presStyleIdx="2" presStyleCnt="3">
        <dgm:presLayoutVars>
          <dgm:chMax val="0"/>
          <dgm:chPref val="0"/>
          <dgm:bulletEnabled val="1"/>
        </dgm:presLayoutVars>
      </dgm:prSet>
      <dgm:spPr/>
      <dgm:t>
        <a:bodyPr/>
        <a:lstStyle/>
        <a:p>
          <a:endParaRPr lang="en-US"/>
        </a:p>
      </dgm:t>
    </dgm:pt>
  </dgm:ptLst>
  <dgm:cxnLst>
    <dgm:cxn modelId="{85F92D9E-A805-4DC1-A438-1E3AB26722E8}" type="presOf" srcId="{2488F4F6-2AB0-44DA-8184-CD894B7A2D94}" destId="{3DB222A0-20A6-4429-958A-1CCCA34A4305}" srcOrd="0" destOrd="1" presId="urn:microsoft.com/office/officeart/2005/8/layout/StepDownProcess"/>
    <dgm:cxn modelId="{EA74121B-2549-4D54-AF9C-32D02EA3AFDF}" srcId="{C6B91882-7CFE-41BE-B484-4E46AE197B64}" destId="{2488F4F6-2AB0-44DA-8184-CD894B7A2D94}" srcOrd="1" destOrd="0" parTransId="{94186CF3-3FBC-4051-97D4-EB78095394A1}" sibTransId="{22CDB00C-B8E2-4EB8-8CBD-FAC205CADE59}"/>
    <dgm:cxn modelId="{969034D7-1E39-4BA6-AE99-4A9B0942FE31}" srcId="{C6B91882-7CFE-41BE-B484-4E46AE197B64}" destId="{186411D7-86BD-431F-9181-30DAE26BDF46}" srcOrd="0" destOrd="0" parTransId="{D9145457-50E8-4BD6-9B3C-DBC0A14A4935}" sibTransId="{5427AE7B-195A-4B7D-A72A-5463DF22BDDF}"/>
    <dgm:cxn modelId="{0BD7A0CD-EAB2-4925-B8D8-C14FE17F3E9C}" type="presOf" srcId="{186411D7-86BD-431F-9181-30DAE26BDF46}" destId="{3DB222A0-20A6-4429-958A-1CCCA34A4305}" srcOrd="0" destOrd="0" presId="urn:microsoft.com/office/officeart/2005/8/layout/StepDownProcess"/>
    <dgm:cxn modelId="{A0CABEB7-3820-47BC-AA73-0E421A441B70}" type="presOf" srcId="{463B07E6-BA0D-4C54-B765-2A29A5B92DBF}" destId="{549E4E2D-45D9-4ED1-B7C7-D009EE208F1A}" srcOrd="0" destOrd="0" presId="urn:microsoft.com/office/officeart/2005/8/layout/StepDownProcess"/>
    <dgm:cxn modelId="{8BA2907F-6FA4-4A74-9CBB-EFF611C70508}" type="presOf" srcId="{C6DE3025-10A7-430E-B717-2E5D192E982C}" destId="{41B8653C-FE9C-4718-892A-A501AC2E7BB9}" srcOrd="0" destOrd="0" presId="urn:microsoft.com/office/officeart/2005/8/layout/StepDownProcess"/>
    <dgm:cxn modelId="{8761F600-4FF5-4035-907D-5AB7C7215F25}" type="presOf" srcId="{33B9D64B-EE87-4A85-B448-FA718B008ACE}" destId="{D304A559-439C-497E-95EC-60B51BC6E18B}" srcOrd="0" destOrd="0" presId="urn:microsoft.com/office/officeart/2005/8/layout/StepDownProcess"/>
    <dgm:cxn modelId="{07AF8042-4CD5-479F-951F-7230F2BB8198}" srcId="{D1476E1C-F86E-4CDF-A956-5090F5675A2B}" destId="{C6B91882-7CFE-41BE-B484-4E46AE197B64}" srcOrd="0" destOrd="0" parTransId="{8ED0300E-D7F0-4A19-BA0C-95A88826C3EA}" sibTransId="{2250C093-0C9C-4A8F-BDD4-9C1AA9850387}"/>
    <dgm:cxn modelId="{47224984-122F-493A-88FC-35CDEC7299E2}" srcId="{C6DE3025-10A7-430E-B717-2E5D192E982C}" destId="{33B9D64B-EE87-4A85-B448-FA718B008ACE}" srcOrd="0" destOrd="0" parTransId="{B5E48D32-4C21-4138-93C6-FE9750602876}" sibTransId="{D4199FD3-0C77-4073-BFE5-23FA1BD49464}"/>
    <dgm:cxn modelId="{1B3FC5AA-80A5-47F8-AF18-F6ED4B81CCA7}" type="presOf" srcId="{665F0F30-668A-4E00-8625-5D0334E5D0D6}" destId="{9F2BD233-1F84-4DBE-9FD9-8790F3AAA6CD}" srcOrd="0" destOrd="0" presId="urn:microsoft.com/office/officeart/2005/8/layout/StepDownProcess"/>
    <dgm:cxn modelId="{47C9A650-4E4D-4D96-8724-CEDB038ABAB7}" type="presOf" srcId="{D1476E1C-F86E-4CDF-A956-5090F5675A2B}" destId="{ED5C0739-4038-488E-AA1A-4410277737A6}" srcOrd="0" destOrd="0" presId="urn:microsoft.com/office/officeart/2005/8/layout/StepDownProcess"/>
    <dgm:cxn modelId="{EAB8448C-45E8-4F06-810E-F8B34D9C666C}" srcId="{D1476E1C-F86E-4CDF-A956-5090F5675A2B}" destId="{C6DE3025-10A7-430E-B717-2E5D192E982C}" srcOrd="2" destOrd="0" parTransId="{07DDD8E7-1E93-40F3-9599-CE5F4C9D9AD2}" sibTransId="{6303F824-9633-4756-9B02-95E67CADC37C}"/>
    <dgm:cxn modelId="{87AD7692-84CD-4222-87D5-B5BE368004B5}" srcId="{D1476E1C-F86E-4CDF-A956-5090F5675A2B}" destId="{463B07E6-BA0D-4C54-B765-2A29A5B92DBF}" srcOrd="1" destOrd="0" parTransId="{E3A9351C-2962-45C0-BBDA-008D05AA7EC2}" sibTransId="{7FE911E7-9350-4409-B149-7B1DE6A70B38}"/>
    <dgm:cxn modelId="{072AA1CF-7A36-4E1D-A531-FCFD6ABFAD60}" type="presOf" srcId="{C6B91882-7CFE-41BE-B484-4E46AE197B64}" destId="{82D46E3F-511C-4DC4-9912-831FA2A41165}" srcOrd="0" destOrd="0" presId="urn:microsoft.com/office/officeart/2005/8/layout/StepDownProcess"/>
    <dgm:cxn modelId="{D6112F66-E8AF-46AC-8995-E347100F5376}" srcId="{463B07E6-BA0D-4C54-B765-2A29A5B92DBF}" destId="{665F0F30-668A-4E00-8625-5D0334E5D0D6}" srcOrd="0" destOrd="0" parTransId="{5321650E-51CC-44D6-BA4D-D10F8425F637}" sibTransId="{891756A3-46C4-4651-AD95-248136AA1236}"/>
    <dgm:cxn modelId="{141B50A4-D7B2-4794-8F42-BD85AF9BBDF2}" type="presParOf" srcId="{ED5C0739-4038-488E-AA1A-4410277737A6}" destId="{538F053A-575C-4E83-AA6F-9C318012C170}" srcOrd="0" destOrd="0" presId="urn:microsoft.com/office/officeart/2005/8/layout/StepDownProcess"/>
    <dgm:cxn modelId="{7EB93C74-DD53-4CEB-8233-855BF61E275E}" type="presParOf" srcId="{538F053A-575C-4E83-AA6F-9C318012C170}" destId="{DBBDD3A5-A6D6-4CFF-80EE-3AF56633D894}" srcOrd="0" destOrd="0" presId="urn:microsoft.com/office/officeart/2005/8/layout/StepDownProcess"/>
    <dgm:cxn modelId="{9C525D15-9855-4FBE-87A9-1F4E84690EEC}" type="presParOf" srcId="{538F053A-575C-4E83-AA6F-9C318012C170}" destId="{82D46E3F-511C-4DC4-9912-831FA2A41165}" srcOrd="1" destOrd="0" presId="urn:microsoft.com/office/officeart/2005/8/layout/StepDownProcess"/>
    <dgm:cxn modelId="{A52F9C47-C990-4866-A683-7BD24482C9D9}" type="presParOf" srcId="{538F053A-575C-4E83-AA6F-9C318012C170}" destId="{3DB222A0-20A6-4429-958A-1CCCA34A4305}" srcOrd="2" destOrd="0" presId="urn:microsoft.com/office/officeart/2005/8/layout/StepDownProcess"/>
    <dgm:cxn modelId="{DF680A21-8367-4BA4-8798-D11D5503977A}" type="presParOf" srcId="{ED5C0739-4038-488E-AA1A-4410277737A6}" destId="{A1764CC1-AF09-4393-91B8-E08D3D0FB8CF}" srcOrd="1" destOrd="0" presId="urn:microsoft.com/office/officeart/2005/8/layout/StepDownProcess"/>
    <dgm:cxn modelId="{41D7898C-5AD6-4259-A254-EE279F63D3CA}" type="presParOf" srcId="{ED5C0739-4038-488E-AA1A-4410277737A6}" destId="{43DC6B8D-7AF6-4ACA-9418-0CFAC524CFF6}" srcOrd="2" destOrd="0" presId="urn:microsoft.com/office/officeart/2005/8/layout/StepDownProcess"/>
    <dgm:cxn modelId="{CDEACF09-CA19-43AE-8EA1-BB985FAA54A4}" type="presParOf" srcId="{43DC6B8D-7AF6-4ACA-9418-0CFAC524CFF6}" destId="{584BF6B5-61B8-43AA-BB14-A448CEA6FEFE}" srcOrd="0" destOrd="0" presId="urn:microsoft.com/office/officeart/2005/8/layout/StepDownProcess"/>
    <dgm:cxn modelId="{364CEE4F-42F8-4E94-8A56-5257B5709EE8}" type="presParOf" srcId="{43DC6B8D-7AF6-4ACA-9418-0CFAC524CFF6}" destId="{549E4E2D-45D9-4ED1-B7C7-D009EE208F1A}" srcOrd="1" destOrd="0" presId="urn:microsoft.com/office/officeart/2005/8/layout/StepDownProcess"/>
    <dgm:cxn modelId="{97768060-4230-42C7-8F53-AEF967EFDE6C}" type="presParOf" srcId="{43DC6B8D-7AF6-4ACA-9418-0CFAC524CFF6}" destId="{9F2BD233-1F84-4DBE-9FD9-8790F3AAA6CD}" srcOrd="2" destOrd="0" presId="urn:microsoft.com/office/officeart/2005/8/layout/StepDownProcess"/>
    <dgm:cxn modelId="{C31773F9-7A2B-47AD-9A41-1D60E88DC818}" type="presParOf" srcId="{ED5C0739-4038-488E-AA1A-4410277737A6}" destId="{DEC1B0E1-6802-4D06-910D-996F0B24ABB1}" srcOrd="3" destOrd="0" presId="urn:microsoft.com/office/officeart/2005/8/layout/StepDownProcess"/>
    <dgm:cxn modelId="{590461B5-41ED-409B-B0E8-CAA0AE796E1D}" type="presParOf" srcId="{ED5C0739-4038-488E-AA1A-4410277737A6}" destId="{3314E25B-BD47-44C7-AC13-1D91C3633ADC}" srcOrd="4" destOrd="0" presId="urn:microsoft.com/office/officeart/2005/8/layout/StepDownProcess"/>
    <dgm:cxn modelId="{D154520A-5D80-402D-9413-8EB754C9C644}" type="presParOf" srcId="{3314E25B-BD47-44C7-AC13-1D91C3633ADC}" destId="{41B8653C-FE9C-4718-892A-A501AC2E7BB9}" srcOrd="0" destOrd="0" presId="urn:microsoft.com/office/officeart/2005/8/layout/StepDownProcess"/>
    <dgm:cxn modelId="{B0C8646B-8430-4C6A-8485-3354E0532E98}" type="presParOf" srcId="{3314E25B-BD47-44C7-AC13-1D91C3633ADC}" destId="{D304A559-439C-497E-95EC-60B51BC6E18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BBDD3A5-A6D6-4CFF-80EE-3AF56633D894}">
      <dsp:nvSpPr>
        <dsp:cNvPr id="0" name=""/>
        <dsp:cNvSpPr/>
      </dsp:nvSpPr>
      <dsp:spPr>
        <a:xfrm rot="5400000">
          <a:off x="270397" y="825773"/>
          <a:ext cx="730325" cy="831449"/>
        </a:xfrm>
        <a:prstGeom prst="bentUpArrow">
          <a:avLst>
            <a:gd name="adj1" fmla="val 32840"/>
            <a:gd name="adj2" fmla="val 25000"/>
            <a:gd name="adj3" fmla="val 35780"/>
          </a:avLst>
        </a:prstGeom>
        <a:solidFill>
          <a:schemeClr val="accent5">
            <a:lumMod val="40000"/>
            <a:lumOff val="6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2D46E3F-511C-4DC4-9912-831FA2A41165}">
      <dsp:nvSpPr>
        <dsp:cNvPr id="0" name=""/>
        <dsp:cNvSpPr/>
      </dsp:nvSpPr>
      <dsp:spPr>
        <a:xfrm>
          <a:off x="76905" y="16193"/>
          <a:ext cx="1229438" cy="860566"/>
        </a:xfrm>
        <a:prstGeom prst="roundRect">
          <a:avLst>
            <a:gd name="adj" fmla="val 16670"/>
          </a:avLst>
        </a:prstGeom>
        <a:solidFill>
          <a:schemeClr val="accent5">
            <a:lumMod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lvl="0" algn="ctr" defTabSz="577850">
            <a:lnSpc>
              <a:spcPct val="90000"/>
            </a:lnSpc>
            <a:spcBef>
              <a:spcPct val="0"/>
            </a:spcBef>
            <a:spcAft>
              <a:spcPct val="35000"/>
            </a:spcAft>
          </a:pPr>
          <a:r>
            <a:rPr lang="en-IN" sz="1300" kern="1200">
              <a:latin typeface="Bahnschrift Light SemiCondensed" panose="020B0502040204020203" pitchFamily="34" charset="0"/>
            </a:rPr>
            <a:t>Rising Sun Holdings Pvt Ltd</a:t>
          </a:r>
        </a:p>
      </dsp:txBody>
      <dsp:txXfrm>
        <a:off x="118922" y="58210"/>
        <a:ext cx="1145404" cy="776532"/>
      </dsp:txXfrm>
    </dsp:sp>
    <dsp:sp modelId="{3DB222A0-20A6-4429-958A-1CCCA34A4305}">
      <dsp:nvSpPr>
        <dsp:cNvPr id="0" name=""/>
        <dsp:cNvSpPr/>
      </dsp:nvSpPr>
      <dsp:spPr>
        <a:xfrm>
          <a:off x="1306344" y="127383"/>
          <a:ext cx="894176" cy="6373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9530" tIns="49530" rIns="49530" bIns="49530" numCol="1" spcCol="1270" anchor="ctr" anchorCtr="0">
          <a:noAutofit/>
        </a:bodyPr>
        <a:lstStyle/>
        <a:p>
          <a:pPr marL="57150" lvl="1" indent="-57150" algn="l" defTabSz="444500">
            <a:lnSpc>
              <a:spcPct val="90000"/>
            </a:lnSpc>
            <a:spcBef>
              <a:spcPct val="0"/>
            </a:spcBef>
            <a:spcAft>
              <a:spcPct val="15000"/>
            </a:spcAft>
            <a:buChar char="••"/>
          </a:pPr>
          <a:r>
            <a:rPr lang="en-IN" sz="1000" kern="1200">
              <a:solidFill>
                <a:schemeClr val="accent1">
                  <a:lumMod val="50000"/>
                </a:schemeClr>
              </a:solidFill>
              <a:latin typeface="Bahnschrift Light" panose="020B0502040204020203" pitchFamily="34" charset="0"/>
            </a:rPr>
            <a:t>Holding Company</a:t>
          </a:r>
        </a:p>
        <a:p>
          <a:pPr marL="57150" lvl="1" indent="-57150" algn="l" defTabSz="444500">
            <a:lnSpc>
              <a:spcPct val="90000"/>
            </a:lnSpc>
            <a:spcBef>
              <a:spcPct val="0"/>
            </a:spcBef>
            <a:spcAft>
              <a:spcPct val="15000"/>
            </a:spcAft>
            <a:buChar char="••"/>
          </a:pPr>
          <a:r>
            <a:rPr lang="en-IN" sz="1000" kern="1200">
              <a:solidFill>
                <a:schemeClr val="accent1">
                  <a:lumMod val="50000"/>
                </a:schemeClr>
              </a:solidFill>
              <a:latin typeface="Bahnschrift Light" panose="020B0502040204020203" pitchFamily="34" charset="0"/>
            </a:rPr>
            <a:t>61.87%</a:t>
          </a:r>
        </a:p>
      </dsp:txBody>
      <dsp:txXfrm>
        <a:off x="1306344" y="127383"/>
        <a:ext cx="894176" cy="637316"/>
      </dsp:txXfrm>
    </dsp:sp>
    <dsp:sp modelId="{584BF6B5-61B8-43AA-BB14-A448CEA6FEFE}">
      <dsp:nvSpPr>
        <dsp:cNvPr id="0" name=""/>
        <dsp:cNvSpPr/>
      </dsp:nvSpPr>
      <dsp:spPr>
        <a:xfrm rot="5400000">
          <a:off x="1289732" y="1792473"/>
          <a:ext cx="730325" cy="831449"/>
        </a:xfrm>
        <a:prstGeom prst="bentUpArrow">
          <a:avLst>
            <a:gd name="adj1" fmla="val 32840"/>
            <a:gd name="adj2" fmla="val 25000"/>
            <a:gd name="adj3" fmla="val 35780"/>
          </a:avLst>
        </a:prstGeom>
        <a:solidFill>
          <a:schemeClr val="accent6">
            <a:lumMod val="20000"/>
            <a:lumOff val="8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49E4E2D-45D9-4ED1-B7C7-D009EE208F1A}">
      <dsp:nvSpPr>
        <dsp:cNvPr id="0" name=""/>
        <dsp:cNvSpPr/>
      </dsp:nvSpPr>
      <dsp:spPr>
        <a:xfrm>
          <a:off x="1096240" y="982893"/>
          <a:ext cx="1229438" cy="860566"/>
        </a:xfrm>
        <a:prstGeom prst="roundRect">
          <a:avLst>
            <a:gd name="adj" fmla="val 16670"/>
          </a:avLst>
        </a:prstGeom>
        <a:solidFill>
          <a:schemeClr val="accent5">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lvl="0" algn="ctr" defTabSz="577850">
            <a:lnSpc>
              <a:spcPct val="90000"/>
            </a:lnSpc>
            <a:spcBef>
              <a:spcPct val="0"/>
            </a:spcBef>
            <a:spcAft>
              <a:spcPct val="35000"/>
            </a:spcAft>
          </a:pPr>
          <a:r>
            <a:rPr lang="en-IN" sz="1300" kern="1200"/>
            <a:t>Poonawalla Fincorp Ltd</a:t>
          </a:r>
        </a:p>
      </dsp:txBody>
      <dsp:txXfrm>
        <a:off x="1138257" y="1024910"/>
        <a:ext cx="1145404" cy="776532"/>
      </dsp:txXfrm>
    </dsp:sp>
    <dsp:sp modelId="{9F2BD233-1F84-4DBE-9FD9-8790F3AAA6CD}">
      <dsp:nvSpPr>
        <dsp:cNvPr id="0" name=""/>
        <dsp:cNvSpPr/>
      </dsp:nvSpPr>
      <dsp:spPr>
        <a:xfrm>
          <a:off x="2325678" y="1064968"/>
          <a:ext cx="894176" cy="6955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9530" tIns="49530" rIns="49530" bIns="49530" numCol="1" spcCol="1270" anchor="ctr" anchorCtr="0">
          <a:noAutofit/>
        </a:bodyPr>
        <a:lstStyle/>
        <a:p>
          <a:pPr marL="57150" lvl="1" indent="-57150" algn="l" defTabSz="444500">
            <a:lnSpc>
              <a:spcPct val="90000"/>
            </a:lnSpc>
            <a:spcBef>
              <a:spcPct val="0"/>
            </a:spcBef>
            <a:spcAft>
              <a:spcPct val="15000"/>
            </a:spcAft>
            <a:buChar char="••"/>
          </a:pPr>
          <a:r>
            <a:rPr lang="en-IN" sz="1000" kern="1200">
              <a:solidFill>
                <a:schemeClr val="accent5">
                  <a:lumMod val="75000"/>
                </a:schemeClr>
              </a:solidFill>
              <a:latin typeface="Bahnschrift Light" panose="020B0502040204020203" pitchFamily="34" charset="0"/>
            </a:rPr>
            <a:t>Subsidary Company</a:t>
          </a:r>
        </a:p>
      </dsp:txBody>
      <dsp:txXfrm>
        <a:off x="2325678" y="1064968"/>
        <a:ext cx="894176" cy="695548"/>
      </dsp:txXfrm>
    </dsp:sp>
    <dsp:sp modelId="{41B8653C-FE9C-4718-892A-A501AC2E7BB9}">
      <dsp:nvSpPr>
        <dsp:cNvPr id="0" name=""/>
        <dsp:cNvSpPr/>
      </dsp:nvSpPr>
      <dsp:spPr>
        <a:xfrm>
          <a:off x="2115575" y="1949594"/>
          <a:ext cx="1229438" cy="860566"/>
        </a:xfrm>
        <a:prstGeom prst="roundRect">
          <a:avLst>
            <a:gd name="adj" fmla="val 16670"/>
          </a:avLst>
        </a:prstGeom>
        <a:solidFill>
          <a:schemeClr val="accent5"/>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9530" tIns="49530" rIns="49530" bIns="49530" numCol="1" spcCol="1270" anchor="ctr" anchorCtr="0">
          <a:noAutofit/>
        </a:bodyPr>
        <a:lstStyle/>
        <a:p>
          <a:pPr lvl="0" algn="ctr" defTabSz="577850">
            <a:lnSpc>
              <a:spcPct val="90000"/>
            </a:lnSpc>
            <a:spcBef>
              <a:spcPct val="0"/>
            </a:spcBef>
            <a:spcAft>
              <a:spcPct val="35000"/>
            </a:spcAft>
          </a:pPr>
          <a:r>
            <a:rPr lang="en-IN" sz="1300" kern="1200"/>
            <a:t>Jaguar Advisory Services Pvt Ltd</a:t>
          </a:r>
        </a:p>
      </dsp:txBody>
      <dsp:txXfrm>
        <a:off x="2157592" y="1991611"/>
        <a:ext cx="1145404" cy="776532"/>
      </dsp:txXfrm>
    </dsp:sp>
    <dsp:sp modelId="{D304A559-439C-497E-95EC-60B51BC6E18B}">
      <dsp:nvSpPr>
        <dsp:cNvPr id="0" name=""/>
        <dsp:cNvSpPr/>
      </dsp:nvSpPr>
      <dsp:spPr>
        <a:xfrm>
          <a:off x="3345013" y="2031668"/>
          <a:ext cx="894176" cy="6955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88950">
            <a:lnSpc>
              <a:spcPct val="90000"/>
            </a:lnSpc>
            <a:spcBef>
              <a:spcPct val="0"/>
            </a:spcBef>
            <a:spcAft>
              <a:spcPct val="15000"/>
            </a:spcAft>
            <a:buChar char="••"/>
          </a:pPr>
          <a:r>
            <a:rPr lang="en-IN" sz="1100" kern="1200">
              <a:solidFill>
                <a:schemeClr val="accent5"/>
              </a:solidFill>
              <a:latin typeface="Bahnschrift Light Condensed" panose="020B0502040204020203" pitchFamily="34" charset="0"/>
            </a:rPr>
            <a:t>Associate Company</a:t>
          </a:r>
        </a:p>
      </dsp:txBody>
      <dsp:txXfrm>
        <a:off x="3345013" y="2031668"/>
        <a:ext cx="894176" cy="6955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image" Target="../media/image6.jpeg"/><Relationship Id="rId18" Type="http://schemas.openxmlformats.org/officeDocument/2006/relationships/chart" Target="../charts/chart7.xml"/><Relationship Id="rId26" Type="http://schemas.openxmlformats.org/officeDocument/2006/relationships/image" Target="../media/image9.png"/><Relationship Id="rId3" Type="http://schemas.openxmlformats.org/officeDocument/2006/relationships/diagramQuickStyle" Target="../diagrams/quickStyle1.xml"/><Relationship Id="rId21" Type="http://schemas.openxmlformats.org/officeDocument/2006/relationships/chart" Target="../charts/chart10.xml"/><Relationship Id="rId7" Type="http://schemas.openxmlformats.org/officeDocument/2006/relationships/image" Target="../media/image2.png"/><Relationship Id="rId12" Type="http://schemas.openxmlformats.org/officeDocument/2006/relationships/chart" Target="../charts/chart2.xml"/><Relationship Id="rId17" Type="http://schemas.openxmlformats.org/officeDocument/2006/relationships/chart" Target="../charts/chart6.xml"/><Relationship Id="rId25" Type="http://schemas.openxmlformats.org/officeDocument/2006/relationships/image" Target="../media/image8.png"/><Relationship Id="rId2" Type="http://schemas.openxmlformats.org/officeDocument/2006/relationships/diagramLayout" Target="../diagrams/layout1.xml"/><Relationship Id="rId16" Type="http://schemas.openxmlformats.org/officeDocument/2006/relationships/chart" Target="../charts/chart5.xml"/><Relationship Id="rId20" Type="http://schemas.openxmlformats.org/officeDocument/2006/relationships/chart" Target="../charts/chart9.xml"/><Relationship Id="rId29" Type="http://schemas.openxmlformats.org/officeDocument/2006/relationships/chart" Target="../charts/chart15.xml"/><Relationship Id="rId1" Type="http://schemas.openxmlformats.org/officeDocument/2006/relationships/diagramData" Target="../diagrams/data1.xml"/><Relationship Id="rId6" Type="http://schemas.openxmlformats.org/officeDocument/2006/relationships/image" Target="../media/image1.png"/><Relationship Id="rId11" Type="http://schemas.openxmlformats.org/officeDocument/2006/relationships/image" Target="../media/image5.jpg"/><Relationship Id="rId24" Type="http://schemas.openxmlformats.org/officeDocument/2006/relationships/image" Target="../media/image7.png"/><Relationship Id="rId32" Type="http://schemas.openxmlformats.org/officeDocument/2006/relationships/chart" Target="../charts/chart18.xml"/><Relationship Id="rId5" Type="http://schemas.microsoft.com/office/2007/relationships/diagramDrawing" Target="../diagrams/drawing1.xml"/><Relationship Id="rId15" Type="http://schemas.openxmlformats.org/officeDocument/2006/relationships/chart" Target="../charts/chart4.xml"/><Relationship Id="rId23" Type="http://schemas.openxmlformats.org/officeDocument/2006/relationships/chart" Target="../charts/chart12.xml"/><Relationship Id="rId28" Type="http://schemas.openxmlformats.org/officeDocument/2006/relationships/chart" Target="../charts/chart14.xml"/><Relationship Id="rId10" Type="http://schemas.openxmlformats.org/officeDocument/2006/relationships/image" Target="../media/image4.jpg"/><Relationship Id="rId19" Type="http://schemas.openxmlformats.org/officeDocument/2006/relationships/chart" Target="../charts/chart8.xml"/><Relationship Id="rId31" Type="http://schemas.openxmlformats.org/officeDocument/2006/relationships/chart" Target="../charts/chart17.xml"/><Relationship Id="rId4" Type="http://schemas.openxmlformats.org/officeDocument/2006/relationships/diagramColors" Target="../diagrams/colors1.xml"/><Relationship Id="rId9" Type="http://schemas.openxmlformats.org/officeDocument/2006/relationships/image" Target="../media/image3.jpg"/><Relationship Id="rId14" Type="http://schemas.openxmlformats.org/officeDocument/2006/relationships/chart" Target="../charts/chart3.xml"/><Relationship Id="rId22" Type="http://schemas.openxmlformats.org/officeDocument/2006/relationships/chart" Target="../charts/chart11.xml"/><Relationship Id="rId27" Type="http://schemas.openxmlformats.org/officeDocument/2006/relationships/chart" Target="../charts/chart13.xml"/><Relationship Id="rId30"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3" Type="http://schemas.openxmlformats.org/officeDocument/2006/relationships/hyperlink" Target="https://creativecommons.org/licenses/by-nc-nd/3.0/" TargetMode="External"/><Relationship Id="rId2" Type="http://schemas.openxmlformats.org/officeDocument/2006/relationships/hyperlink" Target="http://justinsykehunt.deviantart.com/art/indian-map-413914181" TargetMode="External"/><Relationship Id="rId1" Type="http://schemas.openxmlformats.org/officeDocument/2006/relationships/image" Target="../media/image10.jpeg"/></Relationships>
</file>

<file path=xl/drawings/_rels/drawing6.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9.xml"/><Relationship Id="rId13" Type="http://schemas.openxmlformats.org/officeDocument/2006/relationships/chart" Target="../charts/chart34.xml"/><Relationship Id="rId3" Type="http://schemas.openxmlformats.org/officeDocument/2006/relationships/chart" Target="../charts/chart24.xml"/><Relationship Id="rId7" Type="http://schemas.openxmlformats.org/officeDocument/2006/relationships/chart" Target="../charts/chart28.xml"/><Relationship Id="rId12" Type="http://schemas.openxmlformats.org/officeDocument/2006/relationships/chart" Target="../charts/chart33.xml"/><Relationship Id="rId2" Type="http://schemas.openxmlformats.org/officeDocument/2006/relationships/image" Target="../media/image11.jpg"/><Relationship Id="rId1" Type="http://schemas.openxmlformats.org/officeDocument/2006/relationships/chart" Target="../charts/chart23.xml"/><Relationship Id="rId6" Type="http://schemas.openxmlformats.org/officeDocument/2006/relationships/chart" Target="../charts/chart27.xml"/><Relationship Id="rId11" Type="http://schemas.openxmlformats.org/officeDocument/2006/relationships/chart" Target="../charts/chart32.xml"/><Relationship Id="rId5" Type="http://schemas.openxmlformats.org/officeDocument/2006/relationships/chart" Target="../charts/chart26.xml"/><Relationship Id="rId10" Type="http://schemas.openxmlformats.org/officeDocument/2006/relationships/chart" Target="../charts/chart31.xml"/><Relationship Id="rId4" Type="http://schemas.openxmlformats.org/officeDocument/2006/relationships/chart" Target="../charts/chart25.xml"/><Relationship Id="rId9" Type="http://schemas.openxmlformats.org/officeDocument/2006/relationships/chart" Target="../charts/chart30.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1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1.jpg"/><Relationship Id="rId6" Type="http://schemas.openxmlformats.org/officeDocument/2006/relationships/image" Target="../media/image16.jpe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17</xdr:col>
      <xdr:colOff>748393</xdr:colOff>
      <xdr:row>13</xdr:row>
      <xdr:rowOff>120953</xdr:rowOff>
    </xdr:from>
    <xdr:to>
      <xdr:col>19</xdr:col>
      <xdr:colOff>476248</xdr:colOff>
      <xdr:row>13</xdr:row>
      <xdr:rowOff>128513</xdr:rowOff>
    </xdr:to>
    <xdr:cxnSp macro="">
      <xdr:nvCxnSpPr>
        <xdr:cNvPr id="3" name="Straight Connector 2">
          <a:extLst>
            <a:ext uri="{FF2B5EF4-FFF2-40B4-BE49-F238E27FC236}">
              <a16:creationId xmlns:a16="http://schemas.microsoft.com/office/drawing/2014/main" id="{DA3514D2-0DCD-4BF6-B3A0-9ECA2FF9948B}"/>
            </a:ext>
          </a:extLst>
        </xdr:cNvPr>
        <xdr:cNvCxnSpPr/>
      </xdr:nvCxnSpPr>
      <xdr:spPr>
        <a:xfrm>
          <a:off x="13599583" y="2479524"/>
          <a:ext cx="1285117" cy="7560"/>
        </a:xfrm>
        <a:prstGeom prst="line">
          <a:avLst/>
        </a:prstGeom>
        <a:ln>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44148</xdr:colOff>
      <xdr:row>32</xdr:row>
      <xdr:rowOff>106741</xdr:rowOff>
    </xdr:from>
    <xdr:to>
      <xdr:col>9</xdr:col>
      <xdr:colOff>348041</xdr:colOff>
      <xdr:row>32</xdr:row>
      <xdr:rowOff>113091</xdr:rowOff>
    </xdr:to>
    <xdr:cxnSp macro="">
      <xdr:nvCxnSpPr>
        <xdr:cNvPr id="7" name="Straight Connector 6">
          <a:extLst>
            <a:ext uri="{FF2B5EF4-FFF2-40B4-BE49-F238E27FC236}">
              <a16:creationId xmlns:a16="http://schemas.microsoft.com/office/drawing/2014/main" id="{E4238A53-756E-4336-B41C-7D5BA3C75BC9}"/>
            </a:ext>
          </a:extLst>
        </xdr:cNvPr>
        <xdr:cNvCxnSpPr/>
      </xdr:nvCxnSpPr>
      <xdr:spPr>
        <a:xfrm flipV="1">
          <a:off x="3755874" y="5927574"/>
          <a:ext cx="3365500" cy="63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184300</xdr:colOff>
      <xdr:row>14</xdr:row>
      <xdr:rowOff>30239</xdr:rowOff>
    </xdr:from>
    <xdr:to>
      <xdr:col>28</xdr:col>
      <xdr:colOff>377976</xdr:colOff>
      <xdr:row>29</xdr:row>
      <xdr:rowOff>113393</xdr:rowOff>
    </xdr:to>
    <xdr:graphicFrame macro="">
      <xdr:nvGraphicFramePr>
        <xdr:cNvPr id="10" name="Diagram 9">
          <a:extLst>
            <a:ext uri="{FF2B5EF4-FFF2-40B4-BE49-F238E27FC236}">
              <a16:creationId xmlns:a16="http://schemas.microsoft.com/office/drawing/2014/main" id="{CA40C41E-BA36-4985-B1ED-822C1FE5616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24</xdr:col>
      <xdr:colOff>801309</xdr:colOff>
      <xdr:row>13</xdr:row>
      <xdr:rowOff>154516</xdr:rowOff>
    </xdr:from>
    <xdr:to>
      <xdr:col>25</xdr:col>
      <xdr:colOff>445709</xdr:colOff>
      <xdr:row>13</xdr:row>
      <xdr:rowOff>154516</xdr:rowOff>
    </xdr:to>
    <xdr:cxnSp macro="">
      <xdr:nvCxnSpPr>
        <xdr:cNvPr id="12" name="Straight Connector 11">
          <a:extLst>
            <a:ext uri="{FF2B5EF4-FFF2-40B4-BE49-F238E27FC236}">
              <a16:creationId xmlns:a16="http://schemas.microsoft.com/office/drawing/2014/main" id="{0A95A20E-D475-4345-AA7B-D1EFDA99A2F0}"/>
            </a:ext>
          </a:extLst>
        </xdr:cNvPr>
        <xdr:cNvCxnSpPr/>
      </xdr:nvCxnSpPr>
      <xdr:spPr>
        <a:xfrm>
          <a:off x="18218452" y="2513087"/>
          <a:ext cx="1980293"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104019</xdr:colOff>
      <xdr:row>13</xdr:row>
      <xdr:rowOff>156936</xdr:rowOff>
    </xdr:from>
    <xdr:to>
      <xdr:col>6</xdr:col>
      <xdr:colOff>65919</xdr:colOff>
      <xdr:row>13</xdr:row>
      <xdr:rowOff>156936</xdr:rowOff>
    </xdr:to>
    <xdr:cxnSp macro="">
      <xdr:nvCxnSpPr>
        <xdr:cNvPr id="15" name="Straight Connector 14">
          <a:extLst>
            <a:ext uri="{FF2B5EF4-FFF2-40B4-BE49-F238E27FC236}">
              <a16:creationId xmlns:a16="http://schemas.microsoft.com/office/drawing/2014/main" id="{98E04F64-D852-4169-BD24-B40FD1849CB9}"/>
            </a:ext>
          </a:extLst>
        </xdr:cNvPr>
        <xdr:cNvCxnSpPr/>
      </xdr:nvCxnSpPr>
      <xdr:spPr>
        <a:xfrm>
          <a:off x="2545745" y="2515507"/>
          <a:ext cx="2456543" cy="0"/>
        </a:xfrm>
        <a:prstGeom prst="line">
          <a:avLst/>
        </a:prstGeom>
        <a:ln>
          <a:solidFill>
            <a:schemeClr val="accent5">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408517</xdr:colOff>
      <xdr:row>14</xdr:row>
      <xdr:rowOff>52918</xdr:rowOff>
    </xdr:from>
    <xdr:to>
      <xdr:col>8</xdr:col>
      <xdr:colOff>418495</xdr:colOff>
      <xdr:row>16</xdr:row>
      <xdr:rowOff>30239</xdr:rowOff>
    </xdr:to>
    <xdr:sp macro="" textlink="">
      <xdr:nvSpPr>
        <xdr:cNvPr id="16" name="Rectangle: Rounded Corners 15">
          <a:extLst>
            <a:ext uri="{FF2B5EF4-FFF2-40B4-BE49-F238E27FC236}">
              <a16:creationId xmlns:a16="http://schemas.microsoft.com/office/drawing/2014/main" id="{41A589C4-304C-4466-A91F-9B167685CD18}"/>
            </a:ext>
          </a:extLst>
        </xdr:cNvPr>
        <xdr:cNvSpPr/>
      </xdr:nvSpPr>
      <xdr:spPr>
        <a:xfrm>
          <a:off x="4120243" y="2592918"/>
          <a:ext cx="2459264" cy="340178"/>
        </a:xfrm>
        <a:prstGeom prst="round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Bahnschrift Light SemiCondensed" panose="020B0502040204020203" pitchFamily="34" charset="0"/>
            </a:rPr>
            <a:t>Growth Parameters</a:t>
          </a:r>
        </a:p>
      </xdr:txBody>
    </xdr:sp>
    <xdr:clientData/>
  </xdr:twoCellAnchor>
  <xdr:twoCellAnchor>
    <xdr:from>
      <xdr:col>21</xdr:col>
      <xdr:colOff>379486</xdr:colOff>
      <xdr:row>33</xdr:row>
      <xdr:rowOff>75595</xdr:rowOff>
    </xdr:from>
    <xdr:to>
      <xdr:col>23</xdr:col>
      <xdr:colOff>502518</xdr:colOff>
      <xdr:row>45</xdr:row>
      <xdr:rowOff>41199</xdr:rowOff>
    </xdr:to>
    <xdr:sp macro="" textlink="">
      <xdr:nvSpPr>
        <xdr:cNvPr id="23" name="Rectangle: Rounded Corners 22">
          <a:extLst>
            <a:ext uri="{FF2B5EF4-FFF2-40B4-BE49-F238E27FC236}">
              <a16:creationId xmlns:a16="http://schemas.microsoft.com/office/drawing/2014/main" id="{DE1D5B62-D838-486D-8A63-0A25C0E3E990}"/>
            </a:ext>
          </a:extLst>
        </xdr:cNvPr>
        <xdr:cNvSpPr/>
      </xdr:nvSpPr>
      <xdr:spPr>
        <a:xfrm>
          <a:off x="15120557" y="4392083"/>
          <a:ext cx="1347675" cy="2021795"/>
        </a:xfrm>
        <a:prstGeom prst="roundRect">
          <a:avLst/>
        </a:prstGeom>
        <a:no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226787</xdr:colOff>
      <xdr:row>30</xdr:row>
      <xdr:rowOff>22679</xdr:rowOff>
    </xdr:from>
    <xdr:to>
      <xdr:col>16</xdr:col>
      <xdr:colOff>393096</xdr:colOff>
      <xdr:row>30</xdr:row>
      <xdr:rowOff>120953</xdr:rowOff>
    </xdr:to>
    <xdr:sp macro="" textlink="">
      <xdr:nvSpPr>
        <xdr:cNvPr id="25" name="Isosceles Triangle 24">
          <a:extLst>
            <a:ext uri="{FF2B5EF4-FFF2-40B4-BE49-F238E27FC236}">
              <a16:creationId xmlns:a16="http://schemas.microsoft.com/office/drawing/2014/main" id="{D3E2E539-23CB-4863-A13B-18D00CE67AE0}"/>
            </a:ext>
          </a:extLst>
        </xdr:cNvPr>
        <xdr:cNvSpPr/>
      </xdr:nvSpPr>
      <xdr:spPr>
        <a:xfrm>
          <a:off x="11603870" y="3832679"/>
          <a:ext cx="166309" cy="98274"/>
        </a:xfrm>
        <a:prstGeom prst="triangle">
          <a:avLst/>
        </a:prstGeom>
        <a:solidFill>
          <a:schemeClr val="accent6"/>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438453</xdr:colOff>
      <xdr:row>30</xdr:row>
      <xdr:rowOff>0</xdr:rowOff>
    </xdr:from>
    <xdr:to>
      <xdr:col>16</xdr:col>
      <xdr:colOff>582084</xdr:colOff>
      <xdr:row>30</xdr:row>
      <xdr:rowOff>128512</xdr:rowOff>
    </xdr:to>
    <xdr:cxnSp macro="">
      <xdr:nvCxnSpPr>
        <xdr:cNvPr id="31" name="Straight Connector 30">
          <a:extLst>
            <a:ext uri="{FF2B5EF4-FFF2-40B4-BE49-F238E27FC236}">
              <a16:creationId xmlns:a16="http://schemas.microsoft.com/office/drawing/2014/main" id="{54AE5250-0C79-4795-9CAF-E1D753F18F33}"/>
            </a:ext>
          </a:extLst>
        </xdr:cNvPr>
        <xdr:cNvCxnSpPr/>
      </xdr:nvCxnSpPr>
      <xdr:spPr>
        <a:xfrm flipH="1">
          <a:off x="11815536" y="3810000"/>
          <a:ext cx="143631" cy="12851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634999</xdr:colOff>
      <xdr:row>30</xdr:row>
      <xdr:rowOff>15118</xdr:rowOff>
    </xdr:from>
    <xdr:to>
      <xdr:col>16</xdr:col>
      <xdr:colOff>755951</xdr:colOff>
      <xdr:row>30</xdr:row>
      <xdr:rowOff>128512</xdr:rowOff>
    </xdr:to>
    <xdr:sp macro="" textlink="">
      <xdr:nvSpPr>
        <xdr:cNvPr id="33" name="Isosceles Triangle 32">
          <a:extLst>
            <a:ext uri="{FF2B5EF4-FFF2-40B4-BE49-F238E27FC236}">
              <a16:creationId xmlns:a16="http://schemas.microsoft.com/office/drawing/2014/main" id="{92DEA5CE-68E2-46AB-9A40-DA95360B7291}"/>
            </a:ext>
          </a:extLst>
        </xdr:cNvPr>
        <xdr:cNvSpPr/>
      </xdr:nvSpPr>
      <xdr:spPr>
        <a:xfrm rot="10800000">
          <a:off x="12012082" y="3825118"/>
          <a:ext cx="120952" cy="113394"/>
        </a:xfrm>
        <a:prstGeom prst="triangle">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143630</xdr:colOff>
      <xdr:row>87</xdr:row>
      <xdr:rowOff>151191</xdr:rowOff>
    </xdr:from>
    <xdr:to>
      <xdr:col>29</xdr:col>
      <xdr:colOff>188988</xdr:colOff>
      <xdr:row>89</xdr:row>
      <xdr:rowOff>45357</xdr:rowOff>
    </xdr:to>
    <xdr:sp macro="" textlink="">
      <xdr:nvSpPr>
        <xdr:cNvPr id="14" name="TextBox 13">
          <a:extLst>
            <a:ext uri="{FF2B5EF4-FFF2-40B4-BE49-F238E27FC236}">
              <a16:creationId xmlns:a16="http://schemas.microsoft.com/office/drawing/2014/main" id="{01C85B03-8609-4CDF-A1AB-614F6FDB1086}"/>
            </a:ext>
          </a:extLst>
        </xdr:cNvPr>
        <xdr:cNvSpPr txBox="1"/>
      </xdr:nvSpPr>
      <xdr:spPr>
        <a:xfrm>
          <a:off x="20894523" y="14151429"/>
          <a:ext cx="657679" cy="25702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27</xdr:col>
      <xdr:colOff>468690</xdr:colOff>
      <xdr:row>88</xdr:row>
      <xdr:rowOff>0</xdr:rowOff>
    </xdr:from>
    <xdr:to>
      <xdr:col>28</xdr:col>
      <xdr:colOff>45357</xdr:colOff>
      <xdr:row>88</xdr:row>
      <xdr:rowOff>113392</xdr:rowOff>
    </xdr:to>
    <xdr:sp macro="" textlink="">
      <xdr:nvSpPr>
        <xdr:cNvPr id="26" name="TextBox 25">
          <a:extLst>
            <a:ext uri="{FF2B5EF4-FFF2-40B4-BE49-F238E27FC236}">
              <a16:creationId xmlns:a16="http://schemas.microsoft.com/office/drawing/2014/main" id="{79144673-48F0-4D7B-BC49-F19611F4ABFB}"/>
            </a:ext>
          </a:extLst>
        </xdr:cNvPr>
        <xdr:cNvSpPr txBox="1"/>
      </xdr:nvSpPr>
      <xdr:spPr>
        <a:xfrm>
          <a:off x="20607261" y="14181667"/>
          <a:ext cx="188989" cy="1133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26</xdr:col>
      <xdr:colOff>52917</xdr:colOff>
      <xdr:row>103</xdr:row>
      <xdr:rowOff>7560</xdr:rowOff>
    </xdr:from>
    <xdr:ext cx="184731" cy="264560"/>
    <xdr:sp macro="" textlink="">
      <xdr:nvSpPr>
        <xdr:cNvPr id="36" name="TextBox 35">
          <a:extLst>
            <a:ext uri="{FF2B5EF4-FFF2-40B4-BE49-F238E27FC236}">
              <a16:creationId xmlns:a16="http://schemas.microsoft.com/office/drawing/2014/main" id="{991F5EE3-9CE7-44A8-B6F6-38F7943F96EF}"/>
            </a:ext>
          </a:extLst>
        </xdr:cNvPr>
        <xdr:cNvSpPr txBox="1"/>
      </xdr:nvSpPr>
      <xdr:spPr>
        <a:xfrm>
          <a:off x="19579167" y="1691065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23</xdr:col>
      <xdr:colOff>566965</xdr:colOff>
      <xdr:row>70</xdr:row>
      <xdr:rowOff>0</xdr:rowOff>
    </xdr:from>
    <xdr:to>
      <xdr:col>36</xdr:col>
      <xdr:colOff>187417</xdr:colOff>
      <xdr:row>111</xdr:row>
      <xdr:rowOff>175081</xdr:rowOff>
    </xdr:to>
    <xdr:pic>
      <xdr:nvPicPr>
        <xdr:cNvPr id="84" name="Picture 83">
          <a:extLst>
            <a:ext uri="{FF2B5EF4-FFF2-40B4-BE49-F238E27FC236}">
              <a16:creationId xmlns:a16="http://schemas.microsoft.com/office/drawing/2014/main" id="{DFE86191-077A-44D9-BE94-8306BA2A1B6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532679" y="10915952"/>
          <a:ext cx="9304202" cy="7613652"/>
        </a:xfrm>
        <a:prstGeom prst="rect">
          <a:avLst/>
        </a:prstGeom>
      </xdr:spPr>
    </xdr:pic>
    <xdr:clientData/>
  </xdr:twoCellAnchor>
  <xdr:twoCellAnchor>
    <xdr:from>
      <xdr:col>24</xdr:col>
      <xdr:colOff>1670656</xdr:colOff>
      <xdr:row>88</xdr:row>
      <xdr:rowOff>98275</xdr:rowOff>
    </xdr:from>
    <xdr:to>
      <xdr:col>26</xdr:col>
      <xdr:colOff>136072</xdr:colOff>
      <xdr:row>92</xdr:row>
      <xdr:rowOff>120954</xdr:rowOff>
    </xdr:to>
    <xdr:sp macro="" textlink="">
      <xdr:nvSpPr>
        <xdr:cNvPr id="85" name="TextBox 84">
          <a:extLst>
            <a:ext uri="{FF2B5EF4-FFF2-40B4-BE49-F238E27FC236}">
              <a16:creationId xmlns:a16="http://schemas.microsoft.com/office/drawing/2014/main" id="{4E5DA0AB-BE96-4A1A-B156-7E0A986285F0}"/>
            </a:ext>
          </a:extLst>
        </xdr:cNvPr>
        <xdr:cNvSpPr txBox="1"/>
      </xdr:nvSpPr>
      <xdr:spPr>
        <a:xfrm>
          <a:off x="18248692" y="14279942"/>
          <a:ext cx="1413630" cy="74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accent2"/>
              </a:solidFill>
              <a:latin typeface="Bahnschrift Condensed" panose="020B0502040204020203" pitchFamily="34" charset="0"/>
            </a:rPr>
            <a:t>Gujarat</a:t>
          </a:r>
        </a:p>
        <a:p>
          <a:pPr algn="ctr"/>
          <a:r>
            <a:rPr lang="en-IN" sz="1800">
              <a:solidFill>
                <a:schemeClr val="accent2"/>
              </a:solidFill>
              <a:latin typeface="Bahnschrift Condensed" panose="020B0502040204020203" pitchFamily="34" charset="0"/>
            </a:rPr>
            <a:t>8.0%</a:t>
          </a:r>
        </a:p>
      </xdr:txBody>
    </xdr:sp>
    <xdr:clientData/>
  </xdr:twoCellAnchor>
  <xdr:twoCellAnchor>
    <xdr:from>
      <xdr:col>25</xdr:col>
      <xdr:colOff>105833</xdr:colOff>
      <xdr:row>93</xdr:row>
      <xdr:rowOff>98275</xdr:rowOff>
    </xdr:from>
    <xdr:to>
      <xdr:col>27</xdr:col>
      <xdr:colOff>294821</xdr:colOff>
      <xdr:row>97</xdr:row>
      <xdr:rowOff>120954</xdr:rowOff>
    </xdr:to>
    <xdr:sp macro="" textlink="">
      <xdr:nvSpPr>
        <xdr:cNvPr id="86" name="TextBox 85">
          <a:extLst>
            <a:ext uri="{FF2B5EF4-FFF2-40B4-BE49-F238E27FC236}">
              <a16:creationId xmlns:a16="http://schemas.microsoft.com/office/drawing/2014/main" id="{73ABCF39-156E-4F02-921A-2F643B3B36A4}"/>
            </a:ext>
          </a:extLst>
        </xdr:cNvPr>
        <xdr:cNvSpPr txBox="1"/>
      </xdr:nvSpPr>
      <xdr:spPr>
        <a:xfrm>
          <a:off x="19019762" y="15187085"/>
          <a:ext cx="1413630" cy="74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solidFill>
                <a:schemeClr val="accent5"/>
              </a:solidFill>
              <a:latin typeface="Bahnschrift Condensed" panose="020B0502040204020203" pitchFamily="34" charset="0"/>
            </a:rPr>
            <a:t>Maharashtra</a:t>
          </a:r>
        </a:p>
        <a:p>
          <a:pPr algn="ctr"/>
          <a:r>
            <a:rPr lang="en-IN" sz="1800">
              <a:solidFill>
                <a:schemeClr val="accent5"/>
              </a:solidFill>
              <a:latin typeface="Bahnschrift Condensed" panose="020B0502040204020203" pitchFamily="34" charset="0"/>
            </a:rPr>
            <a:t>33.3%</a:t>
          </a:r>
        </a:p>
      </xdr:txBody>
    </xdr:sp>
    <xdr:clientData/>
  </xdr:twoCellAnchor>
  <xdr:twoCellAnchor>
    <xdr:from>
      <xdr:col>26</xdr:col>
      <xdr:colOff>400654</xdr:colOff>
      <xdr:row>95</xdr:row>
      <xdr:rowOff>22677</xdr:rowOff>
    </xdr:from>
    <xdr:to>
      <xdr:col>28</xdr:col>
      <xdr:colOff>453570</xdr:colOff>
      <xdr:row>98</xdr:row>
      <xdr:rowOff>37798</xdr:rowOff>
    </xdr:to>
    <xdr:sp macro="" textlink="">
      <xdr:nvSpPr>
        <xdr:cNvPr id="87" name="TextBox 86">
          <a:extLst>
            <a:ext uri="{FF2B5EF4-FFF2-40B4-BE49-F238E27FC236}">
              <a16:creationId xmlns:a16="http://schemas.microsoft.com/office/drawing/2014/main" id="{047903B4-BBED-4FE9-A9B0-B70C5B7D5DB3}"/>
            </a:ext>
          </a:extLst>
        </xdr:cNvPr>
        <xdr:cNvSpPr txBox="1"/>
      </xdr:nvSpPr>
      <xdr:spPr>
        <a:xfrm>
          <a:off x="19926904" y="15474344"/>
          <a:ext cx="1277559" cy="559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B8469A"/>
              </a:solidFill>
              <a:latin typeface="Bahnschrift Condensed" panose="020B0502040204020203" pitchFamily="34" charset="0"/>
            </a:rPr>
            <a:t>Telengana</a:t>
          </a:r>
        </a:p>
        <a:p>
          <a:pPr algn="ctr"/>
          <a:r>
            <a:rPr lang="en-IN" sz="1400">
              <a:solidFill>
                <a:srgbClr val="B8469A"/>
              </a:solidFill>
              <a:latin typeface="Bahnschrift Condensed" panose="020B0502040204020203" pitchFamily="34" charset="0"/>
            </a:rPr>
            <a:t>5.3%</a:t>
          </a:r>
        </a:p>
      </xdr:txBody>
    </xdr:sp>
    <xdr:clientData/>
  </xdr:twoCellAnchor>
  <xdr:twoCellAnchor>
    <xdr:from>
      <xdr:col>25</xdr:col>
      <xdr:colOff>544285</xdr:colOff>
      <xdr:row>100</xdr:row>
      <xdr:rowOff>136072</xdr:rowOff>
    </xdr:from>
    <xdr:to>
      <xdr:col>27</xdr:col>
      <xdr:colOff>355298</xdr:colOff>
      <xdr:row>104</xdr:row>
      <xdr:rowOff>1</xdr:rowOff>
    </xdr:to>
    <xdr:sp macro="" textlink="">
      <xdr:nvSpPr>
        <xdr:cNvPr id="88" name="TextBox 87">
          <a:extLst>
            <a:ext uri="{FF2B5EF4-FFF2-40B4-BE49-F238E27FC236}">
              <a16:creationId xmlns:a16="http://schemas.microsoft.com/office/drawing/2014/main" id="{82EE57A5-EDCA-494C-818D-4ED2D806B6BD}"/>
            </a:ext>
          </a:extLst>
        </xdr:cNvPr>
        <xdr:cNvSpPr txBox="1"/>
      </xdr:nvSpPr>
      <xdr:spPr>
        <a:xfrm>
          <a:off x="19458214" y="16494882"/>
          <a:ext cx="1035655" cy="589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accent4">
                  <a:lumMod val="50000"/>
                </a:schemeClr>
              </a:solidFill>
              <a:latin typeface="Bahnschrift Condensed" panose="020B0502040204020203" pitchFamily="34" charset="0"/>
            </a:rPr>
            <a:t>Karnataka</a:t>
          </a:r>
        </a:p>
        <a:p>
          <a:pPr algn="ctr"/>
          <a:r>
            <a:rPr lang="en-IN" sz="1600">
              <a:solidFill>
                <a:schemeClr val="accent4">
                  <a:lumMod val="50000"/>
                </a:schemeClr>
              </a:solidFill>
              <a:latin typeface="Bahnschrift Condensed" panose="020B0502040204020203" pitchFamily="34" charset="0"/>
            </a:rPr>
            <a:t>5.4%</a:t>
          </a:r>
        </a:p>
      </xdr:txBody>
    </xdr:sp>
    <xdr:clientData/>
  </xdr:twoCellAnchor>
  <xdr:twoCellAnchor>
    <xdr:from>
      <xdr:col>26</xdr:col>
      <xdr:colOff>257024</xdr:colOff>
      <xdr:row>103</xdr:row>
      <xdr:rowOff>151192</xdr:rowOff>
    </xdr:from>
    <xdr:to>
      <xdr:col>28</xdr:col>
      <xdr:colOff>294821</xdr:colOff>
      <xdr:row>107</xdr:row>
      <xdr:rowOff>75596</xdr:rowOff>
    </xdr:to>
    <xdr:sp macro="" textlink="">
      <xdr:nvSpPr>
        <xdr:cNvPr id="89" name="TextBox 88">
          <a:extLst>
            <a:ext uri="{FF2B5EF4-FFF2-40B4-BE49-F238E27FC236}">
              <a16:creationId xmlns:a16="http://schemas.microsoft.com/office/drawing/2014/main" id="{5E3448A1-7C72-4D38-93A3-4ECEA27AC4B9}"/>
            </a:ext>
          </a:extLst>
        </xdr:cNvPr>
        <xdr:cNvSpPr txBox="1"/>
      </xdr:nvSpPr>
      <xdr:spPr>
        <a:xfrm>
          <a:off x="19783274" y="17054287"/>
          <a:ext cx="1262440" cy="650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rgbClr val="FFFF00"/>
              </a:solidFill>
              <a:latin typeface="Bahnschrift Condensed" panose="020B0502040204020203" pitchFamily="34" charset="0"/>
            </a:rPr>
            <a:t>Tamil Nadu</a:t>
          </a:r>
        </a:p>
        <a:p>
          <a:pPr algn="ctr"/>
          <a:r>
            <a:rPr lang="en-IN" sz="1400">
              <a:solidFill>
                <a:srgbClr val="FFFF00"/>
              </a:solidFill>
              <a:latin typeface="Bahnschrift Condensed" panose="020B0502040204020203" pitchFamily="34" charset="0"/>
            </a:rPr>
            <a:t>6.0%</a:t>
          </a:r>
        </a:p>
      </xdr:txBody>
    </xdr:sp>
    <xdr:clientData/>
  </xdr:twoCellAnchor>
  <xdr:twoCellAnchor editAs="oneCell">
    <xdr:from>
      <xdr:col>0</xdr:col>
      <xdr:colOff>105832</xdr:colOff>
      <xdr:row>1</xdr:row>
      <xdr:rowOff>151190</xdr:rowOff>
    </xdr:from>
    <xdr:to>
      <xdr:col>2</xdr:col>
      <xdr:colOff>514048</xdr:colOff>
      <xdr:row>7</xdr:row>
      <xdr:rowOff>22679</xdr:rowOff>
    </xdr:to>
    <xdr:pic>
      <xdr:nvPicPr>
        <xdr:cNvPr id="4" name="Picture 3">
          <a:extLst>
            <a:ext uri="{FF2B5EF4-FFF2-40B4-BE49-F238E27FC236}">
              <a16:creationId xmlns:a16="http://schemas.microsoft.com/office/drawing/2014/main" id="{81B667B1-4822-419E-865D-5D8EFCA087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832" y="332619"/>
          <a:ext cx="2849942" cy="960060"/>
        </a:xfrm>
        <a:prstGeom prst="rect">
          <a:avLst/>
        </a:prstGeom>
      </xdr:spPr>
    </xdr:pic>
    <xdr:clientData/>
  </xdr:twoCellAnchor>
  <xdr:twoCellAnchor>
    <xdr:from>
      <xdr:col>3</xdr:col>
      <xdr:colOff>7560</xdr:colOff>
      <xdr:row>0</xdr:row>
      <xdr:rowOff>1</xdr:rowOff>
    </xdr:from>
    <xdr:to>
      <xdr:col>13</xdr:col>
      <xdr:colOff>952500</xdr:colOff>
      <xdr:row>11</xdr:row>
      <xdr:rowOff>166311</xdr:rowOff>
    </xdr:to>
    <xdr:graphicFrame macro="">
      <xdr:nvGraphicFramePr>
        <xdr:cNvPr id="30" name="Chart 29">
          <a:extLst>
            <a:ext uri="{FF2B5EF4-FFF2-40B4-BE49-F238E27FC236}">
              <a16:creationId xmlns:a16="http://schemas.microsoft.com/office/drawing/2014/main" id="{E4B2CFC4-9BC4-4D0F-A036-92713335B7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1081012</xdr:colOff>
      <xdr:row>7</xdr:row>
      <xdr:rowOff>151189</xdr:rowOff>
    </xdr:from>
    <xdr:to>
      <xdr:col>1</xdr:col>
      <xdr:colOff>1920119</xdr:colOff>
      <xdr:row>8</xdr:row>
      <xdr:rowOff>181427</xdr:rowOff>
    </xdr:to>
    <xdr:sp macro="" textlink="">
      <xdr:nvSpPr>
        <xdr:cNvPr id="5" name="TextBox 4">
          <a:extLst>
            <a:ext uri="{FF2B5EF4-FFF2-40B4-BE49-F238E27FC236}">
              <a16:creationId xmlns:a16="http://schemas.microsoft.com/office/drawing/2014/main" id="{FEE3DFCB-784C-4B2E-8D15-70E9E4A619DD}"/>
            </a:ext>
          </a:extLst>
        </xdr:cNvPr>
        <xdr:cNvSpPr txBox="1"/>
      </xdr:nvSpPr>
      <xdr:spPr>
        <a:xfrm>
          <a:off x="1209524" y="1421189"/>
          <a:ext cx="839107"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Narrow" panose="020B0606020202030204" pitchFamily="34" charset="0"/>
            </a:rPr>
            <a:t>Stock Price</a:t>
          </a:r>
        </a:p>
      </xdr:txBody>
    </xdr:sp>
    <xdr:clientData/>
  </xdr:twoCellAnchor>
  <xdr:twoCellAnchor>
    <xdr:from>
      <xdr:col>1</xdr:col>
      <xdr:colOff>1126370</xdr:colOff>
      <xdr:row>8</xdr:row>
      <xdr:rowOff>151190</xdr:rowOff>
    </xdr:from>
    <xdr:to>
      <xdr:col>1</xdr:col>
      <xdr:colOff>1852084</xdr:colOff>
      <xdr:row>10</xdr:row>
      <xdr:rowOff>0</xdr:rowOff>
    </xdr:to>
    <xdr:sp macro="" textlink="">
      <xdr:nvSpPr>
        <xdr:cNvPr id="27" name="TextBox 26">
          <a:extLst>
            <a:ext uri="{FF2B5EF4-FFF2-40B4-BE49-F238E27FC236}">
              <a16:creationId xmlns:a16="http://schemas.microsoft.com/office/drawing/2014/main" id="{FAD08381-0089-4B60-BE27-335A25C4DB92}"/>
            </a:ext>
          </a:extLst>
        </xdr:cNvPr>
        <xdr:cNvSpPr txBox="1"/>
      </xdr:nvSpPr>
      <xdr:spPr>
        <a:xfrm>
          <a:off x="1254882" y="1602619"/>
          <a:ext cx="725714" cy="21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100">
              <a:solidFill>
                <a:schemeClr val="dk1"/>
              </a:solidFill>
              <a:latin typeface="Arial Narrow" panose="020B0606020202030204" pitchFamily="34" charset="0"/>
              <a:ea typeface="+mn-ea"/>
              <a:cs typeface="+mn-cs"/>
            </a:rPr>
            <a:t>Nifty 50</a:t>
          </a:r>
        </a:p>
      </xdr:txBody>
    </xdr:sp>
    <xdr:clientData/>
  </xdr:twoCellAnchor>
  <xdr:twoCellAnchor editAs="oneCell">
    <xdr:from>
      <xdr:col>24</xdr:col>
      <xdr:colOff>3894</xdr:colOff>
      <xdr:row>0</xdr:row>
      <xdr:rowOff>0</xdr:rowOff>
    </xdr:from>
    <xdr:to>
      <xdr:col>25</xdr:col>
      <xdr:colOff>234344</xdr:colOff>
      <xdr:row>12</xdr:row>
      <xdr:rowOff>1353</xdr:rowOff>
    </xdr:to>
    <xdr:pic>
      <xdr:nvPicPr>
        <xdr:cNvPr id="29" name="Picture 28">
          <a:extLst>
            <a:ext uri="{FF2B5EF4-FFF2-40B4-BE49-F238E27FC236}">
              <a16:creationId xmlns:a16="http://schemas.microsoft.com/office/drawing/2014/main" id="{3A0BEBB6-FF39-4C52-9B09-B31AAE40811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7421037" y="0"/>
          <a:ext cx="2566343" cy="2177142"/>
        </a:xfrm>
        <a:prstGeom prst="rect">
          <a:avLst/>
        </a:prstGeom>
      </xdr:spPr>
    </xdr:pic>
    <xdr:clientData/>
  </xdr:twoCellAnchor>
  <xdr:twoCellAnchor editAs="oneCell">
    <xdr:from>
      <xdr:col>29</xdr:col>
      <xdr:colOff>68036</xdr:colOff>
      <xdr:row>0</xdr:row>
      <xdr:rowOff>0</xdr:rowOff>
    </xdr:from>
    <xdr:to>
      <xdr:col>33</xdr:col>
      <xdr:colOff>1511</xdr:colOff>
      <xdr:row>11</xdr:row>
      <xdr:rowOff>166310</xdr:rowOff>
    </xdr:to>
    <xdr:pic>
      <xdr:nvPicPr>
        <xdr:cNvPr id="34" name="Picture 33">
          <a:extLst>
            <a:ext uri="{FF2B5EF4-FFF2-40B4-BE49-F238E27FC236}">
              <a16:creationId xmlns:a16="http://schemas.microsoft.com/office/drawing/2014/main" id="{DA2732BF-7C97-43DD-AB54-1238BEE54FF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2270357" y="0"/>
          <a:ext cx="2373690" cy="2162024"/>
        </a:xfrm>
        <a:prstGeom prst="rect">
          <a:avLst/>
        </a:prstGeom>
      </xdr:spPr>
    </xdr:pic>
    <xdr:clientData/>
  </xdr:twoCellAnchor>
  <xdr:twoCellAnchor editAs="oneCell">
    <xdr:from>
      <xdr:col>25</xdr:col>
      <xdr:colOff>219227</xdr:colOff>
      <xdr:row>0</xdr:row>
      <xdr:rowOff>0</xdr:rowOff>
    </xdr:from>
    <xdr:to>
      <xdr:col>29</xdr:col>
      <xdr:colOff>68036</xdr:colOff>
      <xdr:row>11</xdr:row>
      <xdr:rowOff>166309</xdr:rowOff>
    </xdr:to>
    <xdr:pic>
      <xdr:nvPicPr>
        <xdr:cNvPr id="37" name="Picture 36">
          <a:extLst>
            <a:ext uri="{FF2B5EF4-FFF2-40B4-BE49-F238E27FC236}">
              <a16:creationId xmlns:a16="http://schemas.microsoft.com/office/drawing/2014/main" id="{3CCAEB0F-CDF4-491B-A1F4-20695E630B0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972263" y="0"/>
          <a:ext cx="2298094" cy="2162023"/>
        </a:xfrm>
        <a:prstGeom prst="rect">
          <a:avLst/>
        </a:prstGeom>
      </xdr:spPr>
    </xdr:pic>
    <xdr:clientData/>
  </xdr:twoCellAnchor>
  <xdr:twoCellAnchor>
    <xdr:from>
      <xdr:col>0</xdr:col>
      <xdr:colOff>83154</xdr:colOff>
      <xdr:row>15</xdr:row>
      <xdr:rowOff>113392</xdr:rowOff>
    </xdr:from>
    <xdr:to>
      <xdr:col>13</xdr:col>
      <xdr:colOff>929821</xdr:colOff>
      <xdr:row>29</xdr:row>
      <xdr:rowOff>158750</xdr:rowOff>
    </xdr:to>
    <xdr:graphicFrame macro="">
      <xdr:nvGraphicFramePr>
        <xdr:cNvPr id="39" name="Chart 38">
          <a:extLst>
            <a:ext uri="{FF2B5EF4-FFF2-40B4-BE49-F238E27FC236}">
              <a16:creationId xmlns:a16="http://schemas.microsoft.com/office/drawing/2014/main" id="{6408EFC0-54EF-43D1-8150-07905CD32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1534582</xdr:colOff>
      <xdr:row>29</xdr:row>
      <xdr:rowOff>120951</xdr:rowOff>
    </xdr:from>
    <xdr:to>
      <xdr:col>1</xdr:col>
      <xdr:colOff>2282975</xdr:colOff>
      <xdr:row>30</xdr:row>
      <xdr:rowOff>188989</xdr:rowOff>
    </xdr:to>
    <xdr:sp macro="" textlink="">
      <xdr:nvSpPr>
        <xdr:cNvPr id="6" name="TextBox 5">
          <a:extLst>
            <a:ext uri="{FF2B5EF4-FFF2-40B4-BE49-F238E27FC236}">
              <a16:creationId xmlns:a16="http://schemas.microsoft.com/office/drawing/2014/main" id="{8DF32CFB-2EF9-4970-8522-C2B096FC2E2D}"/>
            </a:ext>
          </a:extLst>
        </xdr:cNvPr>
        <xdr:cNvSpPr txBox="1"/>
      </xdr:nvSpPr>
      <xdr:spPr>
        <a:xfrm>
          <a:off x="1663094" y="5457975"/>
          <a:ext cx="748393" cy="24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accent5">
                  <a:lumMod val="20000"/>
                  <a:lumOff val="80000"/>
                </a:schemeClr>
              </a:solidFill>
              <a:latin typeface="Bahnschrift Light" panose="020B0502040204020203" pitchFamily="34" charset="0"/>
            </a:rPr>
            <a:t>DROP</a:t>
          </a:r>
        </a:p>
      </xdr:txBody>
    </xdr:sp>
    <xdr:clientData/>
  </xdr:twoCellAnchor>
  <xdr:twoCellAnchor>
    <xdr:from>
      <xdr:col>1</xdr:col>
      <xdr:colOff>2109105</xdr:colOff>
      <xdr:row>30</xdr:row>
      <xdr:rowOff>7558</xdr:rowOff>
    </xdr:from>
    <xdr:to>
      <xdr:col>6</xdr:col>
      <xdr:colOff>211665</xdr:colOff>
      <xdr:row>30</xdr:row>
      <xdr:rowOff>196547</xdr:rowOff>
    </xdr:to>
    <xdr:sp macro="" textlink="">
      <xdr:nvSpPr>
        <xdr:cNvPr id="8" name="Arrow: Right 7">
          <a:extLst>
            <a:ext uri="{FF2B5EF4-FFF2-40B4-BE49-F238E27FC236}">
              <a16:creationId xmlns:a16="http://schemas.microsoft.com/office/drawing/2014/main" id="{E3DE6470-BB63-4526-BDBE-8AB0818F1850}"/>
            </a:ext>
          </a:extLst>
        </xdr:cNvPr>
        <xdr:cNvSpPr/>
      </xdr:nvSpPr>
      <xdr:spPr>
        <a:xfrm>
          <a:off x="2237617" y="5526010"/>
          <a:ext cx="2910417" cy="188989"/>
        </a:xfrm>
        <a:prstGeom prst="rightArrow">
          <a:avLst/>
        </a:prstGeom>
        <a:blipFill>
          <a:blip xmlns:r="http://schemas.openxmlformats.org/officeDocument/2006/relationships" r:embed="rId13"/>
          <a:tile tx="0" ty="0" sx="100000" sy="100000" flip="none" algn="tl"/>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861785</xdr:colOff>
      <xdr:row>12</xdr:row>
      <xdr:rowOff>16282</xdr:rowOff>
    </xdr:from>
    <xdr:to>
      <xdr:col>13</xdr:col>
      <xdr:colOff>951894</xdr:colOff>
      <xdr:row>13</xdr:row>
      <xdr:rowOff>231322</xdr:rowOff>
    </xdr:to>
    <mc:AlternateContent xmlns:mc="http://schemas.openxmlformats.org/markup-compatibility/2006" xmlns:a14="http://schemas.microsoft.com/office/drawing/2010/main">
      <mc:Choice Requires="a14">
        <xdr:graphicFrame macro="">
          <xdr:nvGraphicFramePr>
            <xdr:cNvPr id="40" name="Years 1">
              <a:extLst>
                <a:ext uri="{FF2B5EF4-FFF2-40B4-BE49-F238E27FC236}">
                  <a16:creationId xmlns:a16="http://schemas.microsoft.com/office/drawing/2014/main" id="{D0DC1B84-ABAC-44A9-BF27-ECD58142E76B}"/>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8859761" y="2177143"/>
              <a:ext cx="1828800" cy="41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944939</xdr:colOff>
      <xdr:row>0</xdr:row>
      <xdr:rowOff>0</xdr:rowOff>
    </xdr:from>
    <xdr:to>
      <xdr:col>23</xdr:col>
      <xdr:colOff>589643</xdr:colOff>
      <xdr:row>12</xdr:row>
      <xdr:rowOff>128511</xdr:rowOff>
    </xdr:to>
    <xdr:graphicFrame macro="">
      <xdr:nvGraphicFramePr>
        <xdr:cNvPr id="41" name="Chart 40">
          <a:extLst>
            <a:ext uri="{FF2B5EF4-FFF2-40B4-BE49-F238E27FC236}">
              <a16:creationId xmlns:a16="http://schemas.microsoft.com/office/drawing/2014/main" id="{4EA6133A-28AB-45FE-BF40-7BBEC2655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583686</xdr:colOff>
      <xdr:row>13</xdr:row>
      <xdr:rowOff>237323</xdr:rowOff>
    </xdr:from>
    <xdr:to>
      <xdr:col>24</xdr:col>
      <xdr:colOff>185368</xdr:colOff>
      <xdr:row>29</xdr:row>
      <xdr:rowOff>120843</xdr:rowOff>
    </xdr:to>
    <xdr:graphicFrame macro="">
      <xdr:nvGraphicFramePr>
        <xdr:cNvPr id="44" name="Chart 43">
          <a:extLst>
            <a:ext uri="{FF2B5EF4-FFF2-40B4-BE49-F238E27FC236}">
              <a16:creationId xmlns:a16="http://schemas.microsoft.com/office/drawing/2014/main" id="{80DAEF5B-FF8C-43EE-98FA-027EDC6B5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447016</xdr:colOff>
      <xdr:row>54</xdr:row>
      <xdr:rowOff>26644</xdr:rowOff>
    </xdr:from>
    <xdr:to>
      <xdr:col>23</xdr:col>
      <xdr:colOff>581954</xdr:colOff>
      <xdr:row>61</xdr:row>
      <xdr:rowOff>85605</xdr:rowOff>
    </xdr:to>
    <xdr:sp macro="" textlink="">
      <xdr:nvSpPr>
        <xdr:cNvPr id="48" name="Rectangle: Rounded Corners 47">
          <a:extLst>
            <a:ext uri="{FF2B5EF4-FFF2-40B4-BE49-F238E27FC236}">
              <a16:creationId xmlns:a16="http://schemas.microsoft.com/office/drawing/2014/main" id="{4EFA0F17-9A33-4322-BFAA-4EB959E9887E}"/>
            </a:ext>
          </a:extLst>
        </xdr:cNvPr>
        <xdr:cNvSpPr/>
      </xdr:nvSpPr>
      <xdr:spPr>
        <a:xfrm>
          <a:off x="16322016" y="10121516"/>
          <a:ext cx="1356092" cy="1369666"/>
        </a:xfrm>
        <a:prstGeom prst="roundRect">
          <a:avLst/>
        </a:prstGeom>
        <a:no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94239</xdr:colOff>
      <xdr:row>54</xdr:row>
      <xdr:rowOff>81410</xdr:rowOff>
    </xdr:from>
    <xdr:to>
      <xdr:col>23</xdr:col>
      <xdr:colOff>459845</xdr:colOff>
      <xdr:row>55</xdr:row>
      <xdr:rowOff>132723</xdr:rowOff>
    </xdr:to>
    <xdr:sp macro="" textlink="">
      <xdr:nvSpPr>
        <xdr:cNvPr id="49" name="TextBox 48">
          <a:extLst>
            <a:ext uri="{FF2B5EF4-FFF2-40B4-BE49-F238E27FC236}">
              <a16:creationId xmlns:a16="http://schemas.microsoft.com/office/drawing/2014/main" id="{EAEA58B3-57AC-4EFA-B4E8-0E846928125B}"/>
            </a:ext>
          </a:extLst>
        </xdr:cNvPr>
        <xdr:cNvSpPr txBox="1"/>
      </xdr:nvSpPr>
      <xdr:spPr>
        <a:xfrm>
          <a:off x="16579816" y="10176282"/>
          <a:ext cx="976183" cy="2385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00B0F0"/>
              </a:solidFill>
              <a:latin typeface="Bahnschrift Light" panose="020B0502040204020203" pitchFamily="34" charset="0"/>
            </a:rPr>
            <a:t>Credit</a:t>
          </a:r>
          <a:r>
            <a:rPr lang="en-IN" sz="1100" baseline="0">
              <a:solidFill>
                <a:srgbClr val="00B0F0"/>
              </a:solidFill>
              <a:latin typeface="Bahnschrift Light" panose="020B0502040204020203" pitchFamily="34" charset="0"/>
            </a:rPr>
            <a:t> Cost</a:t>
          </a:r>
          <a:endParaRPr lang="en-IN" sz="1100">
            <a:solidFill>
              <a:srgbClr val="00B0F0"/>
            </a:solidFill>
            <a:latin typeface="Bahnschrift Light" panose="020B0502040204020203" pitchFamily="34" charset="0"/>
          </a:endParaRPr>
        </a:p>
      </xdr:txBody>
    </xdr:sp>
    <xdr:clientData/>
  </xdr:twoCellAnchor>
  <xdr:twoCellAnchor>
    <xdr:from>
      <xdr:col>21</xdr:col>
      <xdr:colOff>403350</xdr:colOff>
      <xdr:row>55</xdr:row>
      <xdr:rowOff>169727</xdr:rowOff>
    </xdr:from>
    <xdr:to>
      <xdr:col>24</xdr:col>
      <xdr:colOff>69814</xdr:colOff>
      <xdr:row>61</xdr:row>
      <xdr:rowOff>99171</xdr:rowOff>
    </xdr:to>
    <xdr:sp macro="" textlink="">
      <xdr:nvSpPr>
        <xdr:cNvPr id="50" name="TextBox 49">
          <a:extLst>
            <a:ext uri="{FF2B5EF4-FFF2-40B4-BE49-F238E27FC236}">
              <a16:creationId xmlns:a16="http://schemas.microsoft.com/office/drawing/2014/main" id="{5F4E975B-4308-4BCA-A257-7BCA628F9A2C}"/>
            </a:ext>
          </a:extLst>
        </xdr:cNvPr>
        <xdr:cNvSpPr txBox="1"/>
      </xdr:nvSpPr>
      <xdr:spPr>
        <a:xfrm>
          <a:off x="16278350" y="10451842"/>
          <a:ext cx="1498195" cy="105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Bahnschrift Light Condensed" panose="020B0502040204020203" pitchFamily="34" charset="0"/>
            </a:rPr>
            <a:t>It reflects the amount of money an NBFC must set aside to cover potential loan defaults.</a:t>
          </a:r>
        </a:p>
      </xdr:txBody>
    </xdr:sp>
    <xdr:clientData/>
  </xdr:twoCellAnchor>
  <xdr:twoCellAnchor>
    <xdr:from>
      <xdr:col>21</xdr:col>
      <xdr:colOff>404091</xdr:colOff>
      <xdr:row>35</xdr:row>
      <xdr:rowOff>51314</xdr:rowOff>
    </xdr:from>
    <xdr:to>
      <xdr:col>23</xdr:col>
      <xdr:colOff>461818</xdr:colOff>
      <xdr:row>39</xdr:row>
      <xdr:rowOff>19242</xdr:rowOff>
    </xdr:to>
    <xdr:sp macro="" textlink="">
      <xdr:nvSpPr>
        <xdr:cNvPr id="11" name="TextBox 10">
          <a:extLst>
            <a:ext uri="{FF2B5EF4-FFF2-40B4-BE49-F238E27FC236}">
              <a16:creationId xmlns:a16="http://schemas.microsoft.com/office/drawing/2014/main" id="{F11D4A2D-D8CC-48FD-B0AE-DE244AE8962D}"/>
            </a:ext>
          </a:extLst>
        </xdr:cNvPr>
        <xdr:cNvSpPr txBox="1"/>
      </xdr:nvSpPr>
      <xdr:spPr>
        <a:xfrm>
          <a:off x="16272677" y="6657880"/>
          <a:ext cx="1276414" cy="711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Bahnschrift Light Condensed" panose="020B0502040204020203" pitchFamily="34" charset="0"/>
              <a:ea typeface="+mn-ea"/>
              <a:cs typeface="+mn-cs"/>
            </a:rPr>
            <a:t>Finance Cost/Avg of last 2 yrs Borrowings.</a:t>
          </a:r>
        </a:p>
      </xdr:txBody>
    </xdr:sp>
    <xdr:clientData/>
  </xdr:twoCellAnchor>
  <xdr:twoCellAnchor>
    <xdr:from>
      <xdr:col>21</xdr:col>
      <xdr:colOff>461817</xdr:colOff>
      <xdr:row>40</xdr:row>
      <xdr:rowOff>19243</xdr:rowOff>
    </xdr:from>
    <xdr:to>
      <xdr:col>23</xdr:col>
      <xdr:colOff>455403</xdr:colOff>
      <xdr:row>45</xdr:row>
      <xdr:rowOff>6414</xdr:rowOff>
    </xdr:to>
    <xdr:sp macro="" textlink="">
      <xdr:nvSpPr>
        <xdr:cNvPr id="13" name="TextBox 12">
          <a:extLst>
            <a:ext uri="{FF2B5EF4-FFF2-40B4-BE49-F238E27FC236}">
              <a16:creationId xmlns:a16="http://schemas.microsoft.com/office/drawing/2014/main" id="{60905FD3-BCE8-47B9-B925-1225D0D26FDD}"/>
            </a:ext>
          </a:extLst>
        </xdr:cNvPr>
        <xdr:cNvSpPr txBox="1"/>
      </xdr:nvSpPr>
      <xdr:spPr>
        <a:xfrm>
          <a:off x="16330403" y="7555859"/>
          <a:ext cx="1212273" cy="872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Bahnschrift Light Condensed" panose="020B0502040204020203" pitchFamily="34" charset="0"/>
              <a:ea typeface="+mn-ea"/>
              <a:cs typeface="+mn-cs"/>
            </a:rPr>
            <a:t>Interest</a:t>
          </a:r>
          <a:r>
            <a:rPr lang="en-IN" sz="1200" baseline="0">
              <a:solidFill>
                <a:schemeClr val="dk1"/>
              </a:solidFill>
              <a:latin typeface="Bahnschrift Light Condensed" panose="020B0502040204020203" pitchFamily="34" charset="0"/>
              <a:ea typeface="+mn-ea"/>
              <a:cs typeface="+mn-cs"/>
            </a:rPr>
            <a:t> Income</a:t>
          </a:r>
          <a:r>
            <a:rPr lang="en-IN" sz="1200">
              <a:solidFill>
                <a:schemeClr val="dk1"/>
              </a:solidFill>
              <a:latin typeface="Bahnschrift Light Condensed" panose="020B0502040204020203" pitchFamily="34" charset="0"/>
              <a:ea typeface="+mn-ea"/>
              <a:cs typeface="+mn-cs"/>
            </a:rPr>
            <a:t>/Avg Loans &amp; Advances of 2 Yrs given.</a:t>
          </a:r>
        </a:p>
      </xdr:txBody>
    </xdr:sp>
    <xdr:clientData/>
  </xdr:twoCellAnchor>
  <xdr:twoCellAnchor>
    <xdr:from>
      <xdr:col>21</xdr:col>
      <xdr:colOff>513131</xdr:colOff>
      <xdr:row>33</xdr:row>
      <xdr:rowOff>25657</xdr:rowOff>
    </xdr:from>
    <xdr:to>
      <xdr:col>35</xdr:col>
      <xdr:colOff>374587</xdr:colOff>
      <xdr:row>56</xdr:row>
      <xdr:rowOff>136559</xdr:rowOff>
    </xdr:to>
    <xdr:graphicFrame macro="">
      <xdr:nvGraphicFramePr>
        <xdr:cNvPr id="51" name="Chart 50">
          <a:extLst>
            <a:ext uri="{FF2B5EF4-FFF2-40B4-BE49-F238E27FC236}">
              <a16:creationId xmlns:a16="http://schemas.microsoft.com/office/drawing/2014/main" id="{41428A92-122F-427A-B044-85A592C5B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76970</xdr:colOff>
      <xdr:row>70</xdr:row>
      <xdr:rowOff>70556</xdr:rowOff>
    </xdr:from>
    <xdr:to>
      <xdr:col>9</xdr:col>
      <xdr:colOff>403451</xdr:colOff>
      <xdr:row>87</xdr:row>
      <xdr:rowOff>127257</xdr:rowOff>
    </xdr:to>
    <xdr:graphicFrame macro="">
      <xdr:nvGraphicFramePr>
        <xdr:cNvPr id="52" name="Chart 51">
          <a:extLst>
            <a:ext uri="{FF2B5EF4-FFF2-40B4-BE49-F238E27FC236}">
              <a16:creationId xmlns:a16="http://schemas.microsoft.com/office/drawing/2014/main" id="{25AFDD33-6617-4BAA-A507-1F4B97C0C8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xdr:col>
      <xdr:colOff>474647</xdr:colOff>
      <xdr:row>70</xdr:row>
      <xdr:rowOff>70554</xdr:rowOff>
    </xdr:from>
    <xdr:to>
      <xdr:col>13</xdr:col>
      <xdr:colOff>872324</xdr:colOff>
      <xdr:row>87</xdr:row>
      <xdr:rowOff>121868</xdr:rowOff>
    </xdr:to>
    <xdr:graphicFrame macro="">
      <xdr:nvGraphicFramePr>
        <xdr:cNvPr id="53" name="Chart 52">
          <a:extLst>
            <a:ext uri="{FF2B5EF4-FFF2-40B4-BE49-F238E27FC236}">
              <a16:creationId xmlns:a16="http://schemas.microsoft.com/office/drawing/2014/main" id="{67F40F96-6FB1-4F95-94F5-C1A8C732E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64142</xdr:colOff>
      <xdr:row>87</xdr:row>
      <xdr:rowOff>186009</xdr:rowOff>
    </xdr:from>
    <xdr:to>
      <xdr:col>9</xdr:col>
      <xdr:colOff>372020</xdr:colOff>
      <xdr:row>104</xdr:row>
      <xdr:rowOff>32070</xdr:rowOff>
    </xdr:to>
    <xdr:graphicFrame macro="">
      <xdr:nvGraphicFramePr>
        <xdr:cNvPr id="54" name="Chart 53">
          <a:extLst>
            <a:ext uri="{FF2B5EF4-FFF2-40B4-BE49-F238E27FC236}">
              <a16:creationId xmlns:a16="http://schemas.microsoft.com/office/drawing/2014/main" id="{E98A8F49-14B3-42BF-AEAE-7524D09711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404090</xdr:colOff>
      <xdr:row>87</xdr:row>
      <xdr:rowOff>179597</xdr:rowOff>
    </xdr:from>
    <xdr:to>
      <xdr:col>13</xdr:col>
      <xdr:colOff>859495</xdr:colOff>
      <xdr:row>104</xdr:row>
      <xdr:rowOff>32071</xdr:rowOff>
    </xdr:to>
    <xdr:graphicFrame macro="">
      <xdr:nvGraphicFramePr>
        <xdr:cNvPr id="55" name="Chart 54">
          <a:extLst>
            <a:ext uri="{FF2B5EF4-FFF2-40B4-BE49-F238E27FC236}">
              <a16:creationId xmlns:a16="http://schemas.microsoft.com/office/drawing/2014/main" id="{263B0CA2-85C1-4107-BAA3-E3F751D91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45144</xdr:colOff>
      <xdr:row>124</xdr:row>
      <xdr:rowOff>18749</xdr:rowOff>
    </xdr:from>
    <xdr:to>
      <xdr:col>7</xdr:col>
      <xdr:colOff>265199</xdr:colOff>
      <xdr:row>138</xdr:row>
      <xdr:rowOff>159041</xdr:rowOff>
    </xdr:to>
    <xdr:graphicFrame macro="">
      <xdr:nvGraphicFramePr>
        <xdr:cNvPr id="57" name="Chart 56">
          <a:extLst>
            <a:ext uri="{FF2B5EF4-FFF2-40B4-BE49-F238E27FC236}">
              <a16:creationId xmlns:a16="http://schemas.microsoft.com/office/drawing/2014/main" id="{F25315C4-E9DB-48C0-9DBF-4658CF718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57727</xdr:colOff>
      <xdr:row>70</xdr:row>
      <xdr:rowOff>89797</xdr:rowOff>
    </xdr:from>
    <xdr:to>
      <xdr:col>23</xdr:col>
      <xdr:colOff>487475</xdr:colOff>
      <xdr:row>101</xdr:row>
      <xdr:rowOff>134697</xdr:rowOff>
    </xdr:to>
    <xdr:graphicFrame macro="">
      <xdr:nvGraphicFramePr>
        <xdr:cNvPr id="58" name="Chart 57">
          <a:extLst>
            <a:ext uri="{FF2B5EF4-FFF2-40B4-BE49-F238E27FC236}">
              <a16:creationId xmlns:a16="http://schemas.microsoft.com/office/drawing/2014/main" id="{A50D2925-1AEB-4D93-9269-032E752AC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32</xdr:col>
      <xdr:colOff>64142</xdr:colOff>
      <xdr:row>33</xdr:row>
      <xdr:rowOff>70554</xdr:rowOff>
    </xdr:from>
    <xdr:to>
      <xdr:col>43</xdr:col>
      <xdr:colOff>50031</xdr:colOff>
      <xdr:row>65</xdr:row>
      <xdr:rowOff>170961</xdr:rowOff>
    </xdr:to>
    <xdr:graphicFrame macro="">
      <xdr:nvGraphicFramePr>
        <xdr:cNvPr id="59" name="Chart 58">
          <a:extLst>
            <a:ext uri="{FF2B5EF4-FFF2-40B4-BE49-F238E27FC236}">
              <a16:creationId xmlns:a16="http://schemas.microsoft.com/office/drawing/2014/main" id="{C5D1E0DB-3C6C-4AC3-A111-01DA5E13A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33</xdr:col>
      <xdr:colOff>18954</xdr:colOff>
      <xdr:row>12</xdr:row>
      <xdr:rowOff>8141</xdr:rowOff>
    </xdr:from>
    <xdr:to>
      <xdr:col>47</xdr:col>
      <xdr:colOff>447757</xdr:colOff>
      <xdr:row>29</xdr:row>
      <xdr:rowOff>179103</xdr:rowOff>
    </xdr:to>
    <xdr:pic>
      <xdr:nvPicPr>
        <xdr:cNvPr id="28" name="Picture 27">
          <a:extLst>
            <a:ext uri="{FF2B5EF4-FFF2-40B4-BE49-F238E27FC236}">
              <a16:creationId xmlns:a16="http://schemas.microsoft.com/office/drawing/2014/main" id="{F2ABA89F-4ABD-45AE-B7A2-BBCB442E7A9A}"/>
            </a:ext>
          </a:extLst>
        </xdr:cNvPr>
        <xdr:cNvPicPr>
          <a:picLocks noChangeAspect="1"/>
        </xdr:cNvPicPr>
      </xdr:nvPicPr>
      <xdr:blipFill>
        <a:blip xmlns:r="http://schemas.openxmlformats.org/officeDocument/2006/relationships" r:embed="rId24"/>
        <a:stretch>
          <a:fillRect/>
        </a:stretch>
      </xdr:blipFill>
      <xdr:spPr>
        <a:xfrm>
          <a:off x="24946775" y="2255064"/>
          <a:ext cx="8976879" cy="3427372"/>
        </a:xfrm>
        <a:prstGeom prst="rect">
          <a:avLst/>
        </a:prstGeom>
      </xdr:spPr>
    </xdr:pic>
    <xdr:clientData/>
  </xdr:twoCellAnchor>
  <xdr:twoCellAnchor editAs="oneCell">
    <xdr:from>
      <xdr:col>48</xdr:col>
      <xdr:colOff>32565</xdr:colOff>
      <xdr:row>12</xdr:row>
      <xdr:rowOff>8141</xdr:rowOff>
    </xdr:from>
    <xdr:to>
      <xdr:col>61</xdr:col>
      <xdr:colOff>1</xdr:colOff>
      <xdr:row>29</xdr:row>
      <xdr:rowOff>170962</xdr:rowOff>
    </xdr:to>
    <xdr:pic>
      <xdr:nvPicPr>
        <xdr:cNvPr id="32" name="Picture 31">
          <a:extLst>
            <a:ext uri="{FF2B5EF4-FFF2-40B4-BE49-F238E27FC236}">
              <a16:creationId xmlns:a16="http://schemas.microsoft.com/office/drawing/2014/main" id="{D851B712-AA44-4178-A18E-9D115C3EDB4F}"/>
            </a:ext>
          </a:extLst>
        </xdr:cNvPr>
        <xdr:cNvPicPr>
          <a:picLocks noChangeAspect="1"/>
        </xdr:cNvPicPr>
      </xdr:nvPicPr>
      <xdr:blipFill>
        <a:blip xmlns:r="http://schemas.openxmlformats.org/officeDocument/2006/relationships" r:embed="rId25"/>
        <a:stretch>
          <a:fillRect/>
        </a:stretch>
      </xdr:blipFill>
      <xdr:spPr>
        <a:xfrm>
          <a:off x="34119039" y="2255064"/>
          <a:ext cx="7904936" cy="3419231"/>
        </a:xfrm>
        <a:prstGeom prst="rect">
          <a:avLst/>
        </a:prstGeom>
        <a:ln>
          <a:solidFill>
            <a:schemeClr val="accent5"/>
          </a:solidFill>
        </a:ln>
      </xdr:spPr>
    </xdr:pic>
    <xdr:clientData/>
  </xdr:twoCellAnchor>
  <xdr:twoCellAnchor editAs="oneCell">
    <xdr:from>
      <xdr:col>43</xdr:col>
      <xdr:colOff>350065</xdr:colOff>
      <xdr:row>33</xdr:row>
      <xdr:rowOff>113974</xdr:rowOff>
    </xdr:from>
    <xdr:to>
      <xdr:col>60</xdr:col>
      <xdr:colOff>594296</xdr:colOff>
      <xdr:row>65</xdr:row>
      <xdr:rowOff>130258</xdr:rowOff>
    </xdr:to>
    <xdr:pic>
      <xdr:nvPicPr>
        <xdr:cNvPr id="35" name="Picture 34">
          <a:extLst>
            <a:ext uri="{FF2B5EF4-FFF2-40B4-BE49-F238E27FC236}">
              <a16:creationId xmlns:a16="http://schemas.microsoft.com/office/drawing/2014/main" id="{88799C57-5F31-4E46-A660-55024E79415E}"/>
            </a:ext>
          </a:extLst>
        </xdr:cNvPr>
        <xdr:cNvPicPr>
          <a:picLocks noChangeAspect="1"/>
        </xdr:cNvPicPr>
      </xdr:nvPicPr>
      <xdr:blipFill>
        <a:blip xmlns:r="http://schemas.openxmlformats.org/officeDocument/2006/relationships" r:embed="rId26"/>
        <a:stretch>
          <a:fillRect/>
        </a:stretch>
      </xdr:blipFill>
      <xdr:spPr>
        <a:xfrm>
          <a:off x="31383655" y="6374423"/>
          <a:ext cx="10624038" cy="5910386"/>
        </a:xfrm>
        <a:prstGeom prst="rect">
          <a:avLst/>
        </a:prstGeom>
        <a:ln>
          <a:solidFill>
            <a:schemeClr val="accent5">
              <a:lumMod val="50000"/>
            </a:schemeClr>
          </a:solidFill>
        </a:ln>
      </xdr:spPr>
    </xdr:pic>
    <xdr:clientData/>
  </xdr:twoCellAnchor>
  <xdr:twoCellAnchor>
    <xdr:from>
      <xdr:col>7</xdr:col>
      <xdr:colOff>162821</xdr:colOff>
      <xdr:row>12</xdr:row>
      <xdr:rowOff>16282</xdr:rowOff>
    </xdr:from>
    <xdr:to>
      <xdr:col>11</xdr:col>
      <xdr:colOff>521026</xdr:colOff>
      <xdr:row>13</xdr:row>
      <xdr:rowOff>227948</xdr:rowOff>
    </xdr:to>
    <xdr:sp macro="" textlink="">
      <xdr:nvSpPr>
        <xdr:cNvPr id="38" name="Rectangle: Rounded Corners 37">
          <a:extLst>
            <a:ext uri="{FF2B5EF4-FFF2-40B4-BE49-F238E27FC236}">
              <a16:creationId xmlns:a16="http://schemas.microsoft.com/office/drawing/2014/main" id="{C6388149-E2E3-46FA-87F2-2DB075059B7F}"/>
            </a:ext>
          </a:extLst>
        </xdr:cNvPr>
        <xdr:cNvSpPr/>
      </xdr:nvSpPr>
      <xdr:spPr>
        <a:xfrm>
          <a:off x="5698718" y="2263205"/>
          <a:ext cx="2800513" cy="398910"/>
        </a:xfrm>
        <a:prstGeom prst="roundRect">
          <a:avLst/>
        </a:prstGeom>
        <a:noFill/>
        <a:ln>
          <a:solidFill>
            <a:schemeClr val="accent5">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244231</xdr:colOff>
      <xdr:row>11</xdr:row>
      <xdr:rowOff>138399</xdr:rowOff>
    </xdr:from>
    <xdr:to>
      <xdr:col>11</xdr:col>
      <xdr:colOff>488462</xdr:colOff>
      <xdr:row>14</xdr:row>
      <xdr:rowOff>81411</xdr:rowOff>
    </xdr:to>
    <xdr:sp macro="" textlink="">
      <xdr:nvSpPr>
        <xdr:cNvPr id="42" name="TextBox 41">
          <a:extLst>
            <a:ext uri="{FF2B5EF4-FFF2-40B4-BE49-F238E27FC236}">
              <a16:creationId xmlns:a16="http://schemas.microsoft.com/office/drawing/2014/main" id="{14066B7E-16A4-4C3E-9C24-30E5B615996B}"/>
            </a:ext>
          </a:extLst>
        </xdr:cNvPr>
        <xdr:cNvSpPr txBox="1"/>
      </xdr:nvSpPr>
      <xdr:spPr>
        <a:xfrm>
          <a:off x="5780128" y="2198078"/>
          <a:ext cx="2686539" cy="5780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1100">
              <a:solidFill>
                <a:schemeClr val="bg1">
                  <a:lumMod val="50000"/>
                </a:schemeClr>
              </a:solidFill>
              <a:latin typeface="Bahnschrift Light" panose="020B0502040204020203" pitchFamily="34" charset="0"/>
            </a:rPr>
            <a:t>AUM-16143 Crs</a:t>
          </a:r>
        </a:p>
        <a:p>
          <a:r>
            <a:rPr lang="en-IN" sz="1100">
              <a:solidFill>
                <a:schemeClr val="accent1"/>
              </a:solidFill>
              <a:latin typeface="Bahnschrift Light" panose="020B0502040204020203" pitchFamily="34" charset="0"/>
            </a:rPr>
            <a:t>Secured:7989.68       </a:t>
          </a:r>
          <a:r>
            <a:rPr kumimoji="0" lang="en-IN" sz="1100" b="0" i="0" u="none" strike="noStrike" kern="0" cap="none" spc="0" normalizeH="0" baseline="0" noProof="0">
              <a:ln>
                <a:noFill/>
              </a:ln>
              <a:solidFill>
                <a:schemeClr val="accent6"/>
              </a:solidFill>
              <a:effectLst/>
              <a:uLnTx/>
              <a:uFillTx/>
              <a:latin typeface="Bahnschrift Light" panose="020B0502040204020203" pitchFamily="34" charset="0"/>
              <a:ea typeface="+mn-ea"/>
              <a:cs typeface="+mn-cs"/>
            </a:rPr>
            <a:t>Unsecured:8153.32</a:t>
          </a:r>
          <a:r>
            <a:rPr lang="en-IN" sz="1100">
              <a:solidFill>
                <a:schemeClr val="accent6"/>
              </a:solidFill>
              <a:latin typeface="Bahnschrift Light" panose="020B0502040204020203" pitchFamily="34" charset="0"/>
            </a:rPr>
            <a:t>     </a:t>
          </a:r>
          <a:r>
            <a:rPr lang="en-IN" sz="1100">
              <a:latin typeface="Bahnschrift Light" panose="020B0502040204020203" pitchFamily="34" charset="0"/>
            </a:rPr>
            <a:t>	</a:t>
          </a:r>
        </a:p>
      </xdr:txBody>
    </xdr:sp>
    <xdr:clientData/>
  </xdr:twoCellAnchor>
  <xdr:twoCellAnchor>
    <xdr:from>
      <xdr:col>7</xdr:col>
      <xdr:colOff>309360</xdr:colOff>
      <xdr:row>124</xdr:row>
      <xdr:rowOff>0</xdr:rowOff>
    </xdr:from>
    <xdr:to>
      <xdr:col>13</xdr:col>
      <xdr:colOff>887371</xdr:colOff>
      <xdr:row>138</xdr:row>
      <xdr:rowOff>154679</xdr:rowOff>
    </xdr:to>
    <xdr:graphicFrame macro="">
      <xdr:nvGraphicFramePr>
        <xdr:cNvPr id="64" name="Chart 63">
          <a:extLst>
            <a:ext uri="{FF2B5EF4-FFF2-40B4-BE49-F238E27FC236}">
              <a16:creationId xmlns:a16="http://schemas.microsoft.com/office/drawing/2014/main" id="{52052952-F6EB-4F33-9D65-7427D74C3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xdr:col>
      <xdr:colOff>48847</xdr:colOff>
      <xdr:row>105</xdr:row>
      <xdr:rowOff>0</xdr:rowOff>
    </xdr:from>
    <xdr:to>
      <xdr:col>8</xdr:col>
      <xdr:colOff>488463</xdr:colOff>
      <xdr:row>123</xdr:row>
      <xdr:rowOff>105833</xdr:rowOff>
    </xdr:to>
    <xdr:graphicFrame macro="">
      <xdr:nvGraphicFramePr>
        <xdr:cNvPr id="65" name="Chart 64">
          <a:extLst>
            <a:ext uri="{FF2B5EF4-FFF2-40B4-BE49-F238E27FC236}">
              <a16:creationId xmlns:a16="http://schemas.microsoft.com/office/drawing/2014/main" id="{FAF0EFA4-5E2F-4FFD-A31B-D2428B08D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9</xdr:col>
      <xdr:colOff>0</xdr:colOff>
      <xdr:row>105</xdr:row>
      <xdr:rowOff>0</xdr:rowOff>
    </xdr:from>
    <xdr:to>
      <xdr:col>13</xdr:col>
      <xdr:colOff>862948</xdr:colOff>
      <xdr:row>123</xdr:row>
      <xdr:rowOff>105833</xdr:rowOff>
    </xdr:to>
    <xdr:graphicFrame macro="">
      <xdr:nvGraphicFramePr>
        <xdr:cNvPr id="66" name="Chart 65">
          <a:extLst>
            <a:ext uri="{FF2B5EF4-FFF2-40B4-BE49-F238E27FC236}">
              <a16:creationId xmlns:a16="http://schemas.microsoft.com/office/drawing/2014/main" id="{BC98B426-3A5F-48F8-853B-BCDF6B445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38</xdr:col>
      <xdr:colOff>0</xdr:colOff>
      <xdr:row>70</xdr:row>
      <xdr:rowOff>89550</xdr:rowOff>
    </xdr:from>
    <xdr:to>
      <xdr:col>54</xdr:col>
      <xdr:colOff>537309</xdr:colOff>
      <xdr:row>105</xdr:row>
      <xdr:rowOff>48847</xdr:rowOff>
    </xdr:to>
    <xdr:graphicFrame macro="">
      <xdr:nvGraphicFramePr>
        <xdr:cNvPr id="67" name="Chart 66">
          <a:extLst>
            <a:ext uri="{FF2B5EF4-FFF2-40B4-BE49-F238E27FC236}">
              <a16:creationId xmlns:a16="http://schemas.microsoft.com/office/drawing/2014/main" id="{F52BBF08-B59D-4853-B1EA-C0EAADA95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22</xdr:col>
      <xdr:colOff>24423</xdr:colOff>
      <xdr:row>77</xdr:row>
      <xdr:rowOff>146539</xdr:rowOff>
    </xdr:from>
    <xdr:to>
      <xdr:col>23</xdr:col>
      <xdr:colOff>504743</xdr:colOff>
      <xdr:row>87</xdr:row>
      <xdr:rowOff>146539</xdr:rowOff>
    </xdr:to>
    <xdr:sp macro="" textlink="">
      <xdr:nvSpPr>
        <xdr:cNvPr id="43" name="Oval 42">
          <a:extLst>
            <a:ext uri="{FF2B5EF4-FFF2-40B4-BE49-F238E27FC236}">
              <a16:creationId xmlns:a16="http://schemas.microsoft.com/office/drawing/2014/main" id="{4BE0E14F-0B07-46A6-96C0-569F7F8CBD79}"/>
            </a:ext>
          </a:extLst>
        </xdr:cNvPr>
        <xdr:cNvSpPr/>
      </xdr:nvSpPr>
      <xdr:spPr>
        <a:xfrm>
          <a:off x="16510000" y="14401475"/>
          <a:ext cx="1090897" cy="1872436"/>
        </a:xfrm>
        <a:prstGeom prst="ellipse">
          <a:avLst/>
        </a:prstGeom>
        <a:noFill/>
        <a:ln>
          <a:solidFill>
            <a:schemeClr val="accent5">
              <a:lumMod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24</xdr:col>
      <xdr:colOff>455897</xdr:colOff>
      <xdr:row>81</xdr:row>
      <xdr:rowOff>105834</xdr:rowOff>
    </xdr:from>
    <xdr:ext cx="184731" cy="264560"/>
    <xdr:sp macro="" textlink="">
      <xdr:nvSpPr>
        <xdr:cNvPr id="47" name="TextBox 46">
          <a:extLst>
            <a:ext uri="{FF2B5EF4-FFF2-40B4-BE49-F238E27FC236}">
              <a16:creationId xmlns:a16="http://schemas.microsoft.com/office/drawing/2014/main" id="{DDF48D6D-5F4D-4E7B-87D4-F20DEFCE0587}"/>
            </a:ext>
          </a:extLst>
        </xdr:cNvPr>
        <xdr:cNvSpPr txBox="1"/>
      </xdr:nvSpPr>
      <xdr:spPr>
        <a:xfrm>
          <a:off x="18162628" y="1510974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20</xdr:col>
      <xdr:colOff>407052</xdr:colOff>
      <xdr:row>72</xdr:row>
      <xdr:rowOff>40705</xdr:rowOff>
    </xdr:from>
    <xdr:to>
      <xdr:col>23</xdr:col>
      <xdr:colOff>301218</xdr:colOff>
      <xdr:row>76</xdr:row>
      <xdr:rowOff>81411</xdr:rowOff>
    </xdr:to>
    <xdr:sp macro="" textlink="">
      <xdr:nvSpPr>
        <xdr:cNvPr id="56" name="TextBox 55">
          <a:extLst>
            <a:ext uri="{FF2B5EF4-FFF2-40B4-BE49-F238E27FC236}">
              <a16:creationId xmlns:a16="http://schemas.microsoft.com/office/drawing/2014/main" id="{5565824D-3E51-4C13-8395-AB51BC366D30}"/>
            </a:ext>
          </a:extLst>
        </xdr:cNvPr>
        <xdr:cNvSpPr txBox="1"/>
      </xdr:nvSpPr>
      <xdr:spPr>
        <a:xfrm>
          <a:off x="15671475" y="13359423"/>
          <a:ext cx="1725897" cy="789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latin typeface="Bahnschrift Light" panose="020B0502040204020203" pitchFamily="34" charset="0"/>
            </a:rPr>
            <a:t>Yeild</a:t>
          </a:r>
          <a:r>
            <a:rPr lang="en-IN" sz="1100" baseline="0">
              <a:latin typeface="Bahnschrift Light" panose="020B0502040204020203" pitchFamily="34" charset="0"/>
            </a:rPr>
            <a:t> Spread Between AAA PSU CORP Bond 10 Yr &amp; Poonawala Fincorp Paper is </a:t>
          </a:r>
          <a:r>
            <a:rPr lang="en-IN" sz="1100" baseline="0">
              <a:solidFill>
                <a:srgbClr val="92D050"/>
              </a:solidFill>
              <a:latin typeface="Bahnschrift Light" panose="020B0502040204020203" pitchFamily="34" charset="0"/>
            </a:rPr>
            <a:t>50 Bps. </a:t>
          </a:r>
          <a:endParaRPr lang="en-IN" sz="1100">
            <a:solidFill>
              <a:srgbClr val="92D050"/>
            </a:solidFill>
            <a:latin typeface="Bahnschrift Light" panose="020B0502040204020203" pitchFamily="34" charset="0"/>
          </a:endParaRPr>
        </a:p>
      </xdr:txBody>
    </xdr:sp>
    <xdr:clientData/>
  </xdr:twoCellAnchor>
  <xdr:twoCellAnchor>
    <xdr:from>
      <xdr:col>20</xdr:col>
      <xdr:colOff>309359</xdr:colOff>
      <xdr:row>71</xdr:row>
      <xdr:rowOff>65129</xdr:rowOff>
    </xdr:from>
    <xdr:to>
      <xdr:col>23</xdr:col>
      <xdr:colOff>447756</xdr:colOff>
      <xdr:row>76</xdr:row>
      <xdr:rowOff>179104</xdr:rowOff>
    </xdr:to>
    <xdr:sp macro="" textlink="">
      <xdr:nvSpPr>
        <xdr:cNvPr id="60" name="Oval 59">
          <a:extLst>
            <a:ext uri="{FF2B5EF4-FFF2-40B4-BE49-F238E27FC236}">
              <a16:creationId xmlns:a16="http://schemas.microsoft.com/office/drawing/2014/main" id="{5096A455-85E2-4BB1-B654-D08EB2E97697}"/>
            </a:ext>
          </a:extLst>
        </xdr:cNvPr>
        <xdr:cNvSpPr/>
      </xdr:nvSpPr>
      <xdr:spPr>
        <a:xfrm>
          <a:off x="15573782" y="13196603"/>
          <a:ext cx="1970128" cy="1050193"/>
        </a:xfrm>
        <a:prstGeom prst="ellipse">
          <a:avLst/>
        </a:prstGeom>
        <a:noFill/>
        <a:ln>
          <a:solidFill>
            <a:schemeClr val="bg1">
              <a:lumMod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276795</xdr:colOff>
      <xdr:row>75</xdr:row>
      <xdr:rowOff>162820</xdr:rowOff>
    </xdr:from>
    <xdr:to>
      <xdr:col>23</xdr:col>
      <xdr:colOff>293077</xdr:colOff>
      <xdr:row>84</xdr:row>
      <xdr:rowOff>138397</xdr:rowOff>
    </xdr:to>
    <xdr:cxnSp macro="">
      <xdr:nvCxnSpPr>
        <xdr:cNvPr id="62" name="Straight Arrow Connector 61">
          <a:extLst>
            <a:ext uri="{FF2B5EF4-FFF2-40B4-BE49-F238E27FC236}">
              <a16:creationId xmlns:a16="http://schemas.microsoft.com/office/drawing/2014/main" id="{926CB4F6-E2C8-46AA-8AF8-2EA994C8EBE4}"/>
            </a:ext>
          </a:extLst>
        </xdr:cNvPr>
        <xdr:cNvCxnSpPr/>
      </xdr:nvCxnSpPr>
      <xdr:spPr>
        <a:xfrm>
          <a:off x="17372949" y="14043269"/>
          <a:ext cx="16282" cy="1660769"/>
        </a:xfrm>
        <a:prstGeom prst="straightConnector1">
          <a:avLst/>
        </a:prstGeom>
        <a:ln>
          <a:solidFill>
            <a:schemeClr val="accent3"/>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40705</xdr:colOff>
      <xdr:row>33</xdr:row>
      <xdr:rowOff>16282</xdr:rowOff>
    </xdr:from>
    <xdr:to>
      <xdr:col>21</xdr:col>
      <xdr:colOff>301217</xdr:colOff>
      <xdr:row>48</xdr:row>
      <xdr:rowOff>130257</xdr:rowOff>
    </xdr:to>
    <xdr:graphicFrame macro="">
      <xdr:nvGraphicFramePr>
        <xdr:cNvPr id="74" name="Chart 73">
          <a:extLst>
            <a:ext uri="{FF2B5EF4-FFF2-40B4-BE49-F238E27FC236}">
              <a16:creationId xmlns:a16="http://schemas.microsoft.com/office/drawing/2014/main" id="{784C90CE-807B-444B-BED2-BE885B434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17</xdr:col>
      <xdr:colOff>48846</xdr:colOff>
      <xdr:row>48</xdr:row>
      <xdr:rowOff>179102</xdr:rowOff>
    </xdr:from>
    <xdr:to>
      <xdr:col>21</xdr:col>
      <xdr:colOff>341923</xdr:colOff>
      <xdr:row>66</xdr:row>
      <xdr:rowOff>56987</xdr:rowOff>
    </xdr:to>
    <xdr:graphicFrame macro="">
      <xdr:nvGraphicFramePr>
        <xdr:cNvPr id="68" name="Chart 67">
          <a:extLst>
            <a:ext uri="{FF2B5EF4-FFF2-40B4-BE49-F238E27FC236}">
              <a16:creationId xmlns:a16="http://schemas.microsoft.com/office/drawing/2014/main" id="{771BD49A-8BAC-4738-BB5D-1E570A7BC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0.90143</cdr:x>
      <cdr:y>0.13774</cdr:y>
    </cdr:from>
    <cdr:to>
      <cdr:x>0.95971</cdr:x>
      <cdr:y>0.72506</cdr:y>
    </cdr:to>
    <cdr:sp macro="" textlink="">
      <cdr:nvSpPr>
        <cdr:cNvPr id="2" name="TextBox 1">
          <a:extLst xmlns:a="http://schemas.openxmlformats.org/drawingml/2006/main">
            <a:ext uri="{FF2B5EF4-FFF2-40B4-BE49-F238E27FC236}">
              <a16:creationId xmlns:a16="http://schemas.microsoft.com/office/drawing/2014/main" id="{FEDB97B9-A2E9-4051-8D5D-2EA052AEBB51}"/>
            </a:ext>
          </a:extLst>
        </cdr:cNvPr>
        <cdr:cNvSpPr txBox="1"/>
      </cdr:nvSpPr>
      <cdr:spPr>
        <a:xfrm xmlns:a="http://schemas.openxmlformats.org/drawingml/2006/main">
          <a:off x="6170157" y="805716"/>
          <a:ext cx="398910" cy="34355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0.86218</cdr:x>
      <cdr:y>0.26718</cdr:y>
    </cdr:from>
    <cdr:to>
      <cdr:x>0.98111</cdr:x>
      <cdr:y>0.55388</cdr:y>
    </cdr:to>
    <cdr:sp macro="" textlink="">
      <cdr:nvSpPr>
        <cdr:cNvPr id="4" name="TextBox 3">
          <a:extLst xmlns:a="http://schemas.openxmlformats.org/drawingml/2006/main">
            <a:ext uri="{FF2B5EF4-FFF2-40B4-BE49-F238E27FC236}">
              <a16:creationId xmlns:a16="http://schemas.microsoft.com/office/drawing/2014/main" id="{6A2C09F7-346C-4E9D-9605-D6C6B081FAF7}"/>
            </a:ext>
          </a:extLst>
        </cdr:cNvPr>
        <cdr:cNvSpPr txBox="1"/>
      </cdr:nvSpPr>
      <cdr:spPr>
        <a:xfrm xmlns:a="http://schemas.openxmlformats.org/drawingml/2006/main">
          <a:off x="5901502" y="1562830"/>
          <a:ext cx="814103" cy="1677052"/>
        </a:xfrm>
        <a:prstGeom xmlns:a="http://schemas.openxmlformats.org/drawingml/2006/main" prst="rect">
          <a:avLst/>
        </a:prstGeom>
        <a:ln xmlns:a="http://schemas.openxmlformats.org/drawingml/2006/main">
          <a:noFill/>
        </a:ln>
      </cdr:spPr>
      <cdr:txBody>
        <a:bodyPr xmlns:a="http://schemas.openxmlformats.org/drawingml/2006/main" vertOverflow="clip" wrap="square" rtlCol="0"/>
        <a:lstStyle xmlns:a="http://schemas.openxmlformats.org/drawingml/2006/main"/>
        <a:p xmlns:a="http://schemas.openxmlformats.org/drawingml/2006/main">
          <a:pPr algn="ctr"/>
          <a:r>
            <a:rPr lang="en-IN" sz="1000">
              <a:solidFill>
                <a:schemeClr val="accent1">
                  <a:lumMod val="50000"/>
                </a:schemeClr>
              </a:solidFill>
              <a:latin typeface="Bahnschrift Light SemiCondensed" panose="020B0502040204020203" pitchFamily="34" charset="0"/>
            </a:rPr>
            <a:t>The</a:t>
          </a:r>
          <a:r>
            <a:rPr lang="en-IN" sz="1000" baseline="0">
              <a:solidFill>
                <a:schemeClr val="accent1">
                  <a:lumMod val="50000"/>
                </a:schemeClr>
              </a:solidFill>
              <a:latin typeface="Bahnschrift Light SemiCondensed" panose="020B0502040204020203" pitchFamily="34" charset="0"/>
            </a:rPr>
            <a:t> Quantam Traded for the Poonawala Fincorp Paper on 17th Jan is above 20 Crs.</a:t>
          </a:r>
          <a:endParaRPr lang="en-IN" sz="1000">
            <a:solidFill>
              <a:schemeClr val="accent1">
                <a:lumMod val="50000"/>
              </a:schemeClr>
            </a:solidFill>
            <a:latin typeface="Bahnschrift Light SemiCondensed" panose="020B0502040204020203"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0.09804</cdr:x>
      <cdr:y>0.03873</cdr:y>
    </cdr:from>
    <cdr:to>
      <cdr:x>0.96324</cdr:x>
      <cdr:y>0.14437</cdr:y>
    </cdr:to>
    <cdr:sp macro="" textlink="">
      <cdr:nvSpPr>
        <cdr:cNvPr id="2" name="Rectangle: Rounded Corners 1">
          <a:extLst xmlns:a="http://schemas.openxmlformats.org/drawingml/2006/main">
            <a:ext uri="{FF2B5EF4-FFF2-40B4-BE49-F238E27FC236}">
              <a16:creationId xmlns:a16="http://schemas.microsoft.com/office/drawing/2014/main" id="{771CB0F1-0C81-405B-B0CA-C983C779B678}"/>
            </a:ext>
          </a:extLst>
        </cdr:cNvPr>
        <cdr:cNvSpPr/>
      </cdr:nvSpPr>
      <cdr:spPr>
        <a:xfrm xmlns:a="http://schemas.openxmlformats.org/drawingml/2006/main">
          <a:off x="325641" y="89551"/>
          <a:ext cx="2873782" cy="244231"/>
        </a:xfrm>
        <a:prstGeom xmlns:a="http://schemas.openxmlformats.org/drawingml/2006/main" prst="roundRect">
          <a:avLst/>
        </a:prstGeom>
        <a:noFill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4.xml><?xml version="1.0" encoding="utf-8"?>
<c:userShapes xmlns:c="http://schemas.openxmlformats.org/drawingml/2006/chart">
  <cdr:relSizeAnchor xmlns:cdr="http://schemas.openxmlformats.org/drawingml/2006/chartDrawing">
    <cdr:from>
      <cdr:x>0.39563</cdr:x>
      <cdr:y>0.03873</cdr:y>
    </cdr:from>
    <cdr:to>
      <cdr:x>0.73544</cdr:x>
      <cdr:y>0.1326</cdr:y>
    </cdr:to>
    <cdr:sp macro="" textlink="">
      <cdr:nvSpPr>
        <cdr:cNvPr id="2" name="Rectangle: Rounded Corners 1">
          <a:extLst xmlns:a="http://schemas.openxmlformats.org/drawingml/2006/main">
            <a:ext uri="{FF2B5EF4-FFF2-40B4-BE49-F238E27FC236}">
              <a16:creationId xmlns:a16="http://schemas.microsoft.com/office/drawing/2014/main" id="{771CB0F1-0C81-405B-B0CA-C983C779B678}"/>
            </a:ext>
          </a:extLst>
        </cdr:cNvPr>
        <cdr:cNvSpPr/>
      </cdr:nvSpPr>
      <cdr:spPr>
        <a:xfrm xmlns:a="http://schemas.openxmlformats.org/drawingml/2006/main">
          <a:off x="1326988" y="114140"/>
          <a:ext cx="1139743" cy="276630"/>
        </a:xfrm>
        <a:prstGeom xmlns:a="http://schemas.openxmlformats.org/drawingml/2006/main" prst="roundRect">
          <a:avLst/>
        </a:prstGeom>
        <a:noFill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1</xdr:col>
      <xdr:colOff>0</xdr:colOff>
      <xdr:row>132</xdr:row>
      <xdr:rowOff>139700</xdr:rowOff>
    </xdr:from>
    <xdr:to>
      <xdr:col>4</xdr:col>
      <xdr:colOff>628650</xdr:colOff>
      <xdr:row>148</xdr:row>
      <xdr:rowOff>38100</xdr:rowOff>
    </xdr:to>
    <xdr:pic>
      <xdr:nvPicPr>
        <xdr:cNvPr id="3" name="Picture 2">
          <a:extLst>
            <a:ext uri="{FF2B5EF4-FFF2-40B4-BE49-F238E27FC236}">
              <a16:creationId xmlns:a16="http://schemas.microsoft.com/office/drawing/2014/main" id="{EB419CC6-D738-4341-8454-F004B363CD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xmlns="" r:id="rId2"/>
            </a:ext>
          </a:extLst>
        </a:blip>
        <a:stretch>
          <a:fillRect/>
        </a:stretch>
      </xdr:blipFill>
      <xdr:spPr>
        <a:xfrm>
          <a:off x="2216150" y="24574500"/>
          <a:ext cx="2844800" cy="2844800"/>
        </a:xfrm>
        <a:prstGeom prst="rect">
          <a:avLst/>
        </a:prstGeom>
      </xdr:spPr>
    </xdr:pic>
    <xdr:clientData/>
  </xdr:twoCellAnchor>
  <xdr:oneCellAnchor>
    <xdr:from>
      <xdr:col>0</xdr:col>
      <xdr:colOff>1981200</xdr:colOff>
      <xdr:row>148</xdr:row>
      <xdr:rowOff>86591</xdr:rowOff>
    </xdr:from>
    <xdr:ext cx="3282950" cy="233205"/>
    <xdr:sp macro="" textlink="">
      <xdr:nvSpPr>
        <xdr:cNvPr id="4" name="TextBox 3">
          <a:extLst>
            <a:ext uri="{FF2B5EF4-FFF2-40B4-BE49-F238E27FC236}">
              <a16:creationId xmlns:a16="http://schemas.microsoft.com/office/drawing/2014/main" id="{718EDEB9-874B-4C06-AB50-497DAF9A013B}"/>
            </a:ext>
          </a:extLst>
        </xdr:cNvPr>
        <xdr:cNvSpPr txBox="1"/>
      </xdr:nvSpPr>
      <xdr:spPr>
        <a:xfrm>
          <a:off x="1981200" y="27467791"/>
          <a:ext cx="328295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2" tooltip="http://justinsykehunt.deviantart.com/art/indian-map-413914181"/>
            </a:rPr>
            <a:t>This Photo</a:t>
          </a:r>
          <a:r>
            <a:rPr lang="en-IN" sz="900"/>
            <a:t> by Unknown Author is licensed under </a:t>
          </a:r>
          <a:r>
            <a:rPr lang="en-IN" sz="900">
              <a:hlinkClick xmlns:r="http://schemas.openxmlformats.org/officeDocument/2006/relationships" r:id="rId3" tooltip="https://creativecommons.org/licenses/by-nc-nd/3.0/"/>
            </a:rPr>
            <a:t>CC BY-NC-ND</a:t>
          </a:r>
          <a:endParaRPr lang="en-IN" sz="9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4</xdr:col>
      <xdr:colOff>9525</xdr:colOff>
      <xdr:row>118</xdr:row>
      <xdr:rowOff>107950</xdr:rowOff>
    </xdr:from>
    <xdr:to>
      <xdr:col>11</xdr:col>
      <xdr:colOff>136525</xdr:colOff>
      <xdr:row>133</xdr:row>
      <xdr:rowOff>88900</xdr:rowOff>
    </xdr:to>
    <xdr:graphicFrame macro="">
      <xdr:nvGraphicFramePr>
        <xdr:cNvPr id="3" name="Chart 2">
          <a:extLst>
            <a:ext uri="{FF2B5EF4-FFF2-40B4-BE49-F238E27FC236}">
              <a16:creationId xmlns:a16="http://schemas.microsoft.com/office/drawing/2014/main" id="{88DCFEAD-995B-4E72-BEB7-0B1DBC1E5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168275</xdr:colOff>
      <xdr:row>88</xdr:row>
      <xdr:rowOff>101600</xdr:rowOff>
    </xdr:from>
    <xdr:to>
      <xdr:col>15</xdr:col>
      <xdr:colOff>295275</xdr:colOff>
      <xdr:row>103</xdr:row>
      <xdr:rowOff>82550</xdr:rowOff>
    </xdr:to>
    <xdr:graphicFrame macro="">
      <xdr:nvGraphicFramePr>
        <xdr:cNvPr id="4" name="Chart 3">
          <a:extLst>
            <a:ext uri="{FF2B5EF4-FFF2-40B4-BE49-F238E27FC236}">
              <a16:creationId xmlns:a16="http://schemas.microsoft.com/office/drawing/2014/main" id="{D4A4C2C2-7971-49A0-89C5-94E778C7A0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587375</xdr:colOff>
      <xdr:row>91</xdr:row>
      <xdr:rowOff>19050</xdr:rowOff>
    </xdr:from>
    <xdr:to>
      <xdr:col>22</xdr:col>
      <xdr:colOff>174625</xdr:colOff>
      <xdr:row>106</xdr:row>
      <xdr:rowOff>0</xdr:rowOff>
    </xdr:to>
    <xdr:graphicFrame macro="">
      <xdr:nvGraphicFramePr>
        <xdr:cNvPr id="2" name="Chart 1">
          <a:extLst>
            <a:ext uri="{FF2B5EF4-FFF2-40B4-BE49-F238E27FC236}">
              <a16:creationId xmlns:a16="http://schemas.microsoft.com/office/drawing/2014/main" id="{6CD25FC4-70FF-4A0A-AD84-BE0129B13C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0.09804</cdr:x>
      <cdr:y>0.03873</cdr:y>
    </cdr:from>
    <cdr:to>
      <cdr:x>0.96324</cdr:x>
      <cdr:y>0.14437</cdr:y>
    </cdr:to>
    <cdr:sp macro="" textlink="">
      <cdr:nvSpPr>
        <cdr:cNvPr id="2" name="Rectangle: Rounded Corners 1">
          <a:extLst xmlns:a="http://schemas.openxmlformats.org/drawingml/2006/main">
            <a:ext uri="{FF2B5EF4-FFF2-40B4-BE49-F238E27FC236}">
              <a16:creationId xmlns:a16="http://schemas.microsoft.com/office/drawing/2014/main" id="{771CB0F1-0C81-405B-B0CA-C983C779B678}"/>
            </a:ext>
          </a:extLst>
        </cdr:cNvPr>
        <cdr:cNvSpPr/>
      </cdr:nvSpPr>
      <cdr:spPr>
        <a:xfrm xmlns:a="http://schemas.openxmlformats.org/drawingml/2006/main">
          <a:off x="325641" y="89551"/>
          <a:ext cx="2873782" cy="244231"/>
        </a:xfrm>
        <a:prstGeom xmlns:a="http://schemas.openxmlformats.org/drawingml/2006/main" prst="roundRect">
          <a:avLst/>
        </a:prstGeom>
        <a:noFill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4695824</xdr:colOff>
      <xdr:row>118</xdr:row>
      <xdr:rowOff>38100</xdr:rowOff>
    </xdr:from>
    <xdr:to>
      <xdr:col>3</xdr:col>
      <xdr:colOff>882650</xdr:colOff>
      <xdr:row>140</xdr:row>
      <xdr:rowOff>95250</xdr:rowOff>
    </xdr:to>
    <xdr:graphicFrame macro="">
      <xdr:nvGraphicFramePr>
        <xdr:cNvPr id="2" name="Chart 1">
          <a:extLst>
            <a:ext uri="{FF2B5EF4-FFF2-40B4-BE49-F238E27FC236}">
              <a16:creationId xmlns:a16="http://schemas.microsoft.com/office/drawing/2014/main" id="{35903D7B-A51C-464E-85CE-04DB7C495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114300</xdr:colOff>
      <xdr:row>56</xdr:row>
      <xdr:rowOff>71283</xdr:rowOff>
    </xdr:from>
    <xdr:to>
      <xdr:col>3</xdr:col>
      <xdr:colOff>458889</xdr:colOff>
      <xdr:row>58</xdr:row>
      <xdr:rowOff>139327</xdr:rowOff>
    </xdr:to>
    <mc:AlternateContent xmlns:mc="http://schemas.openxmlformats.org/markup-compatibility/2006" xmlns:sle15="http://schemas.microsoft.com/office/drawing/2012/slicer">
      <mc:Choice Requires="sle15">
        <xdr:graphicFrame macro="">
          <xdr:nvGraphicFramePr>
            <xdr:cNvPr id="3" name="Ratios">
              <a:extLst>
                <a:ext uri="{FF2B5EF4-FFF2-40B4-BE49-F238E27FC236}">
                  <a16:creationId xmlns:a16="http://schemas.microsoft.com/office/drawing/2014/main" id="{3822741D-5121-4A1C-AB17-D27B0379DC80}"/>
                </a:ext>
              </a:extLst>
            </xdr:cNvPr>
            <xdr:cNvGraphicFramePr/>
          </xdr:nvGraphicFramePr>
          <xdr:xfrm>
            <a:off x="0" y="0"/>
            <a:ext cx="0" cy="0"/>
          </xdr:xfrm>
          <a:graphic>
            <a:graphicData uri="http://schemas.microsoft.com/office/drawing/2010/slicer">
              <sle:slicer xmlns:sle="http://schemas.microsoft.com/office/drawing/2010/slicer" name="Ratios"/>
            </a:graphicData>
          </a:graphic>
        </xdr:graphicFrame>
      </mc:Choice>
      <mc:Fallback xmlns="">
        <xdr:sp macro="" textlink="">
          <xdr:nvSpPr>
            <xdr:cNvPr id="0" name=""/>
            <xdr:cNvSpPr>
              <a:spLocks noTextEdit="1"/>
            </xdr:cNvSpPr>
          </xdr:nvSpPr>
          <xdr:spPr>
            <a:xfrm>
              <a:off x="114300" y="10487849"/>
              <a:ext cx="4879387" cy="44006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xdr:col>
      <xdr:colOff>263525</xdr:colOff>
      <xdr:row>59</xdr:row>
      <xdr:rowOff>50800</xdr:rowOff>
    </xdr:from>
    <xdr:to>
      <xdr:col>8</xdr:col>
      <xdr:colOff>530225</xdr:colOff>
      <xdr:row>74</xdr:row>
      <xdr:rowOff>31750</xdr:rowOff>
    </xdr:to>
    <xdr:graphicFrame macro="">
      <xdr:nvGraphicFramePr>
        <xdr:cNvPr id="6" name="Chart 5">
          <a:extLst>
            <a:ext uri="{FF2B5EF4-FFF2-40B4-BE49-F238E27FC236}">
              <a16:creationId xmlns:a16="http://schemas.microsoft.com/office/drawing/2014/main" id="{B193854D-569A-4C2B-847D-39D3AB2374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419100</xdr:colOff>
      <xdr:row>3</xdr:row>
      <xdr:rowOff>50801</xdr:rowOff>
    </xdr:from>
    <xdr:to>
      <xdr:col>5</xdr:col>
      <xdr:colOff>2247900</xdr:colOff>
      <xdr:row>5</xdr:row>
      <xdr:rowOff>95251</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0150253E-496C-4498-960E-A55D9612F9D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621575" y="608831"/>
              <a:ext cx="1828800" cy="4164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2298827</xdr:colOff>
      <xdr:row>93</xdr:row>
      <xdr:rowOff>121869</xdr:rowOff>
    </xdr:from>
    <xdr:to>
      <xdr:col>6</xdr:col>
      <xdr:colOff>1270000</xdr:colOff>
      <xdr:row>94</xdr:row>
      <xdr:rowOff>109041</xdr:rowOff>
    </xdr:to>
    <xdr:pic>
      <xdr:nvPicPr>
        <xdr:cNvPr id="22" name="Picture 21">
          <a:extLst>
            <a:ext uri="{FF2B5EF4-FFF2-40B4-BE49-F238E27FC236}">
              <a16:creationId xmlns:a16="http://schemas.microsoft.com/office/drawing/2014/main" id="{CFAB1FF3-A11C-4D3F-B2A7-CE024CD78ED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01302" y="19729899"/>
          <a:ext cx="1607385" cy="173182"/>
        </a:xfrm>
        <a:prstGeom prst="rect">
          <a:avLst/>
        </a:prstGeom>
      </xdr:spPr>
    </xdr:pic>
    <xdr:clientData/>
  </xdr:twoCellAnchor>
  <xdr:twoCellAnchor>
    <xdr:from>
      <xdr:col>0</xdr:col>
      <xdr:colOff>346364</xdr:colOff>
      <xdr:row>114</xdr:row>
      <xdr:rowOff>109040</xdr:rowOff>
    </xdr:from>
    <xdr:to>
      <xdr:col>5</xdr:col>
      <xdr:colOff>1975554</xdr:colOff>
      <xdr:row>131</xdr:row>
      <xdr:rowOff>109039</xdr:rowOff>
    </xdr:to>
    <xdr:graphicFrame macro="">
      <xdr:nvGraphicFramePr>
        <xdr:cNvPr id="26" name="Chart 25">
          <a:extLst>
            <a:ext uri="{FF2B5EF4-FFF2-40B4-BE49-F238E27FC236}">
              <a16:creationId xmlns:a16="http://schemas.microsoft.com/office/drawing/2014/main" id="{924A842E-4397-450D-90C6-D9240FC612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789581</xdr:colOff>
      <xdr:row>104</xdr:row>
      <xdr:rowOff>20268</xdr:rowOff>
    </xdr:from>
    <xdr:to>
      <xdr:col>8</xdr:col>
      <xdr:colOff>481061</xdr:colOff>
      <xdr:row>119</xdr:row>
      <xdr:rowOff>166768</xdr:rowOff>
    </xdr:to>
    <xdr:graphicFrame macro="">
      <xdr:nvGraphicFramePr>
        <xdr:cNvPr id="8" name="Chart 7">
          <a:extLst>
            <a:ext uri="{FF2B5EF4-FFF2-40B4-BE49-F238E27FC236}">
              <a16:creationId xmlns:a16="http://schemas.microsoft.com/office/drawing/2014/main" id="{E1CF8876-C973-43EA-AFDD-49142C9F7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552256</xdr:colOff>
      <xdr:row>8</xdr:row>
      <xdr:rowOff>167794</xdr:rowOff>
    </xdr:from>
    <xdr:to>
      <xdr:col>12</xdr:col>
      <xdr:colOff>2225706</xdr:colOff>
      <xdr:row>26</xdr:row>
      <xdr:rowOff>38484</xdr:rowOff>
    </xdr:to>
    <xdr:graphicFrame macro="">
      <xdr:nvGraphicFramePr>
        <xdr:cNvPr id="5" name="Chart 4">
          <a:extLst>
            <a:ext uri="{FF2B5EF4-FFF2-40B4-BE49-F238E27FC236}">
              <a16:creationId xmlns:a16="http://schemas.microsoft.com/office/drawing/2014/main" id="{C23B9110-5CD2-48B1-AC4B-1DBE3D160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2008266</xdr:colOff>
      <xdr:row>29</xdr:row>
      <xdr:rowOff>1026</xdr:rowOff>
    </xdr:from>
    <xdr:to>
      <xdr:col>10</xdr:col>
      <xdr:colOff>981363</xdr:colOff>
      <xdr:row>44</xdr:row>
      <xdr:rowOff>115455</xdr:rowOff>
    </xdr:to>
    <xdr:graphicFrame macro="">
      <xdr:nvGraphicFramePr>
        <xdr:cNvPr id="7" name="Chart 6">
          <a:extLst>
            <a:ext uri="{FF2B5EF4-FFF2-40B4-BE49-F238E27FC236}">
              <a16:creationId xmlns:a16="http://schemas.microsoft.com/office/drawing/2014/main" id="{73EAE6D3-8BEC-4190-9217-A5E641512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2463670</xdr:colOff>
      <xdr:row>5</xdr:row>
      <xdr:rowOff>103652</xdr:rowOff>
    </xdr:from>
    <xdr:to>
      <xdr:col>15</xdr:col>
      <xdr:colOff>622172</xdr:colOff>
      <xdr:row>20</xdr:row>
      <xdr:rowOff>56701</xdr:rowOff>
    </xdr:to>
    <xdr:graphicFrame macro="">
      <xdr:nvGraphicFramePr>
        <xdr:cNvPr id="9" name="Chart 8">
          <a:extLst>
            <a:ext uri="{FF2B5EF4-FFF2-40B4-BE49-F238E27FC236}">
              <a16:creationId xmlns:a16="http://schemas.microsoft.com/office/drawing/2014/main" id="{98797160-7502-4641-86A2-2A4462B53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1482308</xdr:colOff>
      <xdr:row>27</xdr:row>
      <xdr:rowOff>110067</xdr:rowOff>
    </xdr:from>
    <xdr:to>
      <xdr:col>12</xdr:col>
      <xdr:colOff>781883</xdr:colOff>
      <xdr:row>42</xdr:row>
      <xdr:rowOff>63116</xdr:rowOff>
    </xdr:to>
    <xdr:graphicFrame macro="">
      <xdr:nvGraphicFramePr>
        <xdr:cNvPr id="2" name="Chart 1">
          <a:extLst>
            <a:ext uri="{FF2B5EF4-FFF2-40B4-BE49-F238E27FC236}">
              <a16:creationId xmlns:a16="http://schemas.microsoft.com/office/drawing/2014/main" id="{2ACE8B3D-26AF-4268-99C5-D6432EED7E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1283469</xdr:colOff>
      <xdr:row>27</xdr:row>
      <xdr:rowOff>116480</xdr:rowOff>
    </xdr:from>
    <xdr:to>
      <xdr:col>14</xdr:col>
      <xdr:colOff>583045</xdr:colOff>
      <xdr:row>42</xdr:row>
      <xdr:rowOff>69529</xdr:rowOff>
    </xdr:to>
    <xdr:graphicFrame macro="">
      <xdr:nvGraphicFramePr>
        <xdr:cNvPr id="17" name="Chart 16">
          <a:extLst>
            <a:ext uri="{FF2B5EF4-FFF2-40B4-BE49-F238E27FC236}">
              <a16:creationId xmlns:a16="http://schemas.microsoft.com/office/drawing/2014/main" id="{E8BC91FF-9769-4491-918A-0DC016177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1777358</xdr:colOff>
      <xdr:row>5</xdr:row>
      <xdr:rowOff>7440</xdr:rowOff>
    </xdr:from>
    <xdr:to>
      <xdr:col>19</xdr:col>
      <xdr:colOff>448989</xdr:colOff>
      <xdr:row>19</xdr:row>
      <xdr:rowOff>146499</xdr:rowOff>
    </xdr:to>
    <xdr:graphicFrame macro="">
      <xdr:nvGraphicFramePr>
        <xdr:cNvPr id="10" name="Chart 9">
          <a:extLst>
            <a:ext uri="{FF2B5EF4-FFF2-40B4-BE49-F238E27FC236}">
              <a16:creationId xmlns:a16="http://schemas.microsoft.com/office/drawing/2014/main" id="{63C47779-400A-4969-AA0C-35AE456DC6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1879985</xdr:colOff>
      <xdr:row>55</xdr:row>
      <xdr:rowOff>52339</xdr:rowOff>
    </xdr:from>
    <xdr:to>
      <xdr:col>11</xdr:col>
      <xdr:colOff>1225101</xdr:colOff>
      <xdr:row>70</xdr:row>
      <xdr:rowOff>5388</xdr:rowOff>
    </xdr:to>
    <xdr:graphicFrame macro="">
      <xdr:nvGraphicFramePr>
        <xdr:cNvPr id="11" name="Chart 10">
          <a:extLst>
            <a:ext uri="{FF2B5EF4-FFF2-40B4-BE49-F238E27FC236}">
              <a16:creationId xmlns:a16="http://schemas.microsoft.com/office/drawing/2014/main" id="{8685E2F8-E7F7-468D-A049-16C4CFAD4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2040338</xdr:colOff>
      <xdr:row>45</xdr:row>
      <xdr:rowOff>58752</xdr:rowOff>
    </xdr:from>
    <xdr:to>
      <xdr:col>13</xdr:col>
      <xdr:colOff>1994797</xdr:colOff>
      <xdr:row>60</xdr:row>
      <xdr:rowOff>11801</xdr:rowOff>
    </xdr:to>
    <xdr:graphicFrame macro="">
      <xdr:nvGraphicFramePr>
        <xdr:cNvPr id="15" name="Chart 14">
          <a:extLst>
            <a:ext uri="{FF2B5EF4-FFF2-40B4-BE49-F238E27FC236}">
              <a16:creationId xmlns:a16="http://schemas.microsoft.com/office/drawing/2014/main" id="{0CDBDE7A-3A2E-4A9B-9108-C928D93A09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795995</xdr:colOff>
      <xdr:row>50</xdr:row>
      <xdr:rowOff>33096</xdr:rowOff>
    </xdr:from>
    <xdr:to>
      <xdr:col>6</xdr:col>
      <xdr:colOff>1897944</xdr:colOff>
      <xdr:row>64</xdr:row>
      <xdr:rowOff>172155</xdr:rowOff>
    </xdr:to>
    <xdr:graphicFrame macro="">
      <xdr:nvGraphicFramePr>
        <xdr:cNvPr id="12" name="Chart 11">
          <a:extLst>
            <a:ext uri="{FF2B5EF4-FFF2-40B4-BE49-F238E27FC236}">
              <a16:creationId xmlns:a16="http://schemas.microsoft.com/office/drawing/2014/main" id="{06039F9B-4C1E-4D6A-88B5-5C4CBC4E6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295275</xdr:colOff>
      <xdr:row>57</xdr:row>
      <xdr:rowOff>177800</xdr:rowOff>
    </xdr:from>
    <xdr:to>
      <xdr:col>9</xdr:col>
      <xdr:colOff>73025</xdr:colOff>
      <xdr:row>72</xdr:row>
      <xdr:rowOff>158750</xdr:rowOff>
    </xdr:to>
    <xdr:graphicFrame macro="">
      <xdr:nvGraphicFramePr>
        <xdr:cNvPr id="2" name="Chart 1">
          <a:extLst>
            <a:ext uri="{FF2B5EF4-FFF2-40B4-BE49-F238E27FC236}">
              <a16:creationId xmlns:a16="http://schemas.microsoft.com/office/drawing/2014/main" id="{BB76325A-65C7-497B-8244-9354927EB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454025</xdr:colOff>
      <xdr:row>73</xdr:row>
      <xdr:rowOff>158750</xdr:rowOff>
    </xdr:from>
    <xdr:to>
      <xdr:col>9</xdr:col>
      <xdr:colOff>231775</xdr:colOff>
      <xdr:row>88</xdr:row>
      <xdr:rowOff>139700</xdr:rowOff>
    </xdr:to>
    <xdr:graphicFrame macro="">
      <xdr:nvGraphicFramePr>
        <xdr:cNvPr id="3" name="Chart 2">
          <a:extLst>
            <a:ext uri="{FF2B5EF4-FFF2-40B4-BE49-F238E27FC236}">
              <a16:creationId xmlns:a16="http://schemas.microsoft.com/office/drawing/2014/main" id="{634DF551-5E48-4BEF-9FD1-2C1535D082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50800</xdr:colOff>
      <xdr:row>98</xdr:row>
      <xdr:rowOff>146051</xdr:rowOff>
    </xdr:from>
    <xdr:to>
      <xdr:col>7</xdr:col>
      <xdr:colOff>165100</xdr:colOff>
      <xdr:row>101</xdr:row>
      <xdr:rowOff>12701</xdr:rowOff>
    </xdr:to>
    <mc:AlternateContent xmlns:mc="http://schemas.openxmlformats.org/markup-compatibility/2006" xmlns:sle15="http://schemas.microsoft.com/office/drawing/2012/slicer">
      <mc:Choice Requires="sle15">
        <xdr:graphicFrame macro="">
          <xdr:nvGraphicFramePr>
            <xdr:cNvPr id="4" name="Ratio">
              <a:extLst>
                <a:ext uri="{FF2B5EF4-FFF2-40B4-BE49-F238E27FC236}">
                  <a16:creationId xmlns:a16="http://schemas.microsoft.com/office/drawing/2014/main" id="{47F1BC87-CFC3-4118-99C2-718126EBDC49}"/>
                </a:ext>
              </a:extLst>
            </xdr:cNvPr>
            <xdr:cNvGraphicFramePr/>
          </xdr:nvGraphicFramePr>
          <xdr:xfrm>
            <a:off x="0" y="0"/>
            <a:ext cx="0" cy="0"/>
          </xdr:xfrm>
          <a:graphic>
            <a:graphicData uri="http://schemas.microsoft.com/office/drawing/2010/slicer">
              <sle:slicer xmlns:sle="http://schemas.microsoft.com/office/drawing/2010/slicer" name="Ratio"/>
            </a:graphicData>
          </a:graphic>
        </xdr:graphicFrame>
      </mc:Choice>
      <mc:Fallback xmlns="">
        <xdr:sp macro="" textlink="">
          <xdr:nvSpPr>
            <xdr:cNvPr id="0" name=""/>
            <xdr:cNvSpPr>
              <a:spLocks noTextEdit="1"/>
            </xdr:cNvSpPr>
          </xdr:nvSpPr>
          <xdr:spPr>
            <a:xfrm>
              <a:off x="4953000" y="18008601"/>
              <a:ext cx="2692400" cy="4191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102994</xdr:colOff>
      <xdr:row>124</xdr:row>
      <xdr:rowOff>88126</xdr:rowOff>
    </xdr:from>
    <xdr:to>
      <xdr:col>24</xdr:col>
      <xdr:colOff>224574</xdr:colOff>
      <xdr:row>147</xdr:row>
      <xdr:rowOff>0</xdr:rowOff>
    </xdr:to>
    <xdr:graphicFrame macro="">
      <xdr:nvGraphicFramePr>
        <xdr:cNvPr id="3" name="Chart 2">
          <a:extLst>
            <a:ext uri="{FF2B5EF4-FFF2-40B4-BE49-F238E27FC236}">
              <a16:creationId xmlns:a16="http://schemas.microsoft.com/office/drawing/2014/main" id="{6946ACB1-E732-431A-BA7F-D8FDE7307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42332</xdr:colOff>
      <xdr:row>63</xdr:row>
      <xdr:rowOff>177093</xdr:rowOff>
    </xdr:from>
    <xdr:to>
      <xdr:col>9</xdr:col>
      <xdr:colOff>437445</xdr:colOff>
      <xdr:row>87</xdr:row>
      <xdr:rowOff>105833</xdr:rowOff>
    </xdr:to>
    <xdr:graphicFrame macro="">
      <xdr:nvGraphicFramePr>
        <xdr:cNvPr id="2" name="Chart 1">
          <a:extLst>
            <a:ext uri="{FF2B5EF4-FFF2-40B4-BE49-F238E27FC236}">
              <a16:creationId xmlns:a16="http://schemas.microsoft.com/office/drawing/2014/main" id="{9EED2363-F1D0-48BB-827B-E2730A3A9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225778</xdr:colOff>
      <xdr:row>15</xdr:row>
      <xdr:rowOff>28927</xdr:rowOff>
    </xdr:from>
    <xdr:to>
      <xdr:col>10</xdr:col>
      <xdr:colOff>28222</xdr:colOff>
      <xdr:row>30</xdr:row>
      <xdr:rowOff>20461</xdr:rowOff>
    </xdr:to>
    <xdr:graphicFrame macro="">
      <xdr:nvGraphicFramePr>
        <xdr:cNvPr id="3" name="Chart 2">
          <a:extLst>
            <a:ext uri="{FF2B5EF4-FFF2-40B4-BE49-F238E27FC236}">
              <a16:creationId xmlns:a16="http://schemas.microsoft.com/office/drawing/2014/main" id="{114F8C01-33B3-4B44-B41E-F4701E6B1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257174</xdr:colOff>
      <xdr:row>5</xdr:row>
      <xdr:rowOff>6350</xdr:rowOff>
    </xdr:from>
    <xdr:to>
      <xdr:col>12</xdr:col>
      <xdr:colOff>482599</xdr:colOff>
      <xdr:row>22</xdr:row>
      <xdr:rowOff>127000</xdr:rowOff>
    </xdr:to>
    <xdr:graphicFrame macro="">
      <xdr:nvGraphicFramePr>
        <xdr:cNvPr id="2" name="Chart 1">
          <a:extLst>
            <a:ext uri="{FF2B5EF4-FFF2-40B4-BE49-F238E27FC236}">
              <a16:creationId xmlns:a16="http://schemas.microsoft.com/office/drawing/2014/main" id="{DE34E095-97D0-47C3-808D-50DDFB131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187324</xdr:colOff>
      <xdr:row>28</xdr:row>
      <xdr:rowOff>79375</xdr:rowOff>
    </xdr:from>
    <xdr:to>
      <xdr:col>14</xdr:col>
      <xdr:colOff>253999</xdr:colOff>
      <xdr:row>41</xdr:row>
      <xdr:rowOff>123825</xdr:rowOff>
    </xdr:to>
    <xdr:graphicFrame macro="">
      <xdr:nvGraphicFramePr>
        <xdr:cNvPr id="3" name="Chart 2">
          <a:extLst>
            <a:ext uri="{FF2B5EF4-FFF2-40B4-BE49-F238E27FC236}">
              <a16:creationId xmlns:a16="http://schemas.microsoft.com/office/drawing/2014/main" id="{7DACAE37-8333-432D-B571-A1A1F5E47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463549</xdr:colOff>
      <xdr:row>1</xdr:row>
      <xdr:rowOff>675244</xdr:rowOff>
    </xdr:from>
    <xdr:to>
      <xdr:col>1</xdr:col>
      <xdr:colOff>1235074</xdr:colOff>
      <xdr:row>1</xdr:row>
      <xdr:rowOff>1238249</xdr:rowOff>
    </xdr:to>
    <xdr:pic>
      <xdr:nvPicPr>
        <xdr:cNvPr id="3" name="Picture 2">
          <a:extLst>
            <a:ext uri="{FF2B5EF4-FFF2-40B4-BE49-F238E27FC236}">
              <a16:creationId xmlns:a16="http://schemas.microsoft.com/office/drawing/2014/main" id="{9AAAD8F1-0847-4B8B-A526-758A1EC03D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60699" y="675244"/>
          <a:ext cx="771525" cy="563005"/>
        </a:xfrm>
        <a:prstGeom prst="rect">
          <a:avLst/>
        </a:prstGeom>
      </xdr:spPr>
    </xdr:pic>
    <xdr:clientData/>
  </xdr:twoCellAnchor>
  <xdr:twoCellAnchor editAs="absolute">
    <xdr:from>
      <xdr:col>1</xdr:col>
      <xdr:colOff>368299</xdr:colOff>
      <xdr:row>2</xdr:row>
      <xdr:rowOff>344260</xdr:rowOff>
    </xdr:from>
    <xdr:to>
      <xdr:col>1</xdr:col>
      <xdr:colOff>1292224</xdr:colOff>
      <xdr:row>2</xdr:row>
      <xdr:rowOff>823021</xdr:rowOff>
    </xdr:to>
    <xdr:pic>
      <xdr:nvPicPr>
        <xdr:cNvPr id="5" name="Picture 4">
          <a:extLst>
            <a:ext uri="{FF2B5EF4-FFF2-40B4-BE49-F238E27FC236}">
              <a16:creationId xmlns:a16="http://schemas.microsoft.com/office/drawing/2014/main" id="{401CCBC6-D9FE-4641-AF0F-880C104FC2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65449" y="1677760"/>
          <a:ext cx="923925" cy="478761"/>
        </a:xfrm>
        <a:prstGeom prst="rect">
          <a:avLst/>
        </a:prstGeom>
      </xdr:spPr>
    </xdr:pic>
    <xdr:clientData/>
  </xdr:twoCellAnchor>
  <xdr:twoCellAnchor editAs="absolute">
    <xdr:from>
      <xdr:col>1</xdr:col>
      <xdr:colOff>305848</xdr:colOff>
      <xdr:row>3</xdr:row>
      <xdr:rowOff>322732</xdr:rowOff>
    </xdr:from>
    <xdr:to>
      <xdr:col>1</xdr:col>
      <xdr:colOff>1266826</xdr:colOff>
      <xdr:row>3</xdr:row>
      <xdr:rowOff>761390</xdr:rowOff>
    </xdr:to>
    <xdr:pic>
      <xdr:nvPicPr>
        <xdr:cNvPr id="7" name="Picture 6">
          <a:extLst>
            <a:ext uri="{FF2B5EF4-FFF2-40B4-BE49-F238E27FC236}">
              <a16:creationId xmlns:a16="http://schemas.microsoft.com/office/drawing/2014/main" id="{92D36D5B-A361-4BB2-9907-94C213B525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02998" y="2596032"/>
          <a:ext cx="960978" cy="438658"/>
        </a:xfrm>
        <a:prstGeom prst="rect">
          <a:avLst/>
        </a:prstGeom>
      </xdr:spPr>
    </xdr:pic>
    <xdr:clientData/>
  </xdr:twoCellAnchor>
  <xdr:twoCellAnchor editAs="absolute">
    <xdr:from>
      <xdr:col>1</xdr:col>
      <xdr:colOff>298450</xdr:colOff>
      <xdr:row>4</xdr:row>
      <xdr:rowOff>350001</xdr:rowOff>
    </xdr:from>
    <xdr:to>
      <xdr:col>1</xdr:col>
      <xdr:colOff>1333500</xdr:colOff>
      <xdr:row>4</xdr:row>
      <xdr:rowOff>668090</xdr:rowOff>
    </xdr:to>
    <xdr:pic>
      <xdr:nvPicPr>
        <xdr:cNvPr id="9" name="Picture 8">
          <a:extLst>
            <a:ext uri="{FF2B5EF4-FFF2-40B4-BE49-F238E27FC236}">
              <a16:creationId xmlns:a16="http://schemas.microsoft.com/office/drawing/2014/main" id="{38E0869B-466C-4EC0-A977-7C5D348ED5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895600" y="3474201"/>
          <a:ext cx="1035050" cy="318089"/>
        </a:xfrm>
        <a:prstGeom prst="rect">
          <a:avLst/>
        </a:prstGeom>
      </xdr:spPr>
    </xdr:pic>
    <xdr:clientData/>
  </xdr:twoCellAnchor>
  <xdr:twoCellAnchor editAs="absolute">
    <xdr:from>
      <xdr:col>1</xdr:col>
      <xdr:colOff>465248</xdr:colOff>
      <xdr:row>5</xdr:row>
      <xdr:rowOff>231301</xdr:rowOff>
    </xdr:from>
    <xdr:to>
      <xdr:col>1</xdr:col>
      <xdr:colOff>1274763</xdr:colOff>
      <xdr:row>5</xdr:row>
      <xdr:rowOff>532037</xdr:rowOff>
    </xdr:to>
    <xdr:pic>
      <xdr:nvPicPr>
        <xdr:cNvPr id="11" name="Picture 10">
          <a:extLst>
            <a:ext uri="{FF2B5EF4-FFF2-40B4-BE49-F238E27FC236}">
              <a16:creationId xmlns:a16="http://schemas.microsoft.com/office/drawing/2014/main" id="{56D5862F-59FF-4F79-93F0-D0D8343BC2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062398" y="4231801"/>
          <a:ext cx="809515" cy="300736"/>
        </a:xfrm>
        <a:prstGeom prst="rect">
          <a:avLst/>
        </a:prstGeom>
      </xdr:spPr>
    </xdr:pic>
    <xdr:clientData/>
  </xdr:twoCellAnchor>
  <xdr:twoCellAnchor editAs="absolute">
    <xdr:from>
      <xdr:col>1</xdr:col>
      <xdr:colOff>275948</xdr:colOff>
      <xdr:row>6</xdr:row>
      <xdr:rowOff>38100</xdr:rowOff>
    </xdr:from>
    <xdr:to>
      <xdr:col>1</xdr:col>
      <xdr:colOff>1317902</xdr:colOff>
      <xdr:row>6</xdr:row>
      <xdr:rowOff>381000</xdr:rowOff>
    </xdr:to>
    <xdr:pic>
      <xdr:nvPicPr>
        <xdr:cNvPr id="13" name="Picture 12">
          <a:extLst>
            <a:ext uri="{FF2B5EF4-FFF2-40B4-BE49-F238E27FC236}">
              <a16:creationId xmlns:a16="http://schemas.microsoft.com/office/drawing/2014/main" id="{38D8E2E1-F43C-4627-8516-7C566E17F43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73098" y="3416300"/>
          <a:ext cx="1041954" cy="342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ubhamu.SHUBHAM-LAPTOP/Downloads/Trends%20Fi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an 2011- 23 Jan"/>
    </sheetNames>
    <sheetDataSet>
      <sheetData sheetId="0">
        <row r="4">
          <cell r="B4" t="str">
            <v>10Y Gsec (%)</v>
          </cell>
          <cell r="C4" t="str">
            <v>5Y Gsec (%)</v>
          </cell>
          <cell r="D4" t="str">
            <v>3Y Gsec (%)</v>
          </cell>
          <cell r="E4" t="str">
            <v>2Y Gsec (%)</v>
          </cell>
          <cell r="F4" t="str">
            <v>1Y TB(%)</v>
          </cell>
          <cell r="G4" t="str">
            <v>6M TB(%)</v>
          </cell>
          <cell r="H4" t="str">
            <v>91D TB(%)</v>
          </cell>
          <cell r="I4" t="str">
            <v>2M TB(%)</v>
          </cell>
          <cell r="J4" t="str">
            <v>1M TB(%)</v>
          </cell>
          <cell r="K4" t="str">
            <v>AAA PSU CORP. Bonds - 10 Y</v>
          </cell>
          <cell r="L4" t="str">
            <v>AAA PSU CORP. Bonds - 5 Y</v>
          </cell>
          <cell r="M4" t="str">
            <v>AAA PSU CORP. Bonds - 3 Y</v>
          </cell>
          <cell r="N4" t="str">
            <v>AAA PSU CORP. Bonds - 1 Y</v>
          </cell>
          <cell r="O4" t="str">
            <v>OIS 1Y</v>
          </cell>
          <cell r="P4" t="str">
            <v>OIS 2Y</v>
          </cell>
          <cell r="Q4" t="str">
            <v>OIS 3Y</v>
          </cell>
          <cell r="R4" t="str">
            <v>OIS 5Y</v>
          </cell>
          <cell r="S4" t="str">
            <v>Liquidity</v>
          </cell>
          <cell r="T4" t="str">
            <v>10Y AAA(%)</v>
          </cell>
          <cell r="U4" t="str">
            <v>5Y AAA(%)</v>
          </cell>
          <cell r="V4" t="str">
            <v>3Y AAA(%)</v>
          </cell>
          <cell r="W4" t="str">
            <v>1Y AAA(%)</v>
          </cell>
          <cell r="X4" t="str">
            <v>Call Rate (%)</v>
          </cell>
          <cell r="Y4" t="str">
            <v>Repo Rate</v>
          </cell>
          <cell r="Z4" t="str">
            <v>R.Repo Rate</v>
          </cell>
          <cell r="AA4" t="str">
            <v>CRR</v>
          </cell>
          <cell r="AB4" t="str">
            <v>SLR</v>
          </cell>
          <cell r="AC4" t="str">
            <v>USD/INR</v>
          </cell>
          <cell r="AD4" t="str">
            <v>Euro/ USD</v>
          </cell>
          <cell r="AE4" t="str">
            <v>Euro/ INR</v>
          </cell>
          <cell r="AF4" t="str">
            <v>USDCNY</v>
          </cell>
          <cell r="AG4" t="str">
            <v>Crude(Brent) $ Barrel</v>
          </cell>
          <cell r="AH4" t="str">
            <v>Gold ($/Oz)</v>
          </cell>
          <cell r="AI4" t="str">
            <v>Sensex (Prev close)</v>
          </cell>
          <cell r="AJ4" t="str">
            <v>Nifty (Prev close)</v>
          </cell>
          <cell r="AK4" t="str">
            <v>Dow Jones</v>
          </cell>
          <cell r="AL4" t="str">
            <v>Nasdaq</v>
          </cell>
          <cell r="AM4" t="str">
            <v>Hangseng</v>
          </cell>
          <cell r="AN4" t="str">
            <v>Shanghai</v>
          </cell>
          <cell r="AO4" t="str">
            <v>(CPI ) Inflation (%)</v>
          </cell>
          <cell r="AP4" t="str">
            <v>(WPI ) Inflation (%)</v>
          </cell>
          <cell r="AQ4" t="str">
            <v>Trade Deficit USD  Million</v>
          </cell>
          <cell r="AR4" t="str">
            <v>Current Account Deficit (as a % of GDP )</v>
          </cell>
          <cell r="AS4" t="str">
            <v>FII Flow (USD Bn)</v>
          </cell>
          <cell r="AT4" t="str">
            <v>FDI Flow ( USD Bn)</v>
          </cell>
          <cell r="AU4" t="str">
            <v>IIP</v>
          </cell>
          <cell r="AV4" t="str">
            <v>GDP Growth</v>
          </cell>
          <cell r="AW4" t="str">
            <v>US Non farm payroll</v>
          </cell>
          <cell r="AX4" t="str">
            <v>US Jobless Claims</v>
          </cell>
          <cell r="AY4" t="str">
            <v xml:space="preserve">Fiscal Deficit (% of GDP) </v>
          </cell>
          <cell r="AZ4" t="str">
            <v>US 10 year</v>
          </cell>
          <cell r="BA4" t="str">
            <v>3M CD</v>
          </cell>
          <cell r="BB4" t="str">
            <v>6M CD</v>
          </cell>
          <cell r="BC4" t="str">
            <v>12M CD</v>
          </cell>
          <cell r="BD4" t="str">
            <v>2Y Gsec (%)</v>
          </cell>
          <cell r="BE4" t="str">
            <v>OIS 1Y</v>
          </cell>
          <cell r="BF4" t="str">
            <v>OIS 2Y</v>
          </cell>
          <cell r="BG4" t="str">
            <v>OIS 3Y</v>
          </cell>
          <cell r="BH4" t="str">
            <v>OIS 5Y</v>
          </cell>
          <cell r="BI4" t="str">
            <v>AAA PSU CORP. Bonds - 10 Y</v>
          </cell>
          <cell r="BJ4" t="str">
            <v>AAA PSU CORP. Bonds - 5 Y</v>
          </cell>
          <cell r="BK4" t="str">
            <v>AAA PSU CORP. Bonds - 3 Y</v>
          </cell>
          <cell r="BL4" t="str">
            <v>AAA PSU CORP. Bonds - 1 Y</v>
          </cell>
          <cell r="BM4" t="str">
            <v>AAA NBFC CORP. Bonds - 2 Y</v>
          </cell>
          <cell r="BN4" t="str">
            <v>AAA NBFC CORP. Bonds - 3 Y</v>
          </cell>
          <cell r="BO4" t="str">
            <v>AAA NBFC CORP. Bonds - 5 Y</v>
          </cell>
          <cell r="BP4" t="str">
            <v>AAA NBFC CORP. Bonds - 10 Y</v>
          </cell>
          <cell r="BQ4" t="str">
            <v>AA NBFC CORP. Bonds - 2 Y</v>
          </cell>
          <cell r="BR4" t="str">
            <v>AA NBFC CORP. Bonds - 3 Y</v>
          </cell>
          <cell r="BS4" t="str">
            <v>AA NBFC CORP. Bonds - 5 Y</v>
          </cell>
          <cell r="BT4" t="str">
            <v>AA NBFC CORP. Bonds - 10 Y</v>
          </cell>
          <cell r="BU4" t="str">
            <v>12M CD</v>
          </cell>
          <cell r="BV4" t="str">
            <v>6M CD</v>
          </cell>
          <cell r="BW4" t="str">
            <v>3M CD</v>
          </cell>
        </row>
        <row r="5069">
          <cell r="A5069">
            <v>45608</v>
          </cell>
          <cell r="B5069">
            <v>6.8289999999999997</v>
          </cell>
          <cell r="C5069">
            <v>6.7640000000000002</v>
          </cell>
          <cell r="D5069">
            <v>6.7169999999999996</v>
          </cell>
          <cell r="E5069">
            <v>6.7140000000000004</v>
          </cell>
          <cell r="F5069">
            <v>6.59</v>
          </cell>
          <cell r="G5069">
            <v>6.6</v>
          </cell>
          <cell r="H5069">
            <v>6.44</v>
          </cell>
          <cell r="I5069">
            <v>6.44</v>
          </cell>
          <cell r="J5069">
            <v>6.31</v>
          </cell>
          <cell r="K5069">
            <v>7.21</v>
          </cell>
          <cell r="L5069">
            <v>7.42</v>
          </cell>
          <cell r="M5069">
            <v>7.48</v>
          </cell>
          <cell r="N5069">
            <v>7.48</v>
          </cell>
          <cell r="O5069">
            <v>6.5412999999999997</v>
          </cell>
          <cell r="P5069">
            <v>6.29</v>
          </cell>
          <cell r="Q5069">
            <v>6.2824999999999998</v>
          </cell>
          <cell r="R5069">
            <v>6.2712000000000003</v>
          </cell>
          <cell r="S5069">
            <v>-205388.92</v>
          </cell>
          <cell r="T5069">
            <v>7.2156000000000002</v>
          </cell>
          <cell r="U5069">
            <v>7.4678000000000004</v>
          </cell>
          <cell r="V5069">
            <v>7.4332000000000003</v>
          </cell>
          <cell r="W5069">
            <v>7.6086</v>
          </cell>
          <cell r="X5069">
            <v>6.45</v>
          </cell>
          <cell r="Y5069">
            <v>6.5</v>
          </cell>
          <cell r="Z5069">
            <v>3.35</v>
          </cell>
          <cell r="AA5069">
            <v>4.5</v>
          </cell>
          <cell r="AB5069">
            <v>18</v>
          </cell>
          <cell r="AC5069">
            <v>84.396299999999997</v>
          </cell>
          <cell r="AD5069">
            <v>1.0623</v>
          </cell>
          <cell r="AE5069">
            <v>89.687399999999997</v>
          </cell>
          <cell r="AF5069">
            <v>7.2346000000000004</v>
          </cell>
          <cell r="AG5069">
            <v>72.915000000000006</v>
          </cell>
          <cell r="AH5069">
            <v>2598.39</v>
          </cell>
          <cell r="AI5069">
            <v>78675.179999999993</v>
          </cell>
          <cell r="AJ5069">
            <v>23883.45</v>
          </cell>
          <cell r="AK5069">
            <v>43910.98</v>
          </cell>
          <cell r="AL5069">
            <v>21070.79</v>
          </cell>
          <cell r="AM5069">
            <v>19846.88</v>
          </cell>
          <cell r="AN5069">
            <v>3421.97</v>
          </cell>
          <cell r="AO5069">
            <v>6.21</v>
          </cell>
          <cell r="AP5069">
            <v>2.75</v>
          </cell>
          <cell r="AQ5069">
            <v>-24125.43</v>
          </cell>
          <cell r="AR5069">
            <v>-0.65</v>
          </cell>
          <cell r="AS5069">
            <v>-12209</v>
          </cell>
          <cell r="AT5069">
            <v>422</v>
          </cell>
          <cell r="AU5069">
            <v>3.7</v>
          </cell>
          <cell r="AV5069">
            <v>5.36</v>
          </cell>
          <cell r="AW5069">
            <v>43</v>
          </cell>
          <cell r="AX5069">
            <v>219</v>
          </cell>
          <cell r="AY5069">
            <v>5.6</v>
          </cell>
          <cell r="AZ5069">
            <v>4.4275000000000002</v>
          </cell>
          <cell r="BA5069">
            <v>7.16</v>
          </cell>
          <cell r="BB5069">
            <v>7.34</v>
          </cell>
          <cell r="BC5069">
            <v>7.53</v>
          </cell>
          <cell r="BD5069">
            <v>6.7140000000000004</v>
          </cell>
          <cell r="BE5069">
            <v>6.5412999999999997</v>
          </cell>
          <cell r="BF5069">
            <v>6.29</v>
          </cell>
          <cell r="BG5069">
            <v>6.2824999999999998</v>
          </cell>
          <cell r="BH5069">
            <v>6.2712000000000003</v>
          </cell>
          <cell r="BI5069">
            <v>7.21</v>
          </cell>
          <cell r="BJ5069">
            <v>7.42</v>
          </cell>
          <cell r="BK5069">
            <v>7.48</v>
          </cell>
          <cell r="BL5069">
            <v>7.48</v>
          </cell>
          <cell r="BM5069">
            <v>7.71</v>
          </cell>
          <cell r="BN5069">
            <v>7.66</v>
          </cell>
          <cell r="BO5069">
            <v>7.65</v>
          </cell>
          <cell r="BP5069">
            <v>7.54</v>
          </cell>
          <cell r="BQ5069">
            <v>8.44</v>
          </cell>
          <cell r="BR5069">
            <v>8.43</v>
          </cell>
          <cell r="BS5069">
            <v>8.44</v>
          </cell>
          <cell r="BT5069">
            <v>8.31</v>
          </cell>
          <cell r="BU5069">
            <v>7.53</v>
          </cell>
          <cell r="BV5069">
            <v>7.34</v>
          </cell>
          <cell r="BW5069">
            <v>7.16</v>
          </cell>
        </row>
        <row r="5070">
          <cell r="A5070">
            <v>45609</v>
          </cell>
          <cell r="B5070">
            <v>6.8369999999999997</v>
          </cell>
          <cell r="C5070">
            <v>6.7720000000000002</v>
          </cell>
          <cell r="D5070">
            <v>6.7160000000000002</v>
          </cell>
          <cell r="E5070">
            <v>6.7149999999999999</v>
          </cell>
          <cell r="F5070">
            <v>6.6</v>
          </cell>
          <cell r="G5070">
            <v>6.6</v>
          </cell>
          <cell r="H5070">
            <v>6.43</v>
          </cell>
          <cell r="I5070">
            <v>6.44</v>
          </cell>
          <cell r="J5070">
            <v>6.33</v>
          </cell>
          <cell r="K5070">
            <v>7.21</v>
          </cell>
          <cell r="L5070">
            <v>7.42</v>
          </cell>
          <cell r="M5070">
            <v>7.49</v>
          </cell>
          <cell r="N5070">
            <v>7.49</v>
          </cell>
          <cell r="O5070">
            <v>6.5549999999999997</v>
          </cell>
          <cell r="P5070">
            <v>6.3125</v>
          </cell>
          <cell r="Q5070">
            <v>6.2962999999999996</v>
          </cell>
          <cell r="R5070">
            <v>6.3019999999999996</v>
          </cell>
          <cell r="S5070">
            <v>-212259.92</v>
          </cell>
          <cell r="T5070">
            <v>7.2259000000000002</v>
          </cell>
          <cell r="U5070">
            <v>7.4678000000000004</v>
          </cell>
          <cell r="V5070">
            <v>7.4332000000000003</v>
          </cell>
          <cell r="W5070">
            <v>7.6189</v>
          </cell>
          <cell r="X5070">
            <v>6.6</v>
          </cell>
          <cell r="Y5070">
            <v>6.5</v>
          </cell>
          <cell r="Z5070">
            <v>3.35</v>
          </cell>
          <cell r="AA5070">
            <v>4.5</v>
          </cell>
          <cell r="AB5070">
            <v>18</v>
          </cell>
          <cell r="AC5070">
            <v>84.422700000000006</v>
          </cell>
          <cell r="AD5070">
            <v>1.0564</v>
          </cell>
          <cell r="AE5070">
            <v>89.691800000000001</v>
          </cell>
          <cell r="AF5070">
            <v>7.2337999999999996</v>
          </cell>
          <cell r="AG5070">
            <v>73.540000000000006</v>
          </cell>
          <cell r="AH5070">
            <v>2572.98</v>
          </cell>
          <cell r="AI5070">
            <v>77690.95</v>
          </cell>
          <cell r="AJ5070">
            <v>23559.05</v>
          </cell>
          <cell r="AK5070">
            <v>43958.19</v>
          </cell>
          <cell r="AL5070">
            <v>21036.16</v>
          </cell>
          <cell r="AM5070">
            <v>19823.45</v>
          </cell>
          <cell r="AN5070">
            <v>3439.2779999999998</v>
          </cell>
          <cell r="AO5070">
            <v>6.21</v>
          </cell>
          <cell r="AP5070">
            <v>2.75</v>
          </cell>
          <cell r="AQ5070">
            <v>-24125.43</v>
          </cell>
          <cell r="AR5070">
            <v>-0.65</v>
          </cell>
          <cell r="AS5070">
            <v>-12209</v>
          </cell>
          <cell r="AT5070">
            <v>422</v>
          </cell>
          <cell r="AU5070">
            <v>3.7</v>
          </cell>
          <cell r="AV5070">
            <v>5.36</v>
          </cell>
          <cell r="AW5070">
            <v>43</v>
          </cell>
          <cell r="AX5070">
            <v>219</v>
          </cell>
          <cell r="AY5070">
            <v>5.6</v>
          </cell>
          <cell r="AZ5070">
            <v>4.4512</v>
          </cell>
          <cell r="BA5070">
            <v>7.17</v>
          </cell>
          <cell r="BB5070">
            <v>7.34</v>
          </cell>
          <cell r="BC5070">
            <v>7.52</v>
          </cell>
          <cell r="BD5070">
            <v>6.7149999999999999</v>
          </cell>
          <cell r="BE5070">
            <v>6.5549999999999997</v>
          </cell>
          <cell r="BF5070">
            <v>6.3125</v>
          </cell>
          <cell r="BG5070">
            <v>6.2962999999999996</v>
          </cell>
          <cell r="BH5070">
            <v>6.3019999999999996</v>
          </cell>
          <cell r="BI5070">
            <v>7.21</v>
          </cell>
          <cell r="BJ5070">
            <v>7.42</v>
          </cell>
          <cell r="BK5070">
            <v>7.49</v>
          </cell>
          <cell r="BL5070">
            <v>7.49</v>
          </cell>
          <cell r="BM5070">
            <v>7.72</v>
          </cell>
          <cell r="BN5070">
            <v>7.66</v>
          </cell>
          <cell r="BO5070">
            <v>7.65</v>
          </cell>
          <cell r="BP5070">
            <v>7.55</v>
          </cell>
          <cell r="BQ5070">
            <v>8.4499999999999993</v>
          </cell>
          <cell r="BR5070">
            <v>8.43</v>
          </cell>
          <cell r="BS5070">
            <v>8.44</v>
          </cell>
          <cell r="BT5070">
            <v>8.32</v>
          </cell>
          <cell r="BU5070">
            <v>7.52</v>
          </cell>
          <cell r="BV5070">
            <v>7.34</v>
          </cell>
          <cell r="BW5070">
            <v>7.17</v>
          </cell>
        </row>
        <row r="5071">
          <cell r="A5071">
            <v>45610</v>
          </cell>
          <cell r="B5071">
            <v>6.8639999999999999</v>
          </cell>
          <cell r="C5071">
            <v>6.8070000000000004</v>
          </cell>
          <cell r="D5071">
            <v>6.7439999999999998</v>
          </cell>
          <cell r="E5071">
            <v>6.7309999999999999</v>
          </cell>
          <cell r="F5071">
            <v>6.62</v>
          </cell>
          <cell r="G5071">
            <v>6.6</v>
          </cell>
          <cell r="H5071">
            <v>6.44</v>
          </cell>
          <cell r="I5071">
            <v>6.42</v>
          </cell>
          <cell r="J5071">
            <v>6.31</v>
          </cell>
          <cell r="K5071">
            <v>7.21</v>
          </cell>
          <cell r="L5071">
            <v>7.42</v>
          </cell>
          <cell r="M5071">
            <v>7.49</v>
          </cell>
          <cell r="N5071">
            <v>7.49</v>
          </cell>
          <cell r="O5071">
            <v>6.5674999999999999</v>
          </cell>
          <cell r="P5071">
            <v>6.3324999999999996</v>
          </cell>
          <cell r="Q5071">
            <v>6.3274999999999997</v>
          </cell>
          <cell r="R5071">
            <v>6.327</v>
          </cell>
          <cell r="S5071">
            <v>-181379.92</v>
          </cell>
          <cell r="T5071">
            <v>7.2465999999999999</v>
          </cell>
          <cell r="U5071">
            <v>7.5091000000000001</v>
          </cell>
          <cell r="V5071">
            <v>7.4436</v>
          </cell>
          <cell r="W5071">
            <v>7.6395999999999997</v>
          </cell>
          <cell r="X5071">
            <v>5.75</v>
          </cell>
          <cell r="Y5071">
            <v>6.5</v>
          </cell>
          <cell r="Z5071">
            <v>3.35</v>
          </cell>
          <cell r="AA5071">
            <v>4.5</v>
          </cell>
          <cell r="AB5071">
            <v>18</v>
          </cell>
          <cell r="AC5071">
            <v>84.456999999999994</v>
          </cell>
          <cell r="AD5071">
            <v>1.0529999999999999</v>
          </cell>
          <cell r="AE5071">
            <v>88.802999999999997</v>
          </cell>
          <cell r="AF5071">
            <v>7.2271000000000001</v>
          </cell>
          <cell r="AG5071">
            <v>73.344999999999999</v>
          </cell>
          <cell r="AH5071">
            <v>2564.85</v>
          </cell>
          <cell r="AI5071">
            <v>77580.31</v>
          </cell>
          <cell r="AJ5071">
            <v>23532.7</v>
          </cell>
          <cell r="AK5071">
            <v>43750.86</v>
          </cell>
          <cell r="AL5071">
            <v>20896.669999999998</v>
          </cell>
          <cell r="AM5071">
            <v>19435.810000000001</v>
          </cell>
          <cell r="AN5071">
            <v>3379.8389999999999</v>
          </cell>
          <cell r="AO5071">
            <v>6.21</v>
          </cell>
          <cell r="AP5071">
            <v>2.75</v>
          </cell>
          <cell r="AQ5071">
            <v>-24125.43</v>
          </cell>
          <cell r="AR5071">
            <v>-0.65</v>
          </cell>
          <cell r="AS5071">
            <v>-12209</v>
          </cell>
          <cell r="AT5071">
            <v>422</v>
          </cell>
          <cell r="AU5071">
            <v>3.7</v>
          </cell>
          <cell r="AV5071">
            <v>5.36</v>
          </cell>
          <cell r="AW5071">
            <v>43</v>
          </cell>
          <cell r="AX5071">
            <v>219</v>
          </cell>
          <cell r="AY5071">
            <v>5.6</v>
          </cell>
          <cell r="AZ5071">
            <v>4.4353999999999996</v>
          </cell>
          <cell r="BA5071">
            <v>7.18</v>
          </cell>
          <cell r="BB5071">
            <v>7.36</v>
          </cell>
          <cell r="BC5071">
            <v>7.53</v>
          </cell>
          <cell r="BD5071">
            <v>6.7309999999999999</v>
          </cell>
          <cell r="BE5071">
            <v>6.5674999999999999</v>
          </cell>
          <cell r="BF5071">
            <v>6.3324999999999996</v>
          </cell>
          <cell r="BG5071">
            <v>6.3274999999999997</v>
          </cell>
          <cell r="BH5071">
            <v>6.327</v>
          </cell>
          <cell r="BI5071">
            <v>7.21</v>
          </cell>
          <cell r="BJ5071">
            <v>7.42</v>
          </cell>
          <cell r="BK5071">
            <v>7.49</v>
          </cell>
          <cell r="BL5071">
            <v>7.49</v>
          </cell>
          <cell r="BM5071">
            <v>7.73</v>
          </cell>
          <cell r="BN5071">
            <v>7.67</v>
          </cell>
          <cell r="BO5071">
            <v>7.69</v>
          </cell>
          <cell r="BP5071">
            <v>7.57</v>
          </cell>
          <cell r="BQ5071">
            <v>8.4600000000000009</v>
          </cell>
          <cell r="BR5071">
            <v>8.44</v>
          </cell>
          <cell r="BS5071">
            <v>8.48</v>
          </cell>
          <cell r="BT5071">
            <v>8.34</v>
          </cell>
          <cell r="BU5071">
            <v>7.53</v>
          </cell>
          <cell r="BV5071">
            <v>7.36</v>
          </cell>
          <cell r="BW5071">
            <v>7.18</v>
          </cell>
        </row>
        <row r="5072">
          <cell r="A5072">
            <v>45611</v>
          </cell>
          <cell r="B5072">
            <v>6.8639999999999999</v>
          </cell>
          <cell r="C5072">
            <v>6.8070000000000004</v>
          </cell>
          <cell r="D5072">
            <v>6.7439999999999998</v>
          </cell>
          <cell r="E5072">
            <v>6.7309999999999999</v>
          </cell>
          <cell r="F5072">
            <v>6.62</v>
          </cell>
          <cell r="G5072">
            <v>6.6</v>
          </cell>
          <cell r="H5072">
            <v>6.44</v>
          </cell>
          <cell r="I5072">
            <v>6.42</v>
          </cell>
          <cell r="J5072">
            <v>6.31</v>
          </cell>
          <cell r="K5072">
            <v>7.21</v>
          </cell>
          <cell r="L5072">
            <v>7.42</v>
          </cell>
          <cell r="M5072">
            <v>7.49</v>
          </cell>
          <cell r="N5072">
            <v>7.49</v>
          </cell>
          <cell r="O5072">
            <v>6.5674999999999999</v>
          </cell>
          <cell r="P5072">
            <v>6.3324999999999996</v>
          </cell>
          <cell r="Q5072">
            <v>6.3274999999999997</v>
          </cell>
          <cell r="R5072">
            <v>6.327</v>
          </cell>
          <cell r="S5072">
            <v>-196339.92</v>
          </cell>
          <cell r="T5072">
            <v>7.2465999999999999</v>
          </cell>
          <cell r="U5072">
            <v>7.5091000000000001</v>
          </cell>
          <cell r="V5072">
            <v>7.4436</v>
          </cell>
          <cell r="W5072">
            <v>7.6395999999999997</v>
          </cell>
          <cell r="X5072">
            <v>5.75</v>
          </cell>
          <cell r="Y5072">
            <v>6.5</v>
          </cell>
          <cell r="Z5072">
            <v>3.35</v>
          </cell>
          <cell r="AA5072">
            <v>4.5</v>
          </cell>
          <cell r="AB5072">
            <v>18</v>
          </cell>
          <cell r="AC5072">
            <v>84.480800000000002</v>
          </cell>
          <cell r="AD5072">
            <v>1.054</v>
          </cell>
          <cell r="AE5072">
            <v>88.802999999999997</v>
          </cell>
          <cell r="AF5072">
            <v>7.2294</v>
          </cell>
          <cell r="AG5072">
            <v>73.435000000000002</v>
          </cell>
          <cell r="AH5072">
            <v>2563.25</v>
          </cell>
          <cell r="AI5072">
            <v>77580.31</v>
          </cell>
          <cell r="AJ5072">
            <v>23532.7</v>
          </cell>
          <cell r="AK5072">
            <v>43444.99</v>
          </cell>
          <cell r="AL5072">
            <v>20394.13</v>
          </cell>
          <cell r="AM5072">
            <v>19426.34</v>
          </cell>
          <cell r="AN5072">
            <v>3330.7260000000001</v>
          </cell>
          <cell r="AO5072">
            <v>6.21</v>
          </cell>
          <cell r="AP5072">
            <v>2.75</v>
          </cell>
          <cell r="AQ5072">
            <v>-24125.43</v>
          </cell>
          <cell r="AR5072">
            <v>-0.65</v>
          </cell>
          <cell r="AS5072">
            <v>-12209</v>
          </cell>
          <cell r="AT5072">
            <v>422</v>
          </cell>
          <cell r="AU5072">
            <v>3.7</v>
          </cell>
          <cell r="AV5072">
            <v>5.36</v>
          </cell>
          <cell r="AW5072">
            <v>43</v>
          </cell>
          <cell r="AX5072">
            <v>215</v>
          </cell>
          <cell r="AY5072">
            <v>5.6</v>
          </cell>
          <cell r="AZ5072">
            <v>4.4394</v>
          </cell>
          <cell r="BA5072">
            <v>7.18</v>
          </cell>
          <cell r="BB5072">
            <v>7.36</v>
          </cell>
          <cell r="BC5072">
            <v>7.53</v>
          </cell>
          <cell r="BD5072">
            <v>6.7309999999999999</v>
          </cell>
          <cell r="BE5072">
            <v>6.5674999999999999</v>
          </cell>
          <cell r="BF5072">
            <v>6.3324999999999996</v>
          </cell>
          <cell r="BG5072">
            <v>6.3274999999999997</v>
          </cell>
          <cell r="BH5072">
            <v>6.327</v>
          </cell>
          <cell r="BI5072">
            <v>7.21</v>
          </cell>
          <cell r="BJ5072">
            <v>7.42</v>
          </cell>
          <cell r="BK5072">
            <v>7.49</v>
          </cell>
          <cell r="BL5072">
            <v>7.49</v>
          </cell>
          <cell r="BM5072">
            <v>7.73</v>
          </cell>
          <cell r="BN5072">
            <v>7.67</v>
          </cell>
          <cell r="BO5072">
            <v>7.69</v>
          </cell>
          <cell r="BP5072">
            <v>7.57</v>
          </cell>
          <cell r="BQ5072">
            <v>8.4600000000000009</v>
          </cell>
          <cell r="BR5072">
            <v>8.44</v>
          </cell>
          <cell r="BS5072">
            <v>8.48</v>
          </cell>
          <cell r="BT5072">
            <v>8.34</v>
          </cell>
          <cell r="BU5072">
            <v>7.53</v>
          </cell>
          <cell r="BV5072">
            <v>7.36</v>
          </cell>
          <cell r="BW5072">
            <v>7.18</v>
          </cell>
        </row>
        <row r="5073">
          <cell r="A5073">
            <v>45612</v>
          </cell>
          <cell r="B5073">
            <v>6.8639999999999999</v>
          </cell>
          <cell r="C5073">
            <v>6.8070000000000004</v>
          </cell>
          <cell r="D5073">
            <v>6.7439999999999998</v>
          </cell>
          <cell r="E5073">
            <v>6.7309999999999999</v>
          </cell>
          <cell r="F5073">
            <v>6.62</v>
          </cell>
          <cell r="G5073">
            <v>6.6</v>
          </cell>
          <cell r="H5073">
            <v>6.44</v>
          </cell>
          <cell r="I5073">
            <v>6.42</v>
          </cell>
          <cell r="J5073">
            <v>6.31</v>
          </cell>
          <cell r="K5073">
            <v>7.21</v>
          </cell>
          <cell r="L5073">
            <v>7.42</v>
          </cell>
          <cell r="M5073">
            <v>7.49</v>
          </cell>
          <cell r="N5073">
            <v>7.49</v>
          </cell>
          <cell r="O5073">
            <v>6.5674999999999999</v>
          </cell>
          <cell r="P5073">
            <v>6.3324999999999996</v>
          </cell>
          <cell r="Q5073">
            <v>6.3274999999999997</v>
          </cell>
          <cell r="R5073">
            <v>6.327</v>
          </cell>
          <cell r="S5073">
            <v>-163962.92000000001</v>
          </cell>
          <cell r="T5073">
            <v>7.2465999999999999</v>
          </cell>
          <cell r="U5073">
            <v>7.5091000000000001</v>
          </cell>
          <cell r="V5073">
            <v>7.4436</v>
          </cell>
          <cell r="W5073">
            <v>7.6395999999999997</v>
          </cell>
          <cell r="X5073">
            <v>5.75</v>
          </cell>
          <cell r="Y5073">
            <v>6.5</v>
          </cell>
          <cell r="Z5073">
            <v>3.35</v>
          </cell>
          <cell r="AA5073">
            <v>4.5</v>
          </cell>
          <cell r="AB5073">
            <v>18</v>
          </cell>
          <cell r="AC5073">
            <v>84.480800000000002</v>
          </cell>
          <cell r="AD5073">
            <v>1.054</v>
          </cell>
          <cell r="AE5073">
            <v>88.802999999999997</v>
          </cell>
          <cell r="AF5073">
            <v>7.2294</v>
          </cell>
          <cell r="AG5073">
            <v>73.435000000000002</v>
          </cell>
          <cell r="AH5073">
            <v>2563.25</v>
          </cell>
          <cell r="AI5073">
            <v>77580.31</v>
          </cell>
          <cell r="AJ5073">
            <v>23532.7</v>
          </cell>
          <cell r="AK5073">
            <v>43444.99</v>
          </cell>
          <cell r="AL5073">
            <v>20394.13</v>
          </cell>
          <cell r="AM5073">
            <v>19426.34</v>
          </cell>
          <cell r="AN5073">
            <v>3330.7260000000001</v>
          </cell>
          <cell r="AO5073">
            <v>6.21</v>
          </cell>
          <cell r="AP5073">
            <v>2.75</v>
          </cell>
          <cell r="AQ5073">
            <v>-24125.43</v>
          </cell>
          <cell r="AR5073">
            <v>-0.65</v>
          </cell>
          <cell r="AS5073">
            <v>-12209</v>
          </cell>
          <cell r="AT5073">
            <v>422</v>
          </cell>
          <cell r="AU5073">
            <v>3.7</v>
          </cell>
          <cell r="AV5073">
            <v>5.36</v>
          </cell>
          <cell r="AW5073">
            <v>43</v>
          </cell>
          <cell r="AX5073">
            <v>215</v>
          </cell>
          <cell r="AY5073">
            <v>5.6</v>
          </cell>
          <cell r="AZ5073">
            <v>4.4394</v>
          </cell>
          <cell r="BA5073">
            <v>7.18</v>
          </cell>
          <cell r="BB5073">
            <v>7.36</v>
          </cell>
          <cell r="BC5073">
            <v>7.53</v>
          </cell>
          <cell r="BD5073">
            <v>6.7309999999999999</v>
          </cell>
          <cell r="BE5073">
            <v>6.5674999999999999</v>
          </cell>
          <cell r="BF5073">
            <v>6.3324999999999996</v>
          </cell>
          <cell r="BG5073">
            <v>6.3274999999999997</v>
          </cell>
          <cell r="BH5073">
            <v>6.327</v>
          </cell>
          <cell r="BI5073">
            <v>7.21</v>
          </cell>
          <cell r="BJ5073">
            <v>7.42</v>
          </cell>
          <cell r="BK5073">
            <v>7.49</v>
          </cell>
          <cell r="BL5073">
            <v>7.49</v>
          </cell>
          <cell r="BM5073">
            <v>7.73</v>
          </cell>
          <cell r="BN5073">
            <v>7.67</v>
          </cell>
          <cell r="BO5073">
            <v>7.69</v>
          </cell>
          <cell r="BP5073">
            <v>7.57</v>
          </cell>
          <cell r="BQ5073">
            <v>8.4600000000000009</v>
          </cell>
          <cell r="BR5073">
            <v>8.44</v>
          </cell>
          <cell r="BS5073">
            <v>8.48</v>
          </cell>
          <cell r="BT5073">
            <v>8.34</v>
          </cell>
          <cell r="BU5073">
            <v>7.53</v>
          </cell>
          <cell r="BV5073">
            <v>7.36</v>
          </cell>
          <cell r="BW5073">
            <v>7.18</v>
          </cell>
        </row>
        <row r="5074">
          <cell r="A5074">
            <v>45613</v>
          </cell>
          <cell r="B5074">
            <v>6.8639999999999999</v>
          </cell>
          <cell r="C5074">
            <v>6.8070000000000004</v>
          </cell>
          <cell r="D5074">
            <v>6.7439999999999998</v>
          </cell>
          <cell r="E5074">
            <v>6.7309999999999999</v>
          </cell>
          <cell r="F5074">
            <v>6.62</v>
          </cell>
          <cell r="G5074">
            <v>6.6</v>
          </cell>
          <cell r="H5074">
            <v>6.44</v>
          </cell>
          <cell r="I5074">
            <v>6.42</v>
          </cell>
          <cell r="J5074">
            <v>6.31</v>
          </cell>
          <cell r="K5074">
            <v>7.21</v>
          </cell>
          <cell r="L5074">
            <v>7.42</v>
          </cell>
          <cell r="M5074">
            <v>7.49</v>
          </cell>
          <cell r="N5074">
            <v>7.49</v>
          </cell>
          <cell r="O5074">
            <v>6.5674999999999999</v>
          </cell>
          <cell r="P5074">
            <v>6.3324999999999996</v>
          </cell>
          <cell r="Q5074">
            <v>6.3274999999999997</v>
          </cell>
          <cell r="R5074">
            <v>6.327</v>
          </cell>
          <cell r="S5074">
            <v>-166136.92000000001</v>
          </cell>
          <cell r="T5074">
            <v>7.2465999999999999</v>
          </cell>
          <cell r="U5074">
            <v>7.5091000000000001</v>
          </cell>
          <cell r="V5074">
            <v>7.4436</v>
          </cell>
          <cell r="W5074">
            <v>7.6395999999999997</v>
          </cell>
          <cell r="X5074">
            <v>5.75</v>
          </cell>
          <cell r="Y5074">
            <v>6.5</v>
          </cell>
          <cell r="Z5074">
            <v>3.35</v>
          </cell>
          <cell r="AA5074">
            <v>4.5</v>
          </cell>
          <cell r="AB5074">
            <v>18</v>
          </cell>
          <cell r="AC5074">
            <v>84.480800000000002</v>
          </cell>
          <cell r="AD5074">
            <v>1.054</v>
          </cell>
          <cell r="AE5074">
            <v>88.802999999999997</v>
          </cell>
          <cell r="AF5074">
            <v>7.2294</v>
          </cell>
          <cell r="AG5074">
            <v>73.435000000000002</v>
          </cell>
          <cell r="AH5074">
            <v>2563.25</v>
          </cell>
          <cell r="AI5074">
            <v>77580.31</v>
          </cell>
          <cell r="AJ5074">
            <v>23532.7</v>
          </cell>
          <cell r="AK5074">
            <v>43444.99</v>
          </cell>
          <cell r="AL5074">
            <v>20394.13</v>
          </cell>
          <cell r="AM5074">
            <v>19426.34</v>
          </cell>
          <cell r="AN5074">
            <v>3330.7260000000001</v>
          </cell>
          <cell r="AO5074">
            <v>6.21</v>
          </cell>
          <cell r="AP5074">
            <v>2.75</v>
          </cell>
          <cell r="AQ5074">
            <v>-24125.43</v>
          </cell>
          <cell r="AR5074">
            <v>-0.65</v>
          </cell>
          <cell r="AS5074">
            <v>-12209</v>
          </cell>
          <cell r="AT5074">
            <v>422</v>
          </cell>
          <cell r="AU5074">
            <v>3.7</v>
          </cell>
          <cell r="AV5074">
            <v>5.36</v>
          </cell>
          <cell r="AW5074">
            <v>43</v>
          </cell>
          <cell r="AX5074">
            <v>215</v>
          </cell>
          <cell r="AY5074">
            <v>5.6</v>
          </cell>
          <cell r="AZ5074">
            <v>4.4394</v>
          </cell>
          <cell r="BA5074">
            <v>7.18</v>
          </cell>
          <cell r="BB5074">
            <v>7.36</v>
          </cell>
          <cell r="BC5074">
            <v>7.53</v>
          </cell>
          <cell r="BD5074">
            <v>6.7309999999999999</v>
          </cell>
          <cell r="BE5074">
            <v>6.5674999999999999</v>
          </cell>
          <cell r="BF5074">
            <v>6.3324999999999996</v>
          </cell>
          <cell r="BG5074">
            <v>6.3274999999999997</v>
          </cell>
          <cell r="BH5074">
            <v>6.327</v>
          </cell>
          <cell r="BI5074">
            <v>7.21</v>
          </cell>
          <cell r="BJ5074">
            <v>7.42</v>
          </cell>
          <cell r="BK5074">
            <v>7.49</v>
          </cell>
          <cell r="BL5074">
            <v>7.49</v>
          </cell>
          <cell r="BM5074">
            <v>7.73</v>
          </cell>
          <cell r="BN5074">
            <v>7.67</v>
          </cell>
          <cell r="BO5074">
            <v>7.69</v>
          </cell>
          <cell r="BP5074">
            <v>7.57</v>
          </cell>
          <cell r="BQ5074">
            <v>8.4600000000000009</v>
          </cell>
          <cell r="BR5074">
            <v>8.44</v>
          </cell>
          <cell r="BS5074">
            <v>8.48</v>
          </cell>
          <cell r="BT5074">
            <v>8.34</v>
          </cell>
          <cell r="BU5074">
            <v>7.53</v>
          </cell>
          <cell r="BV5074">
            <v>7.36</v>
          </cell>
          <cell r="BW5074">
            <v>7.18</v>
          </cell>
        </row>
        <row r="5075">
          <cell r="A5075">
            <v>45614</v>
          </cell>
          <cell r="B5075">
            <v>6.8559999999999999</v>
          </cell>
          <cell r="C5075">
            <v>6.798</v>
          </cell>
          <cell r="D5075">
            <v>6.7220000000000004</v>
          </cell>
          <cell r="E5075">
            <v>6.7210000000000001</v>
          </cell>
          <cell r="F5075">
            <v>6.59</v>
          </cell>
          <cell r="G5075">
            <v>6.59</v>
          </cell>
          <cell r="H5075">
            <v>6.45</v>
          </cell>
          <cell r="I5075">
            <v>6.45</v>
          </cell>
          <cell r="J5075">
            <v>6.35</v>
          </cell>
          <cell r="K5075">
            <v>7.21</v>
          </cell>
          <cell r="L5075">
            <v>7.42</v>
          </cell>
          <cell r="M5075">
            <v>7.5</v>
          </cell>
          <cell r="N5075">
            <v>7.5</v>
          </cell>
          <cell r="O5075">
            <v>6.5549999999999997</v>
          </cell>
          <cell r="P5075">
            <v>6.31</v>
          </cell>
          <cell r="Q5075">
            <v>6.2949999999999999</v>
          </cell>
          <cell r="R5075">
            <v>6.3025000000000002</v>
          </cell>
          <cell r="S5075">
            <v>-169057.09</v>
          </cell>
          <cell r="T5075">
            <v>7.2465999999999999</v>
          </cell>
          <cell r="U5075">
            <v>7.4988000000000001</v>
          </cell>
          <cell r="V5075">
            <v>7.4436</v>
          </cell>
          <cell r="W5075">
            <v>7.6086</v>
          </cell>
          <cell r="X5075">
            <v>6.6</v>
          </cell>
          <cell r="Y5075">
            <v>6.5</v>
          </cell>
          <cell r="Z5075">
            <v>3.35</v>
          </cell>
          <cell r="AA5075">
            <v>4.5</v>
          </cell>
          <cell r="AB5075">
            <v>18</v>
          </cell>
          <cell r="AC5075">
            <v>84.403400000000005</v>
          </cell>
          <cell r="AD5075">
            <v>1.0598000000000001</v>
          </cell>
          <cell r="AE5075">
            <v>89.180400000000006</v>
          </cell>
          <cell r="AF5075">
            <v>7.2320000000000002</v>
          </cell>
          <cell r="AG5075">
            <v>74.459999999999994</v>
          </cell>
          <cell r="AH5075">
            <v>2611.83</v>
          </cell>
          <cell r="AI5075">
            <v>77339.009999999995</v>
          </cell>
          <cell r="AJ5075">
            <v>23453.8</v>
          </cell>
          <cell r="AK5075">
            <v>43389.599999999999</v>
          </cell>
          <cell r="AL5075">
            <v>20539.189999999999</v>
          </cell>
          <cell r="AM5075">
            <v>19576.61</v>
          </cell>
          <cell r="AN5075">
            <v>3323.8490000000002</v>
          </cell>
          <cell r="AO5075">
            <v>6.21</v>
          </cell>
          <cell r="AP5075">
            <v>2.75</v>
          </cell>
          <cell r="AQ5075">
            <v>-24125.43</v>
          </cell>
          <cell r="AR5075">
            <v>-0.65</v>
          </cell>
          <cell r="AS5075">
            <v>-12209</v>
          </cell>
          <cell r="AT5075">
            <v>422</v>
          </cell>
          <cell r="AU5075">
            <v>3.7</v>
          </cell>
          <cell r="AV5075">
            <v>5.36</v>
          </cell>
          <cell r="AW5075">
            <v>43</v>
          </cell>
          <cell r="AX5075">
            <v>215</v>
          </cell>
          <cell r="AY5075">
            <v>5.6</v>
          </cell>
          <cell r="AZ5075">
            <v>4.4138000000000002</v>
          </cell>
          <cell r="BA5075">
            <v>7.17</v>
          </cell>
          <cell r="BB5075">
            <v>7.35</v>
          </cell>
          <cell r="BC5075">
            <v>7.52</v>
          </cell>
          <cell r="BD5075">
            <v>6.7210000000000001</v>
          </cell>
          <cell r="BE5075">
            <v>6.5549999999999997</v>
          </cell>
          <cell r="BF5075">
            <v>6.31</v>
          </cell>
          <cell r="BG5075">
            <v>6.2949999999999999</v>
          </cell>
          <cell r="BH5075">
            <v>6.3025000000000002</v>
          </cell>
          <cell r="BI5075">
            <v>7.21</v>
          </cell>
          <cell r="BJ5075">
            <v>7.42</v>
          </cell>
          <cell r="BK5075">
            <v>7.5</v>
          </cell>
          <cell r="BL5075">
            <v>7.5</v>
          </cell>
          <cell r="BM5075">
            <v>7.72</v>
          </cell>
          <cell r="BN5075">
            <v>7.67</v>
          </cell>
          <cell r="BO5075">
            <v>7.68</v>
          </cell>
          <cell r="BP5075">
            <v>7.57</v>
          </cell>
          <cell r="BQ5075">
            <v>8.4499999999999993</v>
          </cell>
          <cell r="BR5075">
            <v>8.44</v>
          </cell>
          <cell r="BS5075">
            <v>8.4700000000000006</v>
          </cell>
          <cell r="BT5075">
            <v>8.34</v>
          </cell>
          <cell r="BU5075">
            <v>7.52</v>
          </cell>
          <cell r="BV5075">
            <v>7.35</v>
          </cell>
          <cell r="BW5075">
            <v>7.17</v>
          </cell>
        </row>
        <row r="5076">
          <cell r="A5076">
            <v>45615</v>
          </cell>
          <cell r="B5076">
            <v>6.8460000000000001</v>
          </cell>
          <cell r="C5076">
            <v>6.7889999999999997</v>
          </cell>
          <cell r="D5076">
            <v>6.7119999999999997</v>
          </cell>
          <cell r="E5076">
            <v>6.702</v>
          </cell>
          <cell r="F5076">
            <v>6.58</v>
          </cell>
          <cell r="G5076">
            <v>6.59</v>
          </cell>
          <cell r="H5076">
            <v>6.45</v>
          </cell>
          <cell r="I5076">
            <v>6.43</v>
          </cell>
          <cell r="J5076">
            <v>6.33</v>
          </cell>
          <cell r="K5076">
            <v>7.22</v>
          </cell>
          <cell r="L5076">
            <v>7.43</v>
          </cell>
          <cell r="M5076">
            <v>7.51</v>
          </cell>
          <cell r="N5076">
            <v>7.51</v>
          </cell>
          <cell r="O5076">
            <v>6.53</v>
          </cell>
          <cell r="P5076">
            <v>6.2779999999999996</v>
          </cell>
          <cell r="Q5076">
            <v>6.2549999999999999</v>
          </cell>
          <cell r="R5076">
            <v>6.24</v>
          </cell>
          <cell r="S5076">
            <v>-103894.09</v>
          </cell>
          <cell r="T5076">
            <v>7.2163000000000004</v>
          </cell>
          <cell r="U5076">
            <v>7.4206000000000003</v>
          </cell>
          <cell r="V5076">
            <v>7.4231999999999996</v>
          </cell>
          <cell r="W5076">
            <v>7.5282</v>
          </cell>
          <cell r="X5076">
            <v>5.75</v>
          </cell>
          <cell r="Y5076">
            <v>6.5</v>
          </cell>
          <cell r="Z5076">
            <v>3.35</v>
          </cell>
          <cell r="AA5076">
            <v>4.5</v>
          </cell>
          <cell r="AB5076">
            <v>18</v>
          </cell>
          <cell r="AC5076">
            <v>84.386399999999995</v>
          </cell>
          <cell r="AD5076">
            <v>1.0596000000000001</v>
          </cell>
          <cell r="AE5076">
            <v>89.061599999999999</v>
          </cell>
          <cell r="AF5076">
            <v>7.2392000000000003</v>
          </cell>
          <cell r="AG5076">
            <v>73.97</v>
          </cell>
          <cell r="AH5076">
            <v>2632.08</v>
          </cell>
          <cell r="AI5076">
            <v>77578.38</v>
          </cell>
          <cell r="AJ5076">
            <v>23518.5</v>
          </cell>
          <cell r="AK5076">
            <v>43268.94</v>
          </cell>
          <cell r="AL5076">
            <v>20684.59</v>
          </cell>
          <cell r="AM5076">
            <v>19663.669999999998</v>
          </cell>
          <cell r="AN5076">
            <v>3346.01</v>
          </cell>
          <cell r="AO5076">
            <v>6.21</v>
          </cell>
          <cell r="AP5076">
            <v>2.75</v>
          </cell>
          <cell r="AQ5076">
            <v>-24125.43</v>
          </cell>
          <cell r="AR5076">
            <v>-0.65</v>
          </cell>
          <cell r="AS5076">
            <v>-12209</v>
          </cell>
          <cell r="AT5076">
            <v>422</v>
          </cell>
          <cell r="AU5076">
            <v>3.7</v>
          </cell>
          <cell r="AV5076">
            <v>5.36</v>
          </cell>
          <cell r="AW5076">
            <v>43</v>
          </cell>
          <cell r="AX5076">
            <v>215</v>
          </cell>
          <cell r="AY5076">
            <v>5.6</v>
          </cell>
          <cell r="AZ5076">
            <v>4.3962000000000003</v>
          </cell>
          <cell r="BA5076">
            <v>7.2</v>
          </cell>
          <cell r="BB5076">
            <v>7.42</v>
          </cell>
          <cell r="BC5076">
            <v>7.52</v>
          </cell>
          <cell r="BD5076">
            <v>6.702</v>
          </cell>
          <cell r="BE5076">
            <v>6.53</v>
          </cell>
          <cell r="BF5076">
            <v>6.2779999999999996</v>
          </cell>
          <cell r="BG5076">
            <v>6.2549999999999999</v>
          </cell>
          <cell r="BH5076">
            <v>6.24</v>
          </cell>
          <cell r="BI5076">
            <v>7.22</v>
          </cell>
          <cell r="BJ5076">
            <v>7.43</v>
          </cell>
          <cell r="BK5076">
            <v>7.51</v>
          </cell>
          <cell r="BL5076">
            <v>7.51</v>
          </cell>
          <cell r="BM5076">
            <v>7.74</v>
          </cell>
          <cell r="BN5076">
            <v>7.68</v>
          </cell>
          <cell r="BO5076">
            <v>7.69</v>
          </cell>
          <cell r="BP5076">
            <v>7.55</v>
          </cell>
          <cell r="BQ5076">
            <v>8.4499999999999993</v>
          </cell>
          <cell r="BR5076">
            <v>8.51</v>
          </cell>
          <cell r="BS5076">
            <v>8.4700000000000006</v>
          </cell>
          <cell r="BT5076">
            <v>8.3800000000000008</v>
          </cell>
          <cell r="BU5076">
            <v>7.52</v>
          </cell>
          <cell r="BV5076">
            <v>7.42</v>
          </cell>
          <cell r="BW5076">
            <v>7.2</v>
          </cell>
        </row>
        <row r="5077">
          <cell r="A5077">
            <v>45616</v>
          </cell>
          <cell r="B5077">
            <v>6.8460000000000001</v>
          </cell>
          <cell r="C5077">
            <v>6.7889999999999997</v>
          </cell>
          <cell r="D5077">
            <v>6.7119999999999997</v>
          </cell>
          <cell r="E5077">
            <v>6.702</v>
          </cell>
          <cell r="F5077">
            <v>6.58</v>
          </cell>
          <cell r="G5077">
            <v>6.59</v>
          </cell>
          <cell r="H5077">
            <v>6.45</v>
          </cell>
          <cell r="I5077">
            <v>6.43</v>
          </cell>
          <cell r="J5077">
            <v>6.33</v>
          </cell>
          <cell r="K5077">
            <v>7.22</v>
          </cell>
          <cell r="L5077">
            <v>7.43</v>
          </cell>
          <cell r="M5077">
            <v>7.51</v>
          </cell>
          <cell r="N5077">
            <v>7.51</v>
          </cell>
          <cell r="O5077">
            <v>6.53</v>
          </cell>
          <cell r="P5077">
            <v>6.2779999999999996</v>
          </cell>
          <cell r="Q5077">
            <v>6.2549999999999999</v>
          </cell>
          <cell r="R5077">
            <v>6.24</v>
          </cell>
          <cell r="S5077">
            <v>-97136.09</v>
          </cell>
          <cell r="T5077">
            <v>7.2163000000000004</v>
          </cell>
          <cell r="U5077">
            <v>7.4206000000000003</v>
          </cell>
          <cell r="V5077">
            <v>7.4231999999999996</v>
          </cell>
          <cell r="W5077">
            <v>7.5282</v>
          </cell>
          <cell r="X5077">
            <v>6.65</v>
          </cell>
          <cell r="Y5077">
            <v>6.5</v>
          </cell>
          <cell r="Z5077">
            <v>3.35</v>
          </cell>
          <cell r="AA5077">
            <v>4.5</v>
          </cell>
          <cell r="AB5077">
            <v>18</v>
          </cell>
          <cell r="AC5077">
            <v>84.367000000000004</v>
          </cell>
          <cell r="AD5077">
            <v>1.0544</v>
          </cell>
          <cell r="AE5077">
            <v>89.061599999999999</v>
          </cell>
          <cell r="AF5077">
            <v>7.2454999999999998</v>
          </cell>
          <cell r="AG5077">
            <v>74.435000000000002</v>
          </cell>
          <cell r="AH5077">
            <v>2650.6</v>
          </cell>
          <cell r="AI5077">
            <v>77578.38</v>
          </cell>
          <cell r="AJ5077">
            <v>23518.5</v>
          </cell>
          <cell r="AK5077">
            <v>43408.47</v>
          </cell>
          <cell r="AL5077">
            <v>20667.099999999999</v>
          </cell>
          <cell r="AM5077">
            <v>19705.009999999998</v>
          </cell>
          <cell r="AN5077">
            <v>3367.989</v>
          </cell>
          <cell r="AO5077">
            <v>6.21</v>
          </cell>
          <cell r="AP5077">
            <v>2.75</v>
          </cell>
          <cell r="AQ5077">
            <v>-24125.43</v>
          </cell>
          <cell r="AR5077">
            <v>-0.65</v>
          </cell>
          <cell r="AS5077">
            <v>-12209</v>
          </cell>
          <cell r="AT5077">
            <v>422</v>
          </cell>
          <cell r="AU5077">
            <v>3.7</v>
          </cell>
          <cell r="AV5077">
            <v>5.36</v>
          </cell>
          <cell r="AW5077">
            <v>43</v>
          </cell>
          <cell r="AX5077">
            <v>215</v>
          </cell>
          <cell r="AY5077">
            <v>5.6</v>
          </cell>
          <cell r="AZ5077">
            <v>4.41</v>
          </cell>
          <cell r="BA5077">
            <v>7.2</v>
          </cell>
          <cell r="BB5077">
            <v>7.42</v>
          </cell>
          <cell r="BC5077">
            <v>7.52</v>
          </cell>
          <cell r="BD5077">
            <v>6.702</v>
          </cell>
          <cell r="BE5077">
            <v>6.53</v>
          </cell>
          <cell r="BF5077">
            <v>6.2779999999999996</v>
          </cell>
          <cell r="BG5077">
            <v>6.2549999999999999</v>
          </cell>
          <cell r="BH5077">
            <v>6.24</v>
          </cell>
          <cell r="BI5077">
            <v>7.22</v>
          </cell>
          <cell r="BJ5077">
            <v>7.43</v>
          </cell>
          <cell r="BK5077">
            <v>7.51</v>
          </cell>
          <cell r="BL5077">
            <v>7.51</v>
          </cell>
          <cell r="BM5077">
            <v>7.74</v>
          </cell>
          <cell r="BN5077">
            <v>7.68</v>
          </cell>
          <cell r="BO5077">
            <v>7.69</v>
          </cell>
          <cell r="BP5077">
            <v>7.55</v>
          </cell>
          <cell r="BQ5077">
            <v>8.4499999999999993</v>
          </cell>
          <cell r="BR5077">
            <v>8.51</v>
          </cell>
          <cell r="BS5077">
            <v>8.4700000000000006</v>
          </cell>
          <cell r="BT5077">
            <v>8.3800000000000008</v>
          </cell>
          <cell r="BU5077">
            <v>7.52</v>
          </cell>
          <cell r="BV5077">
            <v>7.42</v>
          </cell>
          <cell r="BW5077">
            <v>7.2</v>
          </cell>
        </row>
        <row r="5078">
          <cell r="A5078">
            <v>45617</v>
          </cell>
          <cell r="B5078">
            <v>6.8620000000000001</v>
          </cell>
          <cell r="C5078">
            <v>6.8019999999999996</v>
          </cell>
          <cell r="D5078">
            <v>6.7290000000000001</v>
          </cell>
          <cell r="E5078">
            <v>6.7140000000000004</v>
          </cell>
          <cell r="F5078">
            <v>6.62</v>
          </cell>
          <cell r="G5078">
            <v>6.63</v>
          </cell>
          <cell r="H5078">
            <v>6.45</v>
          </cell>
          <cell r="I5078">
            <v>6.44</v>
          </cell>
          <cell r="J5078">
            <v>6.39</v>
          </cell>
          <cell r="K5078">
            <v>7.22</v>
          </cell>
          <cell r="L5078">
            <v>7.43</v>
          </cell>
          <cell r="M5078">
            <v>7.51</v>
          </cell>
          <cell r="N5078">
            <v>7.51</v>
          </cell>
          <cell r="O5078">
            <v>6.5412999999999997</v>
          </cell>
          <cell r="P5078">
            <v>6.2812999999999999</v>
          </cell>
          <cell r="Q5078">
            <v>6.2549999999999999</v>
          </cell>
          <cell r="R5078">
            <v>6.2530000000000001</v>
          </cell>
          <cell r="S5078">
            <v>-84154.75</v>
          </cell>
          <cell r="T5078">
            <v>7.2370000000000001</v>
          </cell>
          <cell r="U5078">
            <v>7.4413</v>
          </cell>
          <cell r="V5078">
            <v>7.4336000000000002</v>
          </cell>
          <cell r="W5078">
            <v>7.5696000000000003</v>
          </cell>
          <cell r="X5078">
            <v>6.8</v>
          </cell>
          <cell r="Y5078">
            <v>6.5</v>
          </cell>
          <cell r="Z5078">
            <v>3.35</v>
          </cell>
          <cell r="AA5078">
            <v>4.5</v>
          </cell>
          <cell r="AB5078">
            <v>18</v>
          </cell>
          <cell r="AC5078">
            <v>84.498500000000007</v>
          </cell>
          <cell r="AD5078">
            <v>1.0474000000000001</v>
          </cell>
          <cell r="AE5078">
            <v>88.869500000000002</v>
          </cell>
          <cell r="AF5078">
            <v>7.2393000000000001</v>
          </cell>
          <cell r="AG5078">
            <v>75.16</v>
          </cell>
          <cell r="AH5078">
            <v>2669.72</v>
          </cell>
          <cell r="AI5078">
            <v>77155.789999999994</v>
          </cell>
          <cell r="AJ5078">
            <v>23349.9</v>
          </cell>
          <cell r="AK5078">
            <v>43870.35</v>
          </cell>
          <cell r="AL5078">
            <v>20740.78</v>
          </cell>
          <cell r="AM5078">
            <v>19601.11</v>
          </cell>
          <cell r="AN5078">
            <v>3370.404</v>
          </cell>
          <cell r="AO5078">
            <v>6.21</v>
          </cell>
          <cell r="AP5078">
            <v>2.75</v>
          </cell>
          <cell r="AQ5078">
            <v>-24125.43</v>
          </cell>
          <cell r="AR5078">
            <v>-0.65</v>
          </cell>
          <cell r="AS5078">
            <v>-12209</v>
          </cell>
          <cell r="AT5078">
            <v>422</v>
          </cell>
          <cell r="AU5078">
            <v>3.7</v>
          </cell>
          <cell r="AV5078">
            <v>5.36</v>
          </cell>
          <cell r="AW5078">
            <v>43</v>
          </cell>
          <cell r="AX5078">
            <v>215</v>
          </cell>
          <cell r="AY5078">
            <v>5.6</v>
          </cell>
          <cell r="AZ5078">
            <v>4.4218000000000002</v>
          </cell>
          <cell r="BA5078">
            <v>7.18</v>
          </cell>
          <cell r="BB5078">
            <v>7.4</v>
          </cell>
          <cell r="BC5078">
            <v>7.55</v>
          </cell>
          <cell r="BD5078">
            <v>6.7140000000000004</v>
          </cell>
          <cell r="BE5078">
            <v>6.5412999999999997</v>
          </cell>
          <cell r="BF5078">
            <v>6.2812999999999999</v>
          </cell>
          <cell r="BG5078">
            <v>6.2549999999999999</v>
          </cell>
          <cell r="BH5078">
            <v>6.2530000000000001</v>
          </cell>
          <cell r="BI5078">
            <v>7.22</v>
          </cell>
          <cell r="BJ5078">
            <v>7.43</v>
          </cell>
          <cell r="BK5078">
            <v>7.51</v>
          </cell>
          <cell r="BL5078">
            <v>7.51</v>
          </cell>
          <cell r="BM5078">
            <v>7.74</v>
          </cell>
          <cell r="BN5078">
            <v>7.69</v>
          </cell>
          <cell r="BO5078">
            <v>7.71</v>
          </cell>
          <cell r="BP5078">
            <v>7.57</v>
          </cell>
          <cell r="BQ5078">
            <v>8.4499999999999993</v>
          </cell>
          <cell r="BR5078">
            <v>8.52</v>
          </cell>
          <cell r="BS5078">
            <v>8.49</v>
          </cell>
          <cell r="BT5078">
            <v>8.4</v>
          </cell>
          <cell r="BU5078">
            <v>7.55</v>
          </cell>
          <cell r="BV5078">
            <v>7.4</v>
          </cell>
          <cell r="BW5078">
            <v>7.18</v>
          </cell>
        </row>
        <row r="5079">
          <cell r="A5079">
            <v>45618</v>
          </cell>
          <cell r="B5079">
            <v>6.8710000000000004</v>
          </cell>
          <cell r="C5079">
            <v>6.8070000000000004</v>
          </cell>
          <cell r="D5079">
            <v>6.7320000000000002</v>
          </cell>
          <cell r="E5079">
            <v>6.7279999999999998</v>
          </cell>
          <cell r="F5079">
            <v>6.61</v>
          </cell>
          <cell r="G5079">
            <v>6.63</v>
          </cell>
          <cell r="H5079">
            <v>6.45</v>
          </cell>
          <cell r="I5079">
            <v>6.45</v>
          </cell>
          <cell r="J5079">
            <v>6.47</v>
          </cell>
          <cell r="K5079">
            <v>7.25</v>
          </cell>
          <cell r="L5079">
            <v>7.43</v>
          </cell>
          <cell r="M5079">
            <v>7.51</v>
          </cell>
          <cell r="N5079">
            <v>7.51</v>
          </cell>
          <cell r="O5079">
            <v>6.56</v>
          </cell>
          <cell r="P5079">
            <v>6.2949999999999999</v>
          </cell>
          <cell r="Q5079">
            <v>6.2613000000000003</v>
          </cell>
          <cell r="R5079">
            <v>6.26</v>
          </cell>
          <cell r="S5079">
            <v>-19036.759999999998</v>
          </cell>
          <cell r="T5079">
            <v>7.2576999999999998</v>
          </cell>
          <cell r="U5079">
            <v>7.4619999999999997</v>
          </cell>
          <cell r="V5079">
            <v>7.4439000000000002</v>
          </cell>
          <cell r="W5079">
            <v>7.5591999999999997</v>
          </cell>
          <cell r="X5079">
            <v>6</v>
          </cell>
          <cell r="Y5079">
            <v>6.5</v>
          </cell>
          <cell r="Z5079">
            <v>3.35</v>
          </cell>
          <cell r="AA5079">
            <v>4.5</v>
          </cell>
          <cell r="AB5079">
            <v>18</v>
          </cell>
          <cell r="AC5079">
            <v>84.449700000000007</v>
          </cell>
          <cell r="AD5079">
            <v>1.0418000000000001</v>
          </cell>
          <cell r="AE5079">
            <v>87.859499999999997</v>
          </cell>
          <cell r="AF5079">
            <v>7.2443999999999997</v>
          </cell>
          <cell r="AG5079">
            <v>76.084999999999994</v>
          </cell>
          <cell r="AH5079">
            <v>2716.19</v>
          </cell>
          <cell r="AI5079">
            <v>79117.11</v>
          </cell>
          <cell r="AJ5079">
            <v>23907.25</v>
          </cell>
          <cell r="AK5079">
            <v>44296.51</v>
          </cell>
          <cell r="AL5079">
            <v>20776.23</v>
          </cell>
          <cell r="AM5079">
            <v>19229.97</v>
          </cell>
          <cell r="AN5079">
            <v>3267.192</v>
          </cell>
          <cell r="AO5079">
            <v>6.21</v>
          </cell>
          <cell r="AP5079">
            <v>2.75</v>
          </cell>
          <cell r="AQ5079">
            <v>-24125.43</v>
          </cell>
          <cell r="AR5079">
            <v>-0.65</v>
          </cell>
          <cell r="AS5079">
            <v>-12209</v>
          </cell>
          <cell r="AT5079">
            <v>422</v>
          </cell>
          <cell r="AU5079">
            <v>3.7</v>
          </cell>
          <cell r="AV5079">
            <v>5.36</v>
          </cell>
          <cell r="AW5079">
            <v>43</v>
          </cell>
          <cell r="AX5079">
            <v>215</v>
          </cell>
          <cell r="AY5079">
            <v>5.6</v>
          </cell>
          <cell r="AZ5079">
            <v>4.4001999999999999</v>
          </cell>
          <cell r="BA5079">
            <v>7.18</v>
          </cell>
          <cell r="BB5079">
            <v>7.43</v>
          </cell>
          <cell r="BC5079">
            <v>7.5</v>
          </cell>
          <cell r="BD5079">
            <v>6.7279999999999998</v>
          </cell>
          <cell r="BE5079">
            <v>6.56</v>
          </cell>
          <cell r="BF5079">
            <v>6.2949999999999999</v>
          </cell>
          <cell r="BG5079">
            <v>6.2613000000000003</v>
          </cell>
          <cell r="BH5079">
            <v>6.26</v>
          </cell>
          <cell r="BI5079">
            <v>7.25</v>
          </cell>
          <cell r="BJ5079">
            <v>7.43</v>
          </cell>
          <cell r="BK5079">
            <v>7.51</v>
          </cell>
          <cell r="BL5079">
            <v>7.51</v>
          </cell>
          <cell r="BM5079">
            <v>7.76</v>
          </cell>
          <cell r="BN5079">
            <v>7.7</v>
          </cell>
          <cell r="BO5079">
            <v>7.73</v>
          </cell>
          <cell r="BP5079">
            <v>7.59</v>
          </cell>
          <cell r="BQ5079">
            <v>8.4700000000000006</v>
          </cell>
          <cell r="BR5079">
            <v>8.5299999999999994</v>
          </cell>
          <cell r="BS5079">
            <v>8.51</v>
          </cell>
          <cell r="BT5079">
            <v>8.42</v>
          </cell>
          <cell r="BU5079">
            <v>7.5</v>
          </cell>
          <cell r="BV5079">
            <v>7.43</v>
          </cell>
          <cell r="BW5079">
            <v>7.18</v>
          </cell>
        </row>
        <row r="5080">
          <cell r="A5080">
            <v>45619</v>
          </cell>
          <cell r="B5080">
            <v>6.8710000000000004</v>
          </cell>
          <cell r="C5080">
            <v>6.8070000000000004</v>
          </cell>
          <cell r="D5080">
            <v>6.7320000000000002</v>
          </cell>
          <cell r="E5080">
            <v>6.7279999999999998</v>
          </cell>
          <cell r="F5080">
            <v>6.61</v>
          </cell>
          <cell r="G5080">
            <v>6.63</v>
          </cell>
          <cell r="H5080">
            <v>6.45</v>
          </cell>
          <cell r="I5080">
            <v>6.45</v>
          </cell>
          <cell r="J5080">
            <v>6.47</v>
          </cell>
          <cell r="K5080">
            <v>7.25</v>
          </cell>
          <cell r="L5080">
            <v>7.43</v>
          </cell>
          <cell r="M5080">
            <v>7.51</v>
          </cell>
          <cell r="N5080">
            <v>7.51</v>
          </cell>
          <cell r="O5080">
            <v>6.56</v>
          </cell>
          <cell r="P5080">
            <v>6.2949999999999999</v>
          </cell>
          <cell r="Q5080">
            <v>6.2613000000000003</v>
          </cell>
          <cell r="R5080">
            <v>6.26</v>
          </cell>
          <cell r="S5080">
            <v>-30939.759999999998</v>
          </cell>
          <cell r="T5080">
            <v>7.2576999999999998</v>
          </cell>
          <cell r="U5080">
            <v>7.4619999999999997</v>
          </cell>
          <cell r="V5080">
            <v>7.4439000000000002</v>
          </cell>
          <cell r="W5080">
            <v>7.5591999999999997</v>
          </cell>
          <cell r="X5080">
            <v>6</v>
          </cell>
          <cell r="Y5080">
            <v>6.5</v>
          </cell>
          <cell r="Z5080">
            <v>3.35</v>
          </cell>
          <cell r="AA5080">
            <v>4.5</v>
          </cell>
          <cell r="AB5080">
            <v>18</v>
          </cell>
          <cell r="AC5080">
            <v>84.449700000000007</v>
          </cell>
          <cell r="AD5080">
            <v>1.0418000000000001</v>
          </cell>
          <cell r="AE5080">
            <v>87.859499999999997</v>
          </cell>
          <cell r="AF5080">
            <v>7.2443999999999997</v>
          </cell>
          <cell r="AG5080">
            <v>76.084999999999994</v>
          </cell>
          <cell r="AH5080">
            <v>2716.19</v>
          </cell>
          <cell r="AI5080">
            <v>79117.11</v>
          </cell>
          <cell r="AJ5080">
            <v>23907.25</v>
          </cell>
          <cell r="AK5080">
            <v>44296.51</v>
          </cell>
          <cell r="AL5080">
            <v>20776.23</v>
          </cell>
          <cell r="AM5080">
            <v>19229.97</v>
          </cell>
          <cell r="AN5080">
            <v>3267.192</v>
          </cell>
          <cell r="AO5080">
            <v>6.21</v>
          </cell>
          <cell r="AP5080">
            <v>2.75</v>
          </cell>
          <cell r="AQ5080">
            <v>-24125.43</v>
          </cell>
          <cell r="AR5080">
            <v>-0.65</v>
          </cell>
          <cell r="AS5080">
            <v>-12209</v>
          </cell>
          <cell r="AT5080">
            <v>422</v>
          </cell>
          <cell r="AU5080">
            <v>3.7</v>
          </cell>
          <cell r="AV5080">
            <v>5.36</v>
          </cell>
          <cell r="AW5080">
            <v>43</v>
          </cell>
          <cell r="AX5080">
            <v>215</v>
          </cell>
          <cell r="AY5080">
            <v>5.6</v>
          </cell>
          <cell r="AZ5080">
            <v>4.4001999999999999</v>
          </cell>
          <cell r="BA5080">
            <v>7.18</v>
          </cell>
          <cell r="BB5080">
            <v>7.43</v>
          </cell>
          <cell r="BC5080">
            <v>7.5</v>
          </cell>
          <cell r="BD5080">
            <v>6.7279999999999998</v>
          </cell>
          <cell r="BE5080">
            <v>6.56</v>
          </cell>
          <cell r="BF5080">
            <v>6.2949999999999999</v>
          </cell>
          <cell r="BG5080">
            <v>6.2613000000000003</v>
          </cell>
          <cell r="BH5080">
            <v>6.26</v>
          </cell>
          <cell r="BI5080">
            <v>7.25</v>
          </cell>
          <cell r="BJ5080">
            <v>7.43</v>
          </cell>
          <cell r="BK5080">
            <v>7.51</v>
          </cell>
          <cell r="BL5080">
            <v>7.51</v>
          </cell>
          <cell r="BM5080">
            <v>7.76</v>
          </cell>
          <cell r="BN5080">
            <v>7.7</v>
          </cell>
          <cell r="BO5080">
            <v>7.73</v>
          </cell>
          <cell r="BP5080">
            <v>7.59</v>
          </cell>
          <cell r="BQ5080">
            <v>8.4700000000000006</v>
          </cell>
          <cell r="BR5080">
            <v>8.5299999999999994</v>
          </cell>
          <cell r="BS5080">
            <v>8.51</v>
          </cell>
          <cell r="BT5080">
            <v>8.42</v>
          </cell>
          <cell r="BU5080">
            <v>7.5</v>
          </cell>
          <cell r="BV5080">
            <v>7.43</v>
          </cell>
          <cell r="BW5080">
            <v>7.18</v>
          </cell>
        </row>
        <row r="5081">
          <cell r="A5081">
            <v>45620</v>
          </cell>
          <cell r="B5081">
            <v>6.8710000000000004</v>
          </cell>
          <cell r="C5081">
            <v>6.8070000000000004</v>
          </cell>
          <cell r="D5081">
            <v>6.7320000000000002</v>
          </cell>
          <cell r="E5081">
            <v>6.7279999999999998</v>
          </cell>
          <cell r="F5081">
            <v>6.61</v>
          </cell>
          <cell r="G5081">
            <v>6.63</v>
          </cell>
          <cell r="H5081">
            <v>6.45</v>
          </cell>
          <cell r="I5081">
            <v>6.45</v>
          </cell>
          <cell r="J5081">
            <v>6.47</v>
          </cell>
          <cell r="K5081">
            <v>7.25</v>
          </cell>
          <cell r="L5081">
            <v>7.43</v>
          </cell>
          <cell r="M5081">
            <v>7.51</v>
          </cell>
          <cell r="N5081">
            <v>7.51</v>
          </cell>
          <cell r="O5081">
            <v>6.56</v>
          </cell>
          <cell r="P5081">
            <v>6.2949999999999999</v>
          </cell>
          <cell r="Q5081">
            <v>6.2613000000000003</v>
          </cell>
          <cell r="R5081">
            <v>6.26</v>
          </cell>
          <cell r="S5081">
            <v>-28203.759999999998</v>
          </cell>
          <cell r="T5081">
            <v>7.2576999999999998</v>
          </cell>
          <cell r="U5081">
            <v>7.4619999999999997</v>
          </cell>
          <cell r="V5081">
            <v>7.4439000000000002</v>
          </cell>
          <cell r="W5081">
            <v>7.5591999999999997</v>
          </cell>
          <cell r="X5081">
            <v>6</v>
          </cell>
          <cell r="Y5081">
            <v>6.5</v>
          </cell>
          <cell r="Z5081">
            <v>3.35</v>
          </cell>
          <cell r="AA5081">
            <v>4.5</v>
          </cell>
          <cell r="AB5081">
            <v>18</v>
          </cell>
          <cell r="AC5081">
            <v>84.449700000000007</v>
          </cell>
          <cell r="AD5081">
            <v>1.0418000000000001</v>
          </cell>
          <cell r="AE5081">
            <v>87.859499999999997</v>
          </cell>
          <cell r="AF5081">
            <v>7.2443999999999997</v>
          </cell>
          <cell r="AG5081">
            <v>76.084999999999994</v>
          </cell>
          <cell r="AH5081">
            <v>2716.19</v>
          </cell>
          <cell r="AI5081">
            <v>79117.11</v>
          </cell>
          <cell r="AJ5081">
            <v>23907.25</v>
          </cell>
          <cell r="AK5081">
            <v>44296.51</v>
          </cell>
          <cell r="AL5081">
            <v>20776.23</v>
          </cell>
          <cell r="AM5081">
            <v>19229.97</v>
          </cell>
          <cell r="AN5081">
            <v>3267.192</v>
          </cell>
          <cell r="AO5081">
            <v>6.21</v>
          </cell>
          <cell r="AP5081">
            <v>2.75</v>
          </cell>
          <cell r="AQ5081">
            <v>-24125.43</v>
          </cell>
          <cell r="AR5081">
            <v>-0.65</v>
          </cell>
          <cell r="AS5081">
            <v>-12209</v>
          </cell>
          <cell r="AT5081">
            <v>422</v>
          </cell>
          <cell r="AU5081">
            <v>3.7</v>
          </cell>
          <cell r="AV5081">
            <v>5.36</v>
          </cell>
          <cell r="AW5081">
            <v>43</v>
          </cell>
          <cell r="AX5081">
            <v>215</v>
          </cell>
          <cell r="AY5081">
            <v>5.6</v>
          </cell>
          <cell r="AZ5081">
            <v>4.4001999999999999</v>
          </cell>
          <cell r="BA5081">
            <v>7.18</v>
          </cell>
          <cell r="BB5081">
            <v>7.43</v>
          </cell>
          <cell r="BC5081">
            <v>7.5</v>
          </cell>
          <cell r="BD5081">
            <v>6.7279999999999998</v>
          </cell>
          <cell r="BE5081">
            <v>6.56</v>
          </cell>
          <cell r="BF5081">
            <v>6.2949999999999999</v>
          </cell>
          <cell r="BG5081">
            <v>6.2613000000000003</v>
          </cell>
          <cell r="BH5081">
            <v>6.26</v>
          </cell>
          <cell r="BI5081">
            <v>7.25</v>
          </cell>
          <cell r="BJ5081">
            <v>7.43</v>
          </cell>
          <cell r="BK5081">
            <v>7.51</v>
          </cell>
          <cell r="BL5081">
            <v>7.51</v>
          </cell>
          <cell r="BM5081">
            <v>7.76</v>
          </cell>
          <cell r="BN5081">
            <v>7.7</v>
          </cell>
          <cell r="BO5081">
            <v>7.73</v>
          </cell>
          <cell r="BP5081">
            <v>7.59</v>
          </cell>
          <cell r="BQ5081">
            <v>8.4700000000000006</v>
          </cell>
          <cell r="BR5081">
            <v>8.5299999999999994</v>
          </cell>
          <cell r="BS5081">
            <v>8.51</v>
          </cell>
          <cell r="BT5081">
            <v>8.42</v>
          </cell>
          <cell r="BU5081">
            <v>7.5</v>
          </cell>
          <cell r="BV5081">
            <v>7.43</v>
          </cell>
          <cell r="BW5081">
            <v>7.18</v>
          </cell>
        </row>
        <row r="5082">
          <cell r="A5082">
            <v>45621</v>
          </cell>
          <cell r="B5082">
            <v>6.851</v>
          </cell>
          <cell r="C5082">
            <v>6.7919999999999998</v>
          </cell>
          <cell r="D5082">
            <v>6.718</v>
          </cell>
          <cell r="E5082">
            <v>6.7240000000000002</v>
          </cell>
          <cell r="F5082">
            <v>6.61</v>
          </cell>
          <cell r="G5082">
            <v>6.63</v>
          </cell>
          <cell r="H5082">
            <v>6.48</v>
          </cell>
          <cell r="I5082">
            <v>6.45</v>
          </cell>
          <cell r="J5082">
            <v>6.33</v>
          </cell>
          <cell r="K5082">
            <v>7.24</v>
          </cell>
          <cell r="L5082">
            <v>7.44</v>
          </cell>
          <cell r="M5082">
            <v>7.52</v>
          </cell>
          <cell r="N5082">
            <v>7.52</v>
          </cell>
          <cell r="O5082">
            <v>6.5350000000000001</v>
          </cell>
          <cell r="P5082">
            <v>6.2690000000000001</v>
          </cell>
          <cell r="Q5082">
            <v>6.22</v>
          </cell>
          <cell r="R5082">
            <v>6.21</v>
          </cell>
          <cell r="S5082">
            <v>6956.24</v>
          </cell>
          <cell r="T5082">
            <v>7.2266000000000004</v>
          </cell>
          <cell r="U5082">
            <v>7.4413</v>
          </cell>
          <cell r="V5082">
            <v>7.4336000000000002</v>
          </cell>
          <cell r="W5082">
            <v>7.5591999999999997</v>
          </cell>
          <cell r="X5082">
            <v>6.85</v>
          </cell>
          <cell r="Y5082">
            <v>6.5</v>
          </cell>
          <cell r="Z5082">
            <v>3.35</v>
          </cell>
          <cell r="AA5082">
            <v>4.5</v>
          </cell>
          <cell r="AB5082">
            <v>18</v>
          </cell>
          <cell r="AC5082">
            <v>84.262</v>
          </cell>
          <cell r="AD5082">
            <v>1.0495000000000001</v>
          </cell>
          <cell r="AE5082">
            <v>88.408699999999996</v>
          </cell>
          <cell r="AF5082">
            <v>7.2462</v>
          </cell>
          <cell r="AG5082">
            <v>74.28</v>
          </cell>
          <cell r="AH5082">
            <v>2625.01</v>
          </cell>
          <cell r="AI5082">
            <v>80109.850000000006</v>
          </cell>
          <cell r="AJ5082">
            <v>24221.9</v>
          </cell>
          <cell r="AK5082">
            <v>44736.57</v>
          </cell>
          <cell r="AL5082">
            <v>20804.89</v>
          </cell>
          <cell r="AM5082">
            <v>19150.990000000002</v>
          </cell>
          <cell r="AN5082">
            <v>3263.76</v>
          </cell>
          <cell r="AO5082">
            <v>6.21</v>
          </cell>
          <cell r="AP5082">
            <v>2.75</v>
          </cell>
          <cell r="AQ5082">
            <v>-24125.43</v>
          </cell>
          <cell r="AR5082">
            <v>-0.65</v>
          </cell>
          <cell r="AS5082">
            <v>-12209</v>
          </cell>
          <cell r="AT5082">
            <v>422</v>
          </cell>
          <cell r="AU5082">
            <v>3.7</v>
          </cell>
          <cell r="AV5082">
            <v>5.36</v>
          </cell>
          <cell r="AW5082">
            <v>43</v>
          </cell>
          <cell r="AX5082">
            <v>215</v>
          </cell>
          <cell r="AY5082">
            <v>5.6</v>
          </cell>
          <cell r="AZ5082">
            <v>4.2731000000000003</v>
          </cell>
          <cell r="BA5082">
            <v>7.17</v>
          </cell>
          <cell r="BB5082">
            <v>7.46</v>
          </cell>
          <cell r="BC5082">
            <v>7.56</v>
          </cell>
          <cell r="BD5082">
            <v>6.7240000000000002</v>
          </cell>
          <cell r="BE5082">
            <v>6.5350000000000001</v>
          </cell>
          <cell r="BF5082">
            <v>6.2690000000000001</v>
          </cell>
          <cell r="BG5082">
            <v>6.22</v>
          </cell>
          <cell r="BH5082">
            <v>6.21</v>
          </cell>
          <cell r="BI5082">
            <v>7.24</v>
          </cell>
          <cell r="BJ5082">
            <v>7.44</v>
          </cell>
          <cell r="BK5082">
            <v>7.52</v>
          </cell>
          <cell r="BL5082">
            <v>7.52</v>
          </cell>
          <cell r="BM5082">
            <v>7.75</v>
          </cell>
          <cell r="BN5082">
            <v>7.69</v>
          </cell>
          <cell r="BO5082">
            <v>7.71</v>
          </cell>
          <cell r="BP5082">
            <v>7.56</v>
          </cell>
          <cell r="BQ5082">
            <v>8.4600000000000009</v>
          </cell>
          <cell r="BR5082">
            <v>8.52</v>
          </cell>
          <cell r="BS5082">
            <v>8.49</v>
          </cell>
          <cell r="BT5082">
            <v>8.39</v>
          </cell>
          <cell r="BU5082">
            <v>7.56</v>
          </cell>
          <cell r="BV5082">
            <v>7.46</v>
          </cell>
          <cell r="BW5082">
            <v>7.17</v>
          </cell>
        </row>
        <row r="5083">
          <cell r="A5083">
            <v>45622</v>
          </cell>
          <cell r="B5083">
            <v>6.8550000000000004</v>
          </cell>
          <cell r="C5083">
            <v>6.7969999999999997</v>
          </cell>
          <cell r="D5083">
            <v>6.7389999999999999</v>
          </cell>
          <cell r="E5083">
            <v>6.7140000000000004</v>
          </cell>
          <cell r="F5083">
            <v>6.58</v>
          </cell>
          <cell r="G5083">
            <v>6.6</v>
          </cell>
          <cell r="H5083">
            <v>6.48</v>
          </cell>
          <cell r="I5083">
            <v>6.43</v>
          </cell>
          <cell r="J5083">
            <v>6.52</v>
          </cell>
          <cell r="K5083">
            <v>7.31</v>
          </cell>
          <cell r="L5083">
            <v>7.45</v>
          </cell>
          <cell r="M5083">
            <v>7.55</v>
          </cell>
          <cell r="N5083">
            <v>7.55</v>
          </cell>
          <cell r="O5083">
            <v>6.5425000000000004</v>
          </cell>
          <cell r="P5083">
            <v>6.2687999999999997</v>
          </cell>
          <cell r="Q5083">
            <v>6.2350000000000003</v>
          </cell>
          <cell r="R5083">
            <v>6.2187999999999999</v>
          </cell>
          <cell r="S5083">
            <v>36418.239999999998</v>
          </cell>
          <cell r="T5083">
            <v>7.2370000000000001</v>
          </cell>
          <cell r="U5083">
            <v>7.4413</v>
          </cell>
          <cell r="V5083">
            <v>7.4231999999999996</v>
          </cell>
          <cell r="W5083">
            <v>7.5282</v>
          </cell>
          <cell r="X5083">
            <v>6.85</v>
          </cell>
          <cell r="Y5083">
            <v>6.5</v>
          </cell>
          <cell r="Z5083">
            <v>3.35</v>
          </cell>
          <cell r="AA5083">
            <v>4.5</v>
          </cell>
          <cell r="AB5083">
            <v>18</v>
          </cell>
          <cell r="AC5083">
            <v>84.316999999999993</v>
          </cell>
          <cell r="AD5083">
            <v>1.0488999999999999</v>
          </cell>
          <cell r="AE5083">
            <v>88.614000000000004</v>
          </cell>
          <cell r="AF5083">
            <v>7.2502000000000004</v>
          </cell>
          <cell r="AG5083">
            <v>74.564999999999998</v>
          </cell>
          <cell r="AH5083">
            <v>2633.15</v>
          </cell>
          <cell r="AI5083">
            <v>80004.06</v>
          </cell>
          <cell r="AJ5083">
            <v>24194.5</v>
          </cell>
          <cell r="AK5083">
            <v>44860.31</v>
          </cell>
          <cell r="AL5083">
            <v>20922.900000000001</v>
          </cell>
          <cell r="AM5083">
            <v>19159.2</v>
          </cell>
          <cell r="AN5083">
            <v>3259.7570000000001</v>
          </cell>
          <cell r="AO5083">
            <v>6.21</v>
          </cell>
          <cell r="AP5083">
            <v>2.75</v>
          </cell>
          <cell r="AQ5083">
            <v>-24125.43</v>
          </cell>
          <cell r="AR5083">
            <v>-0.65</v>
          </cell>
          <cell r="AS5083">
            <v>-12209</v>
          </cell>
          <cell r="AT5083">
            <v>422</v>
          </cell>
          <cell r="AU5083">
            <v>3.7</v>
          </cell>
          <cell r="AV5083">
            <v>5.36</v>
          </cell>
          <cell r="AW5083">
            <v>43</v>
          </cell>
          <cell r="AX5083">
            <v>215</v>
          </cell>
          <cell r="AY5083">
            <v>5.6</v>
          </cell>
          <cell r="AZ5083">
            <v>4.3061999999999996</v>
          </cell>
          <cell r="BA5083">
            <v>7.2</v>
          </cell>
          <cell r="BB5083">
            <v>7.49</v>
          </cell>
          <cell r="BC5083">
            <v>7.59</v>
          </cell>
          <cell r="BD5083">
            <v>6.7140000000000004</v>
          </cell>
          <cell r="BE5083">
            <v>6.5425000000000004</v>
          </cell>
          <cell r="BF5083">
            <v>6.2687999999999997</v>
          </cell>
          <cell r="BG5083">
            <v>6.2350000000000003</v>
          </cell>
          <cell r="BH5083">
            <v>6.2187999999999999</v>
          </cell>
          <cell r="BI5083">
            <v>7.31</v>
          </cell>
          <cell r="BJ5083">
            <v>7.45</v>
          </cell>
          <cell r="BK5083">
            <v>7.55</v>
          </cell>
          <cell r="BL5083">
            <v>7.55</v>
          </cell>
          <cell r="BM5083">
            <v>7.74</v>
          </cell>
          <cell r="BN5083">
            <v>7.68</v>
          </cell>
          <cell r="BO5083">
            <v>7.71</v>
          </cell>
          <cell r="BP5083">
            <v>7.57</v>
          </cell>
          <cell r="BQ5083">
            <v>8.4499999999999993</v>
          </cell>
          <cell r="BR5083">
            <v>8.51</v>
          </cell>
          <cell r="BS5083">
            <v>8.49</v>
          </cell>
          <cell r="BT5083">
            <v>8.4</v>
          </cell>
          <cell r="BU5083">
            <v>7.59</v>
          </cell>
          <cell r="BV5083">
            <v>7.49</v>
          </cell>
          <cell r="BW5083">
            <v>7.2</v>
          </cell>
        </row>
        <row r="5084">
          <cell r="A5084">
            <v>45623</v>
          </cell>
          <cell r="B5084">
            <v>6.8410000000000002</v>
          </cell>
          <cell r="C5084">
            <v>6.7770000000000001</v>
          </cell>
          <cell r="D5084">
            <v>6.7320000000000002</v>
          </cell>
          <cell r="E5084">
            <v>6.7069999999999999</v>
          </cell>
          <cell r="F5084">
            <v>6.64</v>
          </cell>
          <cell r="G5084">
            <v>6.65</v>
          </cell>
          <cell r="H5084">
            <v>6.48</v>
          </cell>
          <cell r="I5084">
            <v>6.46</v>
          </cell>
          <cell r="J5084">
            <v>6.45</v>
          </cell>
          <cell r="K5084">
            <v>7.31</v>
          </cell>
          <cell r="L5084">
            <v>7.45</v>
          </cell>
          <cell r="M5084">
            <v>7.55</v>
          </cell>
          <cell r="N5084">
            <v>7.55</v>
          </cell>
          <cell r="O5084">
            <v>6.5279999999999996</v>
          </cell>
          <cell r="P5084">
            <v>6.2519999999999998</v>
          </cell>
          <cell r="Q5084">
            <v>6.1980000000000004</v>
          </cell>
          <cell r="R5084">
            <v>6.19</v>
          </cell>
          <cell r="S5084">
            <v>30848.240000000002</v>
          </cell>
          <cell r="T5084">
            <v>7.2163000000000004</v>
          </cell>
          <cell r="U5084">
            <v>7.4309000000000003</v>
          </cell>
          <cell r="V5084">
            <v>7.4439000000000002</v>
          </cell>
          <cell r="W5084">
            <v>7.5902000000000003</v>
          </cell>
          <cell r="X5084">
            <v>6.8</v>
          </cell>
          <cell r="Y5084">
            <v>6.5</v>
          </cell>
          <cell r="Z5084">
            <v>3.35</v>
          </cell>
          <cell r="AA5084">
            <v>4.5</v>
          </cell>
          <cell r="AB5084">
            <v>18</v>
          </cell>
          <cell r="AC5084">
            <v>84.438000000000002</v>
          </cell>
          <cell r="AD5084">
            <v>1.0566</v>
          </cell>
          <cell r="AE5084">
            <v>88.811899999999994</v>
          </cell>
          <cell r="AF5084">
            <v>7.2451999999999996</v>
          </cell>
          <cell r="AG5084">
            <v>73.900000000000006</v>
          </cell>
          <cell r="AH5084">
            <v>2636.02</v>
          </cell>
          <cell r="AI5084">
            <v>80234.080000000002</v>
          </cell>
          <cell r="AJ5084">
            <v>24274.9</v>
          </cell>
          <cell r="AK5084">
            <v>44722.06</v>
          </cell>
          <cell r="AL5084">
            <v>20744.490000000002</v>
          </cell>
          <cell r="AM5084">
            <v>19603.13</v>
          </cell>
          <cell r="AN5084">
            <v>3309.779</v>
          </cell>
          <cell r="AO5084">
            <v>6.21</v>
          </cell>
          <cell r="AP5084">
            <v>2.75</v>
          </cell>
          <cell r="AQ5084">
            <v>-24125.43</v>
          </cell>
          <cell r="AR5084">
            <v>-0.65</v>
          </cell>
          <cell r="AS5084">
            <v>-12209</v>
          </cell>
          <cell r="AT5084">
            <v>422</v>
          </cell>
          <cell r="AU5084">
            <v>3.7</v>
          </cell>
          <cell r="AV5084">
            <v>5.36</v>
          </cell>
          <cell r="AW5084">
            <v>43</v>
          </cell>
          <cell r="AX5084">
            <v>215</v>
          </cell>
          <cell r="AY5084">
            <v>5.6</v>
          </cell>
          <cell r="AZ5084">
            <v>4.2633999999999999</v>
          </cell>
          <cell r="BA5084">
            <v>7.18</v>
          </cell>
          <cell r="BB5084">
            <v>7.39</v>
          </cell>
          <cell r="BC5084">
            <v>7.54</v>
          </cell>
          <cell r="BD5084">
            <v>6.7069999999999999</v>
          </cell>
          <cell r="BE5084">
            <v>6.5279999999999996</v>
          </cell>
          <cell r="BF5084">
            <v>6.2519999999999998</v>
          </cell>
          <cell r="BG5084">
            <v>6.1980000000000004</v>
          </cell>
          <cell r="BH5084">
            <v>6.19</v>
          </cell>
          <cell r="BI5084">
            <v>7.31</v>
          </cell>
          <cell r="BJ5084">
            <v>7.45</v>
          </cell>
          <cell r="BK5084">
            <v>7.55</v>
          </cell>
          <cell r="BL5084">
            <v>7.55</v>
          </cell>
          <cell r="BM5084">
            <v>7.75</v>
          </cell>
          <cell r="BN5084">
            <v>7.7</v>
          </cell>
          <cell r="BO5084">
            <v>7.7</v>
          </cell>
          <cell r="BP5084">
            <v>7.55</v>
          </cell>
          <cell r="BQ5084">
            <v>8.4600000000000009</v>
          </cell>
          <cell r="BR5084">
            <v>8.5299999999999994</v>
          </cell>
          <cell r="BS5084">
            <v>8.48</v>
          </cell>
          <cell r="BT5084">
            <v>8.3800000000000008</v>
          </cell>
          <cell r="BU5084">
            <v>7.54</v>
          </cell>
          <cell r="BV5084">
            <v>7.39</v>
          </cell>
          <cell r="BW5084">
            <v>7.18</v>
          </cell>
        </row>
        <row r="5085">
          <cell r="A5085">
            <v>45624</v>
          </cell>
          <cell r="B5085">
            <v>6.8330000000000002</v>
          </cell>
          <cell r="C5085">
            <v>6.77</v>
          </cell>
          <cell r="D5085">
            <v>6.7240000000000002</v>
          </cell>
          <cell r="E5085">
            <v>6.7160000000000002</v>
          </cell>
          <cell r="F5085">
            <v>6.64</v>
          </cell>
          <cell r="G5085">
            <v>6.65</v>
          </cell>
          <cell r="H5085">
            <v>6.48</v>
          </cell>
          <cell r="I5085">
            <v>6.45</v>
          </cell>
          <cell r="J5085">
            <v>6.45</v>
          </cell>
          <cell r="K5085">
            <v>7.22</v>
          </cell>
          <cell r="L5085">
            <v>7.46</v>
          </cell>
          <cell r="M5085">
            <v>7.53</v>
          </cell>
          <cell r="N5085">
            <v>7.53</v>
          </cell>
          <cell r="O5085">
            <v>6.51</v>
          </cell>
          <cell r="P5085">
            <v>6.24</v>
          </cell>
          <cell r="Q5085">
            <v>6.1849999999999996</v>
          </cell>
          <cell r="R5085">
            <v>6.1779999999999999</v>
          </cell>
          <cell r="S5085">
            <v>9489.24</v>
          </cell>
          <cell r="T5085">
            <v>7.2058999999999997</v>
          </cell>
          <cell r="U5085">
            <v>7.4206000000000003</v>
          </cell>
          <cell r="V5085">
            <v>7.4439000000000002</v>
          </cell>
          <cell r="W5085">
            <v>7.5902000000000003</v>
          </cell>
          <cell r="X5085">
            <v>6.7</v>
          </cell>
          <cell r="Y5085">
            <v>6.5</v>
          </cell>
          <cell r="Z5085">
            <v>3.35</v>
          </cell>
          <cell r="AA5085">
            <v>4.5</v>
          </cell>
          <cell r="AB5085">
            <v>18</v>
          </cell>
          <cell r="AC5085">
            <v>84.481499999999997</v>
          </cell>
          <cell r="AD5085">
            <v>1.0551999999999999</v>
          </cell>
          <cell r="AE5085">
            <v>88.995000000000005</v>
          </cell>
          <cell r="AF5085">
            <v>7.2445000000000004</v>
          </cell>
          <cell r="AG5085">
            <v>73.754999999999995</v>
          </cell>
          <cell r="AH5085">
            <v>2637.92</v>
          </cell>
          <cell r="AI5085">
            <v>79043.740000000005</v>
          </cell>
          <cell r="AJ5085">
            <v>23914.15</v>
          </cell>
          <cell r="AK5085">
            <v>44722.06</v>
          </cell>
          <cell r="AL5085">
            <v>20744.490000000002</v>
          </cell>
          <cell r="AM5085">
            <v>19366.96</v>
          </cell>
          <cell r="AN5085">
            <v>3295.6979999999999</v>
          </cell>
          <cell r="AO5085">
            <v>6.21</v>
          </cell>
          <cell r="AP5085">
            <v>2.75</v>
          </cell>
          <cell r="AQ5085">
            <v>-24125.43</v>
          </cell>
          <cell r="AR5085">
            <v>-0.65</v>
          </cell>
          <cell r="AS5085">
            <v>-12209</v>
          </cell>
          <cell r="AT5085">
            <v>422</v>
          </cell>
          <cell r="AU5085">
            <v>3.7</v>
          </cell>
          <cell r="AV5085">
            <v>5.36</v>
          </cell>
          <cell r="AW5085">
            <v>43</v>
          </cell>
          <cell r="AX5085">
            <v>215</v>
          </cell>
          <cell r="AY5085">
            <v>5.6</v>
          </cell>
          <cell r="AZ5085">
            <v>4.2633999999999999</v>
          </cell>
          <cell r="BA5085">
            <v>7.19</v>
          </cell>
          <cell r="BB5085">
            <v>7.45</v>
          </cell>
          <cell r="BC5085">
            <v>7.53</v>
          </cell>
          <cell r="BD5085">
            <v>6.7160000000000002</v>
          </cell>
          <cell r="BE5085">
            <v>6.51</v>
          </cell>
          <cell r="BF5085">
            <v>6.24</v>
          </cell>
          <cell r="BG5085">
            <v>6.1849999999999996</v>
          </cell>
          <cell r="BH5085">
            <v>6.1779999999999999</v>
          </cell>
          <cell r="BI5085">
            <v>7.22</v>
          </cell>
          <cell r="BJ5085">
            <v>7.46</v>
          </cell>
          <cell r="BK5085">
            <v>7.53</v>
          </cell>
          <cell r="BL5085">
            <v>7.53</v>
          </cell>
          <cell r="BM5085">
            <v>7.74</v>
          </cell>
          <cell r="BN5085">
            <v>7.7</v>
          </cell>
          <cell r="BO5085">
            <v>7.69</v>
          </cell>
          <cell r="BP5085">
            <v>7.54</v>
          </cell>
          <cell r="BQ5085">
            <v>8.4499999999999993</v>
          </cell>
          <cell r="BR5085">
            <v>8.5299999999999994</v>
          </cell>
          <cell r="BS5085">
            <v>8.4700000000000006</v>
          </cell>
          <cell r="BT5085">
            <v>8.3699999999999992</v>
          </cell>
          <cell r="BU5085">
            <v>7.53</v>
          </cell>
          <cell r="BV5085">
            <v>7.45</v>
          </cell>
          <cell r="BW5085">
            <v>7.19</v>
          </cell>
        </row>
        <row r="5086">
          <cell r="A5086">
            <v>45625</v>
          </cell>
          <cell r="B5086">
            <v>6.7430000000000003</v>
          </cell>
          <cell r="C5086">
            <v>6.68</v>
          </cell>
          <cell r="D5086">
            <v>6.6550000000000002</v>
          </cell>
          <cell r="E5086">
            <v>6.625</v>
          </cell>
          <cell r="F5086">
            <v>6.6</v>
          </cell>
          <cell r="G5086">
            <v>6.65</v>
          </cell>
          <cell r="H5086">
            <v>6.47</v>
          </cell>
          <cell r="I5086">
            <v>6.43</v>
          </cell>
          <cell r="J5086">
            <v>6.43</v>
          </cell>
          <cell r="K5086">
            <v>7.31</v>
          </cell>
          <cell r="L5086">
            <v>7.45</v>
          </cell>
          <cell r="M5086">
            <v>7.55</v>
          </cell>
          <cell r="N5086">
            <v>7.55</v>
          </cell>
          <cell r="O5086">
            <v>6.41</v>
          </cell>
          <cell r="P5086">
            <v>6.06</v>
          </cell>
          <cell r="Q5086">
            <v>6.12</v>
          </cell>
          <cell r="R5086">
            <v>6.0460000000000003</v>
          </cell>
          <cell r="S5086">
            <v>-49611.76</v>
          </cell>
          <cell r="T5086">
            <v>7.1852999999999998</v>
          </cell>
          <cell r="U5086">
            <v>7.3689</v>
          </cell>
          <cell r="V5086">
            <v>7.3921999999999999</v>
          </cell>
          <cell r="W5086">
            <v>7.5488999999999997</v>
          </cell>
          <cell r="X5086">
            <v>6.25</v>
          </cell>
          <cell r="Y5086">
            <v>6.5</v>
          </cell>
          <cell r="Z5086">
            <v>3.35</v>
          </cell>
          <cell r="AA5086">
            <v>4.5</v>
          </cell>
          <cell r="AB5086">
            <v>18</v>
          </cell>
          <cell r="AC5086">
            <v>84.560299999999998</v>
          </cell>
          <cell r="AD5086">
            <v>1.0577000000000001</v>
          </cell>
          <cell r="AE5086">
            <v>89.219099999999997</v>
          </cell>
          <cell r="AF5086">
            <v>7.2460000000000004</v>
          </cell>
          <cell r="AG5086">
            <v>74.265000000000001</v>
          </cell>
          <cell r="AH5086">
            <v>2643.15</v>
          </cell>
          <cell r="AI5086">
            <v>79802.789999999994</v>
          </cell>
          <cell r="AJ5086">
            <v>24131.1</v>
          </cell>
          <cell r="AK5086">
            <v>44910.65</v>
          </cell>
          <cell r="AL5086">
            <v>20930.37</v>
          </cell>
          <cell r="AM5086">
            <v>19423.61</v>
          </cell>
          <cell r="AN5086">
            <v>3326.4560000000001</v>
          </cell>
          <cell r="AO5086">
            <v>6.21</v>
          </cell>
          <cell r="AP5086">
            <v>2.75</v>
          </cell>
          <cell r="AQ5086">
            <v>-24125.43</v>
          </cell>
          <cell r="AR5086">
            <v>-0.65</v>
          </cell>
          <cell r="AS5086">
            <v>-12209</v>
          </cell>
          <cell r="AT5086">
            <v>422</v>
          </cell>
          <cell r="AU5086">
            <v>3.7</v>
          </cell>
          <cell r="AV5086">
            <v>5.36</v>
          </cell>
          <cell r="AW5086">
            <v>43</v>
          </cell>
          <cell r="AX5086">
            <v>225</v>
          </cell>
          <cell r="AY5086">
            <v>5.6</v>
          </cell>
          <cell r="AZ5086">
            <v>4.1684999999999999</v>
          </cell>
          <cell r="BA5086">
            <v>7.2</v>
          </cell>
          <cell r="BB5086">
            <v>7.46</v>
          </cell>
          <cell r="BC5086">
            <v>7.55</v>
          </cell>
          <cell r="BD5086">
            <v>6.625</v>
          </cell>
          <cell r="BE5086">
            <v>6.41</v>
          </cell>
          <cell r="BF5086">
            <v>6.06</v>
          </cell>
          <cell r="BG5086">
            <v>6.12</v>
          </cell>
          <cell r="BH5086">
            <v>6.0460000000000003</v>
          </cell>
          <cell r="BI5086">
            <v>7.31</v>
          </cell>
          <cell r="BJ5086">
            <v>7.45</v>
          </cell>
          <cell r="BK5086">
            <v>7.55</v>
          </cell>
          <cell r="BL5086">
            <v>7.55</v>
          </cell>
          <cell r="BM5086">
            <v>7.74</v>
          </cell>
          <cell r="BN5086">
            <v>7.65</v>
          </cell>
          <cell r="BO5086">
            <v>7.63</v>
          </cell>
          <cell r="BP5086">
            <v>7.52</v>
          </cell>
          <cell r="BQ5086">
            <v>8.4499999999999993</v>
          </cell>
          <cell r="BR5086">
            <v>8.48</v>
          </cell>
          <cell r="BS5086">
            <v>8.41</v>
          </cell>
          <cell r="BT5086">
            <v>8.35</v>
          </cell>
          <cell r="BU5086">
            <v>7.55</v>
          </cell>
          <cell r="BV5086">
            <v>7.46</v>
          </cell>
          <cell r="BW5086">
            <v>7.2</v>
          </cell>
        </row>
        <row r="5087">
          <cell r="A5087">
            <v>45626</v>
          </cell>
          <cell r="B5087">
            <v>6.7430000000000003</v>
          </cell>
          <cell r="C5087">
            <v>6.68</v>
          </cell>
          <cell r="D5087">
            <v>6.6550000000000002</v>
          </cell>
          <cell r="E5087">
            <v>6.625</v>
          </cell>
          <cell r="F5087">
            <v>6.6</v>
          </cell>
          <cell r="G5087">
            <v>6.65</v>
          </cell>
          <cell r="H5087">
            <v>6.47</v>
          </cell>
          <cell r="I5087">
            <v>6.43</v>
          </cell>
          <cell r="J5087">
            <v>6.43</v>
          </cell>
          <cell r="K5087">
            <v>7.31</v>
          </cell>
          <cell r="L5087">
            <v>7.45</v>
          </cell>
          <cell r="M5087">
            <v>7.55</v>
          </cell>
          <cell r="N5087">
            <v>7.55</v>
          </cell>
          <cell r="O5087">
            <v>6.41</v>
          </cell>
          <cell r="P5087">
            <v>6.06</v>
          </cell>
          <cell r="Q5087">
            <v>6.12</v>
          </cell>
          <cell r="R5087">
            <v>6.0460000000000003</v>
          </cell>
          <cell r="S5087">
            <v>-53315.76</v>
          </cell>
          <cell r="T5087">
            <v>7.1852999999999998</v>
          </cell>
          <cell r="U5087">
            <v>7.3689</v>
          </cell>
          <cell r="V5087">
            <v>7.3921999999999999</v>
          </cell>
          <cell r="W5087">
            <v>7.5488999999999997</v>
          </cell>
          <cell r="X5087">
            <v>6.25</v>
          </cell>
          <cell r="Y5087">
            <v>6.5</v>
          </cell>
          <cell r="Z5087">
            <v>3.35</v>
          </cell>
          <cell r="AA5087">
            <v>4.5</v>
          </cell>
          <cell r="AB5087">
            <v>18</v>
          </cell>
          <cell r="AC5087">
            <v>84.560299999999998</v>
          </cell>
          <cell r="AD5087">
            <v>1.0577000000000001</v>
          </cell>
          <cell r="AE5087">
            <v>89.219099999999997</v>
          </cell>
          <cell r="AF5087">
            <v>7.2460000000000004</v>
          </cell>
          <cell r="AG5087">
            <v>74.265000000000001</v>
          </cell>
          <cell r="AH5087">
            <v>2643.15</v>
          </cell>
          <cell r="AI5087">
            <v>79802.789999999994</v>
          </cell>
          <cell r="AJ5087">
            <v>24131.1</v>
          </cell>
          <cell r="AK5087">
            <v>44910.65</v>
          </cell>
          <cell r="AL5087">
            <v>20930.37</v>
          </cell>
          <cell r="AM5087">
            <v>19423.61</v>
          </cell>
          <cell r="AN5087">
            <v>3326.4560000000001</v>
          </cell>
          <cell r="AO5087">
            <v>5.48</v>
          </cell>
          <cell r="AP5087">
            <v>1.89</v>
          </cell>
          <cell r="AQ5087">
            <v>-31825</v>
          </cell>
          <cell r="AR5087">
            <v>-0.65</v>
          </cell>
          <cell r="AS5087">
            <v>-5007</v>
          </cell>
          <cell r="AT5087">
            <v>-97</v>
          </cell>
          <cell r="AU5087">
            <v>5.2</v>
          </cell>
          <cell r="AV5087">
            <v>5.36</v>
          </cell>
          <cell r="AW5087">
            <v>212</v>
          </cell>
          <cell r="AX5087">
            <v>225</v>
          </cell>
          <cell r="AY5087">
            <v>5.6</v>
          </cell>
          <cell r="AZ5087">
            <v>4.1684999999999999</v>
          </cell>
          <cell r="BA5087">
            <v>7.2</v>
          </cell>
          <cell r="BB5087">
            <v>7.46</v>
          </cell>
          <cell r="BC5087">
            <v>7.55</v>
          </cell>
          <cell r="BD5087">
            <v>6.625</v>
          </cell>
          <cell r="BE5087">
            <v>6.41</v>
          </cell>
          <cell r="BF5087">
            <v>6.06</v>
          </cell>
          <cell r="BG5087">
            <v>6.12</v>
          </cell>
          <cell r="BH5087">
            <v>6.0460000000000003</v>
          </cell>
          <cell r="BI5087">
            <v>7.31</v>
          </cell>
          <cell r="BJ5087">
            <v>7.45</v>
          </cell>
          <cell r="BK5087">
            <v>7.55</v>
          </cell>
          <cell r="BL5087">
            <v>7.55</v>
          </cell>
          <cell r="BM5087">
            <v>7.74</v>
          </cell>
          <cell r="BN5087">
            <v>7.65</v>
          </cell>
          <cell r="BO5087">
            <v>7.63</v>
          </cell>
          <cell r="BP5087">
            <v>7.52</v>
          </cell>
          <cell r="BQ5087">
            <v>8.4499999999999993</v>
          </cell>
          <cell r="BR5087">
            <v>8.48</v>
          </cell>
          <cell r="BS5087">
            <v>8.41</v>
          </cell>
          <cell r="BT5087">
            <v>8.35</v>
          </cell>
          <cell r="BU5087">
            <v>7.55</v>
          </cell>
          <cell r="BV5087">
            <v>7.46</v>
          </cell>
          <cell r="BW5087">
            <v>7.2</v>
          </cell>
        </row>
        <row r="5088">
          <cell r="A5088">
            <v>45627</v>
          </cell>
          <cell r="B5088">
            <v>6.7430000000000003</v>
          </cell>
          <cell r="C5088">
            <v>6.68</v>
          </cell>
          <cell r="D5088">
            <v>6.6550000000000002</v>
          </cell>
          <cell r="E5088">
            <v>6.625</v>
          </cell>
          <cell r="F5088">
            <v>6.6</v>
          </cell>
          <cell r="G5088">
            <v>6.65</v>
          </cell>
          <cell r="H5088">
            <v>6.47</v>
          </cell>
          <cell r="I5088">
            <v>6.43</v>
          </cell>
          <cell r="J5088">
            <v>6.43</v>
          </cell>
          <cell r="K5088">
            <v>7.31</v>
          </cell>
          <cell r="L5088">
            <v>7.45</v>
          </cell>
          <cell r="M5088">
            <v>7.55</v>
          </cell>
          <cell r="N5088">
            <v>7.55</v>
          </cell>
          <cell r="O5088">
            <v>6.41</v>
          </cell>
          <cell r="P5088">
            <v>6.06</v>
          </cell>
          <cell r="Q5088">
            <v>6.12</v>
          </cell>
          <cell r="R5088">
            <v>6.0460000000000003</v>
          </cell>
          <cell r="S5088">
            <v>-51122.76</v>
          </cell>
          <cell r="T5088">
            <v>7.1852999999999998</v>
          </cell>
          <cell r="U5088">
            <v>7.3689</v>
          </cell>
          <cell r="V5088">
            <v>7.3921999999999999</v>
          </cell>
          <cell r="W5088">
            <v>7.5488999999999997</v>
          </cell>
          <cell r="X5088">
            <v>6.25</v>
          </cell>
          <cell r="Y5088">
            <v>6.5</v>
          </cell>
          <cell r="Z5088">
            <v>3.35</v>
          </cell>
          <cell r="AA5088">
            <v>4.5</v>
          </cell>
          <cell r="AB5088">
            <v>18</v>
          </cell>
          <cell r="AC5088">
            <v>84.560299999999998</v>
          </cell>
          <cell r="AD5088">
            <v>1.0577000000000001</v>
          </cell>
          <cell r="AE5088">
            <v>89.219099999999997</v>
          </cell>
          <cell r="AF5088">
            <v>7.2460000000000004</v>
          </cell>
          <cell r="AG5088">
            <v>74.265000000000001</v>
          </cell>
          <cell r="AH5088">
            <v>2643.15</v>
          </cell>
          <cell r="AI5088">
            <v>79802.789999999994</v>
          </cell>
          <cell r="AJ5088">
            <v>24131.1</v>
          </cell>
          <cell r="AK5088">
            <v>44910.65</v>
          </cell>
          <cell r="AL5088">
            <v>20930.37</v>
          </cell>
          <cell r="AM5088">
            <v>19423.61</v>
          </cell>
          <cell r="AN5088">
            <v>3326.4560000000001</v>
          </cell>
          <cell r="AO5088">
            <v>5.48</v>
          </cell>
          <cell r="AP5088">
            <v>1.89</v>
          </cell>
          <cell r="AQ5088">
            <v>-31825</v>
          </cell>
          <cell r="AR5088">
            <v>-0.65</v>
          </cell>
          <cell r="AS5088">
            <v>-5007</v>
          </cell>
          <cell r="AT5088">
            <v>-97</v>
          </cell>
          <cell r="AU5088">
            <v>5.2</v>
          </cell>
          <cell r="AV5088">
            <v>5.36</v>
          </cell>
          <cell r="AW5088">
            <v>212</v>
          </cell>
          <cell r="AX5088">
            <v>225</v>
          </cell>
          <cell r="AY5088">
            <v>5.6</v>
          </cell>
          <cell r="AZ5088">
            <v>4.1684999999999999</v>
          </cell>
          <cell r="BA5088">
            <v>7.2</v>
          </cell>
          <cell r="BB5088">
            <v>7.46</v>
          </cell>
          <cell r="BC5088">
            <v>7.55</v>
          </cell>
          <cell r="BD5088">
            <v>6.625</v>
          </cell>
          <cell r="BE5088">
            <v>6.41</v>
          </cell>
          <cell r="BF5088">
            <v>6.06</v>
          </cell>
          <cell r="BG5088">
            <v>6.12</v>
          </cell>
          <cell r="BH5088">
            <v>6.0460000000000003</v>
          </cell>
          <cell r="BI5088">
            <v>7.31</v>
          </cell>
          <cell r="BJ5088">
            <v>7.45</v>
          </cell>
          <cell r="BK5088">
            <v>7.55</v>
          </cell>
          <cell r="BL5088">
            <v>7.55</v>
          </cell>
          <cell r="BM5088">
            <v>7.74</v>
          </cell>
          <cell r="BN5088">
            <v>7.65</v>
          </cell>
          <cell r="BO5088">
            <v>7.63</v>
          </cell>
          <cell r="BP5088">
            <v>7.52</v>
          </cell>
          <cell r="BQ5088">
            <v>8.4499999999999993</v>
          </cell>
          <cell r="BR5088">
            <v>8.48</v>
          </cell>
          <cell r="BS5088">
            <v>8.41</v>
          </cell>
          <cell r="BT5088">
            <v>8.35</v>
          </cell>
          <cell r="BU5088">
            <v>7.55</v>
          </cell>
          <cell r="BV5088">
            <v>7.46</v>
          </cell>
          <cell r="BW5088">
            <v>7.2</v>
          </cell>
        </row>
        <row r="5089">
          <cell r="A5089">
            <v>45628</v>
          </cell>
          <cell r="B5089">
            <v>6.7089999999999996</v>
          </cell>
          <cell r="C5089">
            <v>6.633</v>
          </cell>
          <cell r="D5089">
            <v>6.633</v>
          </cell>
          <cell r="E5089">
            <v>6.6159999999999997</v>
          </cell>
          <cell r="F5089">
            <v>6.56</v>
          </cell>
          <cell r="G5089">
            <v>6.61</v>
          </cell>
          <cell r="H5089">
            <v>6.43</v>
          </cell>
          <cell r="I5089">
            <v>6.42</v>
          </cell>
          <cell r="J5089">
            <v>6.43</v>
          </cell>
          <cell r="K5089">
            <v>7.2</v>
          </cell>
          <cell r="L5089">
            <v>7.4</v>
          </cell>
          <cell r="M5089">
            <v>7.48</v>
          </cell>
          <cell r="N5089">
            <v>7.48</v>
          </cell>
          <cell r="O5089">
            <v>6.32</v>
          </cell>
          <cell r="P5089">
            <v>6.0262000000000002</v>
          </cell>
          <cell r="Q5089">
            <v>5.9950000000000001</v>
          </cell>
          <cell r="R5089">
            <v>6</v>
          </cell>
          <cell r="S5089">
            <v>-89450.76</v>
          </cell>
          <cell r="T5089">
            <v>7.1231999999999998</v>
          </cell>
          <cell r="U5089">
            <v>7.2862</v>
          </cell>
          <cell r="V5089">
            <v>7.3198999999999996</v>
          </cell>
          <cell r="W5089">
            <v>7.5076000000000001</v>
          </cell>
          <cell r="X5089">
            <v>6.5</v>
          </cell>
          <cell r="Y5089">
            <v>6.5</v>
          </cell>
          <cell r="Z5089">
            <v>3.35</v>
          </cell>
          <cell r="AA5089">
            <v>4.5</v>
          </cell>
          <cell r="AB5089">
            <v>18</v>
          </cell>
          <cell r="AC5089">
            <v>84.725099999999998</v>
          </cell>
          <cell r="AD5089">
            <v>1.0499000000000001</v>
          </cell>
          <cell r="AE5089">
            <v>89.059100000000001</v>
          </cell>
          <cell r="AF5089">
            <v>7.2728999999999999</v>
          </cell>
          <cell r="AG5089">
            <v>73.06</v>
          </cell>
          <cell r="AH5089">
            <v>2639.13</v>
          </cell>
          <cell r="AI5089">
            <v>80248.08</v>
          </cell>
          <cell r="AJ5089">
            <v>24276.05</v>
          </cell>
          <cell r="AK5089">
            <v>44782</v>
          </cell>
          <cell r="AL5089">
            <v>21164.6</v>
          </cell>
          <cell r="AM5089">
            <v>19550.29</v>
          </cell>
          <cell r="AN5089">
            <v>3363.982</v>
          </cell>
          <cell r="AO5089">
            <v>5.48</v>
          </cell>
          <cell r="AP5089">
            <v>1.89</v>
          </cell>
          <cell r="AQ5089">
            <v>-31825</v>
          </cell>
          <cell r="AR5089">
            <v>-0.65</v>
          </cell>
          <cell r="AS5089">
            <v>-5007</v>
          </cell>
          <cell r="AT5089">
            <v>-97</v>
          </cell>
          <cell r="AU5089">
            <v>5.2</v>
          </cell>
          <cell r="AV5089">
            <v>5.36</v>
          </cell>
          <cell r="AW5089">
            <v>212</v>
          </cell>
          <cell r="AX5089">
            <v>225</v>
          </cell>
          <cell r="AY5089">
            <v>5.6</v>
          </cell>
          <cell r="AZ5089">
            <v>4.1897000000000002</v>
          </cell>
          <cell r="BA5089">
            <v>7.19</v>
          </cell>
          <cell r="BB5089">
            <v>7.43</v>
          </cell>
          <cell r="BC5089">
            <v>7.63</v>
          </cell>
          <cell r="BD5089">
            <v>6.6159999999999997</v>
          </cell>
          <cell r="BE5089">
            <v>6.32</v>
          </cell>
          <cell r="BF5089">
            <v>6.0262000000000002</v>
          </cell>
          <cell r="BG5089">
            <v>5.9950000000000001</v>
          </cell>
          <cell r="BH5089">
            <v>6</v>
          </cell>
          <cell r="BI5089">
            <v>7.2</v>
          </cell>
          <cell r="BJ5089">
            <v>7.4</v>
          </cell>
          <cell r="BK5089">
            <v>7.48</v>
          </cell>
          <cell r="BL5089">
            <v>7.48</v>
          </cell>
          <cell r="BM5089">
            <v>7.65</v>
          </cell>
          <cell r="BN5089">
            <v>7.58</v>
          </cell>
          <cell r="BO5089">
            <v>7.55</v>
          </cell>
          <cell r="BP5089">
            <v>7.45</v>
          </cell>
          <cell r="BQ5089">
            <v>8.36</v>
          </cell>
          <cell r="BR5089">
            <v>8.41</v>
          </cell>
          <cell r="BS5089">
            <v>8.33</v>
          </cell>
          <cell r="BT5089">
            <v>8.2799999999999994</v>
          </cell>
          <cell r="BU5089">
            <v>7.63</v>
          </cell>
          <cell r="BV5089">
            <v>7.43</v>
          </cell>
          <cell r="BW5089">
            <v>7.19</v>
          </cell>
        </row>
        <row r="5090">
          <cell r="A5090">
            <v>45629</v>
          </cell>
          <cell r="B5090">
            <v>6.7119999999999997</v>
          </cell>
          <cell r="C5090">
            <v>6.63</v>
          </cell>
          <cell r="D5090">
            <v>6.6109999999999998</v>
          </cell>
          <cell r="E5090">
            <v>6.61</v>
          </cell>
          <cell r="F5090">
            <v>6.53</v>
          </cell>
          <cell r="G5090">
            <v>6.55</v>
          </cell>
          <cell r="H5090">
            <v>6.39</v>
          </cell>
          <cell r="I5090">
            <v>6.39</v>
          </cell>
          <cell r="J5090">
            <v>6.43</v>
          </cell>
          <cell r="K5090">
            <v>7.27</v>
          </cell>
          <cell r="L5090">
            <v>7.44</v>
          </cell>
          <cell r="M5090">
            <v>7.53</v>
          </cell>
          <cell r="N5090">
            <v>7.53</v>
          </cell>
          <cell r="O5090">
            <v>6.3287000000000004</v>
          </cell>
          <cell r="P5090">
            <v>6.0449999999999999</v>
          </cell>
          <cell r="Q5090">
            <v>6.02</v>
          </cell>
          <cell r="R5090">
            <v>6.0262000000000002</v>
          </cell>
          <cell r="S5090">
            <v>-100217.09</v>
          </cell>
          <cell r="T5090">
            <v>7.1932</v>
          </cell>
          <cell r="U5090">
            <v>7.3437000000000001</v>
          </cell>
          <cell r="V5090">
            <v>7.3795999999999999</v>
          </cell>
          <cell r="W5090">
            <v>7.5566000000000004</v>
          </cell>
          <cell r="X5090">
            <v>6.5</v>
          </cell>
          <cell r="Y5090">
            <v>6.5</v>
          </cell>
          <cell r="Z5090">
            <v>3.35</v>
          </cell>
          <cell r="AA5090">
            <v>4.5</v>
          </cell>
          <cell r="AB5090">
            <v>18</v>
          </cell>
          <cell r="AC5090">
            <v>84.69</v>
          </cell>
          <cell r="AD5090">
            <v>1.0508999999999999</v>
          </cell>
          <cell r="AE5090">
            <v>89.100999999999999</v>
          </cell>
          <cell r="AF5090">
            <v>7.2862</v>
          </cell>
          <cell r="AG5090">
            <v>74.995000000000005</v>
          </cell>
          <cell r="AH5090">
            <v>2643.49</v>
          </cell>
          <cell r="AI5090">
            <v>80845.75</v>
          </cell>
          <cell r="AJ5090">
            <v>24457.15</v>
          </cell>
          <cell r="AK5090">
            <v>44705.53</v>
          </cell>
          <cell r="AL5090">
            <v>21229.32</v>
          </cell>
          <cell r="AM5090">
            <v>19746.32</v>
          </cell>
          <cell r="AN5090">
            <v>3378.806</v>
          </cell>
          <cell r="AO5090">
            <v>5.48</v>
          </cell>
          <cell r="AP5090">
            <v>1.89</v>
          </cell>
          <cell r="AQ5090">
            <v>-31825</v>
          </cell>
          <cell r="AR5090">
            <v>-0.65</v>
          </cell>
          <cell r="AS5090">
            <v>-5007</v>
          </cell>
          <cell r="AT5090">
            <v>-97</v>
          </cell>
          <cell r="AU5090">
            <v>5.2</v>
          </cell>
          <cell r="AV5090">
            <v>5.36</v>
          </cell>
          <cell r="AW5090">
            <v>212</v>
          </cell>
          <cell r="AX5090">
            <v>225</v>
          </cell>
          <cell r="AY5090">
            <v>5.6</v>
          </cell>
          <cell r="AZ5090">
            <v>4.2244999999999999</v>
          </cell>
          <cell r="BA5090">
            <v>7.2</v>
          </cell>
          <cell r="BB5090">
            <v>7.44</v>
          </cell>
          <cell r="BC5090">
            <v>7.64</v>
          </cell>
          <cell r="BD5090">
            <v>6.61</v>
          </cell>
          <cell r="BE5090">
            <v>6.3287000000000004</v>
          </cell>
          <cell r="BF5090">
            <v>6.0449999999999999</v>
          </cell>
          <cell r="BG5090">
            <v>6.02</v>
          </cell>
          <cell r="BH5090">
            <v>6.0262000000000002</v>
          </cell>
          <cell r="BI5090">
            <v>7.27</v>
          </cell>
          <cell r="BJ5090">
            <v>7.44</v>
          </cell>
          <cell r="BK5090">
            <v>7.53</v>
          </cell>
          <cell r="BL5090">
            <v>7.53</v>
          </cell>
          <cell r="BM5090">
            <v>7.69</v>
          </cell>
          <cell r="BN5090">
            <v>7.67</v>
          </cell>
          <cell r="BO5090">
            <v>7.55</v>
          </cell>
          <cell r="BP5090">
            <v>7.38</v>
          </cell>
          <cell r="BQ5090">
            <v>8.41</v>
          </cell>
          <cell r="BR5090">
            <v>8.49</v>
          </cell>
          <cell r="BS5090">
            <v>8.44</v>
          </cell>
          <cell r="BT5090">
            <v>8.44</v>
          </cell>
          <cell r="BU5090">
            <v>7.64</v>
          </cell>
          <cell r="BV5090">
            <v>7.44</v>
          </cell>
          <cell r="BW5090">
            <v>7.2</v>
          </cell>
        </row>
        <row r="5091">
          <cell r="A5091">
            <v>45630</v>
          </cell>
          <cell r="B5091">
            <v>6.6849999999999996</v>
          </cell>
          <cell r="C5091">
            <v>6.62</v>
          </cell>
          <cell r="D5091">
            <v>6.6109999999999998</v>
          </cell>
          <cell r="E5091">
            <v>6.6059999999999999</v>
          </cell>
          <cell r="F5091">
            <v>6.52</v>
          </cell>
          <cell r="G5091">
            <v>6.52</v>
          </cell>
          <cell r="H5091">
            <v>6.42</v>
          </cell>
          <cell r="I5091">
            <v>6.42</v>
          </cell>
          <cell r="J5091">
            <v>6.4</v>
          </cell>
          <cell r="K5091">
            <v>7.2</v>
          </cell>
          <cell r="L5091">
            <v>7.39</v>
          </cell>
          <cell r="M5091">
            <v>7.48</v>
          </cell>
          <cell r="N5091">
            <v>7.48</v>
          </cell>
          <cell r="O5091">
            <v>6.3162000000000003</v>
          </cell>
          <cell r="P5091">
            <v>6.02</v>
          </cell>
          <cell r="Q5091">
            <v>5.9936999999999996</v>
          </cell>
          <cell r="R5091">
            <v>6</v>
          </cell>
          <cell r="S5091">
            <v>-65905.100000000006</v>
          </cell>
          <cell r="T5091">
            <v>7.1622000000000003</v>
          </cell>
          <cell r="U5091">
            <v>7.3334000000000001</v>
          </cell>
          <cell r="V5091">
            <v>7.3692000000000002</v>
          </cell>
          <cell r="W5091">
            <v>7.5462999999999996</v>
          </cell>
          <cell r="X5091">
            <v>6.6</v>
          </cell>
          <cell r="Y5091">
            <v>6.5</v>
          </cell>
          <cell r="Z5091">
            <v>3.35</v>
          </cell>
          <cell r="AA5091">
            <v>4.5</v>
          </cell>
          <cell r="AB5091">
            <v>18</v>
          </cell>
          <cell r="AC5091">
            <v>84.707800000000006</v>
          </cell>
          <cell r="AD5091">
            <v>1.0510999999999999</v>
          </cell>
          <cell r="AE5091">
            <v>88.986500000000007</v>
          </cell>
          <cell r="AF5091">
            <v>7.2640000000000002</v>
          </cell>
          <cell r="AG5091">
            <v>74.849999999999994</v>
          </cell>
          <cell r="AH5091">
            <v>2649.9</v>
          </cell>
          <cell r="AI5091">
            <v>80956.33</v>
          </cell>
          <cell r="AJ5091">
            <v>24467.45</v>
          </cell>
          <cell r="AK5091">
            <v>45014.04</v>
          </cell>
          <cell r="AL5091">
            <v>21492.36</v>
          </cell>
          <cell r="AM5091">
            <v>19742.46</v>
          </cell>
          <cell r="AN5091">
            <v>3364.65</v>
          </cell>
          <cell r="AO5091">
            <v>5.48</v>
          </cell>
          <cell r="AP5091">
            <v>1.89</v>
          </cell>
          <cell r="AQ5091">
            <v>-31825</v>
          </cell>
          <cell r="AR5091">
            <v>-0.65</v>
          </cell>
          <cell r="AS5091">
            <v>-5007</v>
          </cell>
          <cell r="AT5091">
            <v>-97</v>
          </cell>
          <cell r="AU5091">
            <v>5.2</v>
          </cell>
          <cell r="AV5091">
            <v>5.36</v>
          </cell>
          <cell r="AW5091">
            <v>212</v>
          </cell>
          <cell r="AX5091">
            <v>225</v>
          </cell>
          <cell r="AY5091">
            <v>5.6</v>
          </cell>
          <cell r="AZ5091">
            <v>4.18</v>
          </cell>
          <cell r="BA5091">
            <v>7.2</v>
          </cell>
          <cell r="BB5091">
            <v>7.41</v>
          </cell>
          <cell r="BC5091">
            <v>7.48</v>
          </cell>
          <cell r="BD5091">
            <v>6.6059999999999999</v>
          </cell>
          <cell r="BE5091">
            <v>6.3162000000000003</v>
          </cell>
          <cell r="BF5091">
            <v>6.02</v>
          </cell>
          <cell r="BG5091">
            <v>5.9936999999999996</v>
          </cell>
          <cell r="BH5091">
            <v>6</v>
          </cell>
          <cell r="BI5091">
            <v>7.2</v>
          </cell>
          <cell r="BJ5091">
            <v>7.39</v>
          </cell>
          <cell r="BK5091">
            <v>7.48</v>
          </cell>
          <cell r="BL5091">
            <v>7.48</v>
          </cell>
          <cell r="BM5091">
            <v>7.68</v>
          </cell>
          <cell r="BN5091">
            <v>7.66</v>
          </cell>
          <cell r="BO5091">
            <v>7.54</v>
          </cell>
          <cell r="BP5091">
            <v>7.35</v>
          </cell>
          <cell r="BQ5091">
            <v>8.4</v>
          </cell>
          <cell r="BR5091">
            <v>8.48</v>
          </cell>
          <cell r="BS5091">
            <v>8.43</v>
          </cell>
          <cell r="BT5091">
            <v>8.41</v>
          </cell>
          <cell r="BU5091">
            <v>7.48</v>
          </cell>
          <cell r="BV5091">
            <v>7.41</v>
          </cell>
          <cell r="BW5091">
            <v>7.2</v>
          </cell>
        </row>
        <row r="5092">
          <cell r="A5092">
            <v>45631</v>
          </cell>
          <cell r="B5092">
            <v>6.68</v>
          </cell>
          <cell r="C5092">
            <v>6.6150000000000002</v>
          </cell>
          <cell r="D5092">
            <v>6.6180000000000003</v>
          </cell>
          <cell r="E5092">
            <v>6.6230000000000002</v>
          </cell>
          <cell r="F5092">
            <v>6.52</v>
          </cell>
          <cell r="G5092">
            <v>6.53</v>
          </cell>
          <cell r="H5092">
            <v>6.37</v>
          </cell>
          <cell r="I5092">
            <v>6.37</v>
          </cell>
          <cell r="J5092">
            <v>6.35</v>
          </cell>
          <cell r="K5092">
            <v>7.18</v>
          </cell>
          <cell r="L5092">
            <v>7.38</v>
          </cell>
          <cell r="M5092">
            <v>7.45</v>
          </cell>
          <cell r="N5092">
            <v>7.45</v>
          </cell>
          <cell r="O5092">
            <v>6.32</v>
          </cell>
          <cell r="P5092">
            <v>6.03</v>
          </cell>
          <cell r="Q5092">
            <v>5.9962999999999997</v>
          </cell>
          <cell r="R5092">
            <v>6</v>
          </cell>
          <cell r="S5092">
            <v>-42369.97</v>
          </cell>
          <cell r="T5092">
            <v>7.1622000000000003</v>
          </cell>
          <cell r="U5092">
            <v>7.3334000000000001</v>
          </cell>
          <cell r="V5092">
            <v>7.3795999999999999</v>
          </cell>
          <cell r="W5092">
            <v>7.5462999999999996</v>
          </cell>
          <cell r="X5092">
            <v>6.7</v>
          </cell>
          <cell r="Y5092">
            <v>6.5</v>
          </cell>
          <cell r="Z5092">
            <v>3.35</v>
          </cell>
          <cell r="AA5092">
            <v>4.5</v>
          </cell>
          <cell r="AB5092">
            <v>18</v>
          </cell>
          <cell r="AC5092">
            <v>84.671700000000001</v>
          </cell>
          <cell r="AD5092">
            <v>1.0586</v>
          </cell>
          <cell r="AE5092">
            <v>89.212999999999994</v>
          </cell>
          <cell r="AF5092">
            <v>7.2580999999999998</v>
          </cell>
          <cell r="AG5092">
            <v>73.754999999999995</v>
          </cell>
          <cell r="AH5092">
            <v>2631.67</v>
          </cell>
          <cell r="AI5092">
            <v>81765.86</v>
          </cell>
          <cell r="AJ5092">
            <v>24708.400000000001</v>
          </cell>
          <cell r="AK5092">
            <v>44765.71</v>
          </cell>
          <cell r="AL5092">
            <v>21425.22</v>
          </cell>
          <cell r="AM5092">
            <v>19560.439999999999</v>
          </cell>
          <cell r="AN5092">
            <v>3368.855</v>
          </cell>
          <cell r="AO5092">
            <v>5.48</v>
          </cell>
          <cell r="AP5092">
            <v>1.89</v>
          </cell>
          <cell r="AQ5092">
            <v>-31825</v>
          </cell>
          <cell r="AR5092">
            <v>-0.65</v>
          </cell>
          <cell r="AS5092">
            <v>-5007</v>
          </cell>
          <cell r="AT5092">
            <v>-97</v>
          </cell>
          <cell r="AU5092">
            <v>5.2</v>
          </cell>
          <cell r="AV5092">
            <v>5.36</v>
          </cell>
          <cell r="AW5092">
            <v>212</v>
          </cell>
          <cell r="AX5092">
            <v>225</v>
          </cell>
          <cell r="AY5092">
            <v>5.6</v>
          </cell>
          <cell r="AZ5092">
            <v>4.1760999999999999</v>
          </cell>
          <cell r="BA5092">
            <v>7.15</v>
          </cell>
          <cell r="BB5092">
            <v>7.4</v>
          </cell>
          <cell r="BC5092">
            <v>7.5</v>
          </cell>
          <cell r="BD5092">
            <v>6.6230000000000002</v>
          </cell>
          <cell r="BE5092">
            <v>6.32</v>
          </cell>
          <cell r="BF5092">
            <v>6.03</v>
          </cell>
          <cell r="BG5092">
            <v>5.9962999999999997</v>
          </cell>
          <cell r="BH5092">
            <v>6</v>
          </cell>
          <cell r="BI5092">
            <v>7.18</v>
          </cell>
          <cell r="BJ5092">
            <v>7.38</v>
          </cell>
          <cell r="BK5092">
            <v>7.45</v>
          </cell>
          <cell r="BL5092">
            <v>7.45</v>
          </cell>
          <cell r="BM5092">
            <v>7.7</v>
          </cell>
          <cell r="BN5092">
            <v>7.67</v>
          </cell>
          <cell r="BO5092">
            <v>7.54</v>
          </cell>
          <cell r="BP5092">
            <v>7.35</v>
          </cell>
          <cell r="BQ5092">
            <v>8.42</v>
          </cell>
          <cell r="BR5092">
            <v>8.49</v>
          </cell>
          <cell r="BS5092">
            <v>8.43</v>
          </cell>
          <cell r="BT5092">
            <v>8.41</v>
          </cell>
          <cell r="BU5092">
            <v>7.5</v>
          </cell>
          <cell r="BV5092">
            <v>7.4</v>
          </cell>
          <cell r="BW5092">
            <v>7.15</v>
          </cell>
        </row>
        <row r="5093">
          <cell r="A5093">
            <v>45632</v>
          </cell>
          <cell r="B5093">
            <v>6.7450000000000001</v>
          </cell>
          <cell r="C5093">
            <v>6.681</v>
          </cell>
          <cell r="D5093">
            <v>6.6619999999999999</v>
          </cell>
          <cell r="E5093">
            <v>6.6319999999999997</v>
          </cell>
          <cell r="F5093">
            <v>6.55</v>
          </cell>
          <cell r="G5093">
            <v>6.53</v>
          </cell>
          <cell r="H5093">
            <v>6.36</v>
          </cell>
          <cell r="I5093">
            <v>6.38</v>
          </cell>
          <cell r="J5093">
            <v>6.37</v>
          </cell>
          <cell r="K5093">
            <v>7.25</v>
          </cell>
          <cell r="L5093">
            <v>7.42</v>
          </cell>
          <cell r="M5093">
            <v>7.51</v>
          </cell>
          <cell r="N5093">
            <v>7.51</v>
          </cell>
          <cell r="O5093">
            <v>6.4375</v>
          </cell>
          <cell r="P5093">
            <v>6.11</v>
          </cell>
          <cell r="Q5093">
            <v>6.085</v>
          </cell>
          <cell r="R5093">
            <v>6.069</v>
          </cell>
          <cell r="S5093">
            <v>-61154.39</v>
          </cell>
          <cell r="T5093">
            <v>7.2241999999999997</v>
          </cell>
          <cell r="U5093">
            <v>7.3643999999999998</v>
          </cell>
          <cell r="V5093">
            <v>7.3898999999999999</v>
          </cell>
          <cell r="W5093">
            <v>7.5773000000000001</v>
          </cell>
          <cell r="X5093">
            <v>5.75</v>
          </cell>
          <cell r="Y5093">
            <v>6.5</v>
          </cell>
          <cell r="Z5093">
            <v>3.35</v>
          </cell>
          <cell r="AA5093">
            <v>4.5</v>
          </cell>
          <cell r="AB5093">
            <v>18</v>
          </cell>
          <cell r="AC5093">
            <v>84.669200000000004</v>
          </cell>
          <cell r="AD5093">
            <v>1.0568</v>
          </cell>
          <cell r="AE5093">
            <v>89.587000000000003</v>
          </cell>
          <cell r="AF5093">
            <v>7.2714999999999996</v>
          </cell>
          <cell r="AG5093">
            <v>72.625</v>
          </cell>
          <cell r="AH5093">
            <v>2633.37</v>
          </cell>
          <cell r="AI5093">
            <v>81709.119999999995</v>
          </cell>
          <cell r="AJ5093">
            <v>24677.8</v>
          </cell>
          <cell r="AK5093">
            <v>44642.52</v>
          </cell>
          <cell r="AL5093">
            <v>21622.25</v>
          </cell>
          <cell r="AM5093">
            <v>19865.849999999999</v>
          </cell>
          <cell r="AN5093">
            <v>3404.076</v>
          </cell>
          <cell r="AO5093">
            <v>5.48</v>
          </cell>
          <cell r="AP5093">
            <v>1.89</v>
          </cell>
          <cell r="AQ5093">
            <v>-31825</v>
          </cell>
          <cell r="AR5093">
            <v>-0.65</v>
          </cell>
          <cell r="AS5093">
            <v>-5007</v>
          </cell>
          <cell r="AT5093">
            <v>-97</v>
          </cell>
          <cell r="AU5093">
            <v>5.2</v>
          </cell>
          <cell r="AV5093">
            <v>5.36</v>
          </cell>
          <cell r="AW5093">
            <v>212</v>
          </cell>
          <cell r="AX5093">
            <v>242</v>
          </cell>
          <cell r="AY5093">
            <v>5.6</v>
          </cell>
          <cell r="AZ5093">
            <v>4.1528999999999998</v>
          </cell>
          <cell r="BA5093">
            <v>7.14</v>
          </cell>
          <cell r="BB5093">
            <v>7.36</v>
          </cell>
          <cell r="BC5093">
            <v>7.46</v>
          </cell>
          <cell r="BD5093">
            <v>6.6319999999999997</v>
          </cell>
          <cell r="BE5093">
            <v>6.4375</v>
          </cell>
          <cell r="BF5093">
            <v>6.11</v>
          </cell>
          <cell r="BG5093">
            <v>6.085</v>
          </cell>
          <cell r="BH5093">
            <v>6.069</v>
          </cell>
          <cell r="BI5093">
            <v>7.25</v>
          </cell>
          <cell r="BJ5093">
            <v>7.42</v>
          </cell>
          <cell r="BK5093">
            <v>7.51</v>
          </cell>
          <cell r="BL5093">
            <v>7.51</v>
          </cell>
          <cell r="BM5093">
            <v>7.72</v>
          </cell>
          <cell r="BN5093">
            <v>7.68</v>
          </cell>
          <cell r="BO5093">
            <v>7.57</v>
          </cell>
          <cell r="BP5093">
            <v>7.41</v>
          </cell>
          <cell r="BQ5093">
            <v>8.44</v>
          </cell>
          <cell r="BR5093">
            <v>8.5</v>
          </cell>
          <cell r="BS5093">
            <v>8.4600000000000009</v>
          </cell>
          <cell r="BT5093">
            <v>8.4700000000000006</v>
          </cell>
          <cell r="BU5093">
            <v>7.46</v>
          </cell>
          <cell r="BV5093">
            <v>7.36</v>
          </cell>
          <cell r="BW5093">
            <v>7.14</v>
          </cell>
        </row>
        <row r="5094">
          <cell r="A5094">
            <v>45633</v>
          </cell>
          <cell r="B5094">
            <v>6.7450000000000001</v>
          </cell>
          <cell r="C5094">
            <v>6.681</v>
          </cell>
          <cell r="D5094">
            <v>6.6619999999999999</v>
          </cell>
          <cell r="E5094">
            <v>6.6319999999999997</v>
          </cell>
          <cell r="F5094">
            <v>6.55</v>
          </cell>
          <cell r="G5094">
            <v>6.53</v>
          </cell>
          <cell r="H5094">
            <v>6.36</v>
          </cell>
          <cell r="I5094">
            <v>6.38</v>
          </cell>
          <cell r="J5094">
            <v>6.37</v>
          </cell>
          <cell r="K5094">
            <v>7.25</v>
          </cell>
          <cell r="L5094">
            <v>7.42</v>
          </cell>
          <cell r="M5094">
            <v>7.51</v>
          </cell>
          <cell r="N5094">
            <v>7.51</v>
          </cell>
          <cell r="O5094">
            <v>6.4375</v>
          </cell>
          <cell r="P5094">
            <v>6.11</v>
          </cell>
          <cell r="Q5094">
            <v>6.085</v>
          </cell>
          <cell r="R5094">
            <v>6.069</v>
          </cell>
          <cell r="S5094">
            <v>-47300.39</v>
          </cell>
          <cell r="T5094">
            <v>7.2241999999999997</v>
          </cell>
          <cell r="U5094">
            <v>7.3643999999999998</v>
          </cell>
          <cell r="V5094">
            <v>7.3898999999999999</v>
          </cell>
          <cell r="W5094">
            <v>7.5773000000000001</v>
          </cell>
          <cell r="X5094">
            <v>5.75</v>
          </cell>
          <cell r="Y5094">
            <v>6.5</v>
          </cell>
          <cell r="Z5094">
            <v>3.35</v>
          </cell>
          <cell r="AA5094">
            <v>4.5</v>
          </cell>
          <cell r="AB5094">
            <v>18</v>
          </cell>
          <cell r="AC5094">
            <v>84.669200000000004</v>
          </cell>
          <cell r="AD5094">
            <v>1.0568</v>
          </cell>
          <cell r="AE5094">
            <v>89.587000000000003</v>
          </cell>
          <cell r="AF5094">
            <v>7.2714999999999996</v>
          </cell>
          <cell r="AG5094">
            <v>72.625</v>
          </cell>
          <cell r="AH5094">
            <v>2633.37</v>
          </cell>
          <cell r="AI5094">
            <v>81709.119999999995</v>
          </cell>
          <cell r="AJ5094">
            <v>24677.8</v>
          </cell>
          <cell r="AK5094">
            <v>44642.52</v>
          </cell>
          <cell r="AL5094">
            <v>21622.25</v>
          </cell>
          <cell r="AM5094">
            <v>19865.849999999999</v>
          </cell>
          <cell r="AN5094">
            <v>3404.076</v>
          </cell>
          <cell r="AO5094">
            <v>5.48</v>
          </cell>
          <cell r="AP5094">
            <v>1.89</v>
          </cell>
          <cell r="AQ5094">
            <v>-31825</v>
          </cell>
          <cell r="AR5094">
            <v>-0.65</v>
          </cell>
          <cell r="AS5094">
            <v>-5007</v>
          </cell>
          <cell r="AT5094">
            <v>-97</v>
          </cell>
          <cell r="AU5094">
            <v>5.2</v>
          </cell>
          <cell r="AV5094">
            <v>5.36</v>
          </cell>
          <cell r="AW5094">
            <v>212</v>
          </cell>
          <cell r="AX5094">
            <v>242</v>
          </cell>
          <cell r="AY5094">
            <v>5.6</v>
          </cell>
          <cell r="AZ5094">
            <v>4.1528999999999998</v>
          </cell>
          <cell r="BA5094">
            <v>7.14</v>
          </cell>
          <cell r="BB5094">
            <v>7.36</v>
          </cell>
          <cell r="BC5094">
            <v>7.46</v>
          </cell>
          <cell r="BD5094">
            <v>6.6319999999999997</v>
          </cell>
          <cell r="BE5094">
            <v>6.4375</v>
          </cell>
          <cell r="BF5094">
            <v>6.11</v>
          </cell>
          <cell r="BG5094">
            <v>6.085</v>
          </cell>
          <cell r="BH5094">
            <v>6.069</v>
          </cell>
          <cell r="BI5094">
            <v>7.25</v>
          </cell>
          <cell r="BJ5094">
            <v>7.42</v>
          </cell>
          <cell r="BK5094">
            <v>7.51</v>
          </cell>
          <cell r="BL5094">
            <v>7.51</v>
          </cell>
          <cell r="BM5094">
            <v>7.72</v>
          </cell>
          <cell r="BN5094">
            <v>7.68</v>
          </cell>
          <cell r="BO5094">
            <v>7.57</v>
          </cell>
          <cell r="BP5094">
            <v>7.41</v>
          </cell>
          <cell r="BQ5094">
            <v>8.44</v>
          </cell>
          <cell r="BR5094">
            <v>8.5</v>
          </cell>
          <cell r="BS5094">
            <v>8.4600000000000009</v>
          </cell>
          <cell r="BT5094">
            <v>8.4700000000000006</v>
          </cell>
          <cell r="BU5094">
            <v>7.46</v>
          </cell>
          <cell r="BV5094">
            <v>7.36</v>
          </cell>
          <cell r="BW5094">
            <v>7.14</v>
          </cell>
        </row>
        <row r="5095">
          <cell r="A5095">
            <v>45634</v>
          </cell>
          <cell r="B5095">
            <v>6.7450000000000001</v>
          </cell>
          <cell r="C5095">
            <v>6.681</v>
          </cell>
          <cell r="D5095">
            <v>6.6619999999999999</v>
          </cell>
          <cell r="E5095">
            <v>6.6319999999999997</v>
          </cell>
          <cell r="F5095">
            <v>6.55</v>
          </cell>
          <cell r="G5095">
            <v>6.53</v>
          </cell>
          <cell r="H5095">
            <v>6.36</v>
          </cell>
          <cell r="I5095">
            <v>6.38</v>
          </cell>
          <cell r="J5095">
            <v>6.37</v>
          </cell>
          <cell r="K5095">
            <v>7.25</v>
          </cell>
          <cell r="L5095">
            <v>7.42</v>
          </cell>
          <cell r="M5095">
            <v>7.51</v>
          </cell>
          <cell r="N5095">
            <v>7.51</v>
          </cell>
          <cell r="O5095">
            <v>6.4375</v>
          </cell>
          <cell r="P5095">
            <v>6.11</v>
          </cell>
          <cell r="Q5095">
            <v>6.085</v>
          </cell>
          <cell r="R5095">
            <v>6.069</v>
          </cell>
          <cell r="S5095">
            <v>-43261.39</v>
          </cell>
          <cell r="T5095">
            <v>7.2241999999999997</v>
          </cell>
          <cell r="U5095">
            <v>7.3643999999999998</v>
          </cell>
          <cell r="V5095">
            <v>7.3898999999999999</v>
          </cell>
          <cell r="W5095">
            <v>7.5773000000000001</v>
          </cell>
          <cell r="X5095">
            <v>5.75</v>
          </cell>
          <cell r="Y5095">
            <v>6.5</v>
          </cell>
          <cell r="Z5095">
            <v>3.35</v>
          </cell>
          <cell r="AA5095">
            <v>4.5</v>
          </cell>
          <cell r="AB5095">
            <v>18</v>
          </cell>
          <cell r="AC5095">
            <v>84.669200000000004</v>
          </cell>
          <cell r="AD5095">
            <v>1.0568</v>
          </cell>
          <cell r="AE5095">
            <v>89.587000000000003</v>
          </cell>
          <cell r="AF5095">
            <v>7.2714999999999996</v>
          </cell>
          <cell r="AG5095">
            <v>72.625</v>
          </cell>
          <cell r="AH5095">
            <v>2633.37</v>
          </cell>
          <cell r="AI5095">
            <v>81709.119999999995</v>
          </cell>
          <cell r="AJ5095">
            <v>24677.8</v>
          </cell>
          <cell r="AK5095">
            <v>44642.52</v>
          </cell>
          <cell r="AL5095">
            <v>21622.25</v>
          </cell>
          <cell r="AM5095">
            <v>19865.849999999999</v>
          </cell>
          <cell r="AN5095">
            <v>3404.076</v>
          </cell>
          <cell r="AO5095">
            <v>5.48</v>
          </cell>
          <cell r="AP5095">
            <v>1.89</v>
          </cell>
          <cell r="AQ5095">
            <v>-31825</v>
          </cell>
          <cell r="AR5095">
            <v>-0.65</v>
          </cell>
          <cell r="AS5095">
            <v>-5007</v>
          </cell>
          <cell r="AT5095">
            <v>-97</v>
          </cell>
          <cell r="AU5095">
            <v>5.2</v>
          </cell>
          <cell r="AV5095">
            <v>5.36</v>
          </cell>
          <cell r="AW5095">
            <v>212</v>
          </cell>
          <cell r="AX5095">
            <v>242</v>
          </cell>
          <cell r="AY5095">
            <v>5.6</v>
          </cell>
          <cell r="AZ5095">
            <v>4.1528999999999998</v>
          </cell>
          <cell r="BA5095">
            <v>7.14</v>
          </cell>
          <cell r="BB5095">
            <v>7.36</v>
          </cell>
          <cell r="BC5095">
            <v>7.46</v>
          </cell>
          <cell r="BD5095">
            <v>6.6319999999999997</v>
          </cell>
          <cell r="BE5095">
            <v>6.4375</v>
          </cell>
          <cell r="BF5095">
            <v>6.11</v>
          </cell>
          <cell r="BG5095">
            <v>6.085</v>
          </cell>
          <cell r="BH5095">
            <v>6.069</v>
          </cell>
          <cell r="BI5095">
            <v>7.25</v>
          </cell>
          <cell r="BJ5095">
            <v>7.42</v>
          </cell>
          <cell r="BK5095">
            <v>7.51</v>
          </cell>
          <cell r="BL5095">
            <v>7.51</v>
          </cell>
          <cell r="BM5095">
            <v>7.72</v>
          </cell>
          <cell r="BN5095">
            <v>7.68</v>
          </cell>
          <cell r="BO5095">
            <v>7.57</v>
          </cell>
          <cell r="BP5095">
            <v>7.41</v>
          </cell>
          <cell r="BQ5095">
            <v>8.44</v>
          </cell>
          <cell r="BR5095">
            <v>8.5</v>
          </cell>
          <cell r="BS5095">
            <v>8.4600000000000009</v>
          </cell>
          <cell r="BT5095">
            <v>8.4700000000000006</v>
          </cell>
          <cell r="BU5095">
            <v>7.46</v>
          </cell>
          <cell r="BV5095">
            <v>7.36</v>
          </cell>
          <cell r="BW5095">
            <v>7.14</v>
          </cell>
        </row>
        <row r="5096">
          <cell r="A5096">
            <v>45635</v>
          </cell>
          <cell r="B5096">
            <v>6.718</v>
          </cell>
          <cell r="C5096">
            <v>6.6619999999999999</v>
          </cell>
          <cell r="D5096">
            <v>6.6589999999999998</v>
          </cell>
          <cell r="E5096">
            <v>6.6479999999999997</v>
          </cell>
          <cell r="F5096">
            <v>6.54</v>
          </cell>
          <cell r="G5096">
            <v>6.53</v>
          </cell>
          <cell r="H5096">
            <v>6.4</v>
          </cell>
          <cell r="I5096">
            <v>6.39</v>
          </cell>
          <cell r="J5096">
            <v>6.35</v>
          </cell>
          <cell r="K5096">
            <v>7.2</v>
          </cell>
          <cell r="L5096">
            <v>7.42</v>
          </cell>
          <cell r="M5096">
            <v>7.5</v>
          </cell>
          <cell r="N5096">
            <v>7.5</v>
          </cell>
          <cell r="O5096">
            <v>6.4</v>
          </cell>
          <cell r="P5096">
            <v>6.0837000000000003</v>
          </cell>
          <cell r="Q5096">
            <v>6.0350000000000001</v>
          </cell>
          <cell r="R5096">
            <v>6.0237999999999996</v>
          </cell>
          <cell r="S5096">
            <v>-23342.39</v>
          </cell>
          <cell r="T5096">
            <v>7.1932</v>
          </cell>
          <cell r="U5096">
            <v>7.3643999999999998</v>
          </cell>
          <cell r="V5096">
            <v>7.4311999999999996</v>
          </cell>
          <cell r="W5096">
            <v>7.5669000000000004</v>
          </cell>
          <cell r="X5096">
            <v>6.8</v>
          </cell>
          <cell r="Y5096">
            <v>6.5</v>
          </cell>
          <cell r="Z5096">
            <v>3.35</v>
          </cell>
          <cell r="AA5096">
            <v>4.5</v>
          </cell>
          <cell r="AB5096">
            <v>18</v>
          </cell>
          <cell r="AC5096">
            <v>84.840400000000002</v>
          </cell>
          <cell r="AD5096">
            <v>1.0553999999999999</v>
          </cell>
          <cell r="AE5096">
            <v>89.536000000000001</v>
          </cell>
          <cell r="AF5096">
            <v>7.2586000000000004</v>
          </cell>
          <cell r="AG5096">
            <v>73.67</v>
          </cell>
          <cell r="AH5096">
            <v>2660.3</v>
          </cell>
          <cell r="AI5096">
            <v>81508.460000000006</v>
          </cell>
          <cell r="AJ5096">
            <v>24619</v>
          </cell>
          <cell r="AK5096">
            <v>44401.93</v>
          </cell>
          <cell r="AL5096">
            <v>21440.82</v>
          </cell>
          <cell r="AM5096">
            <v>20414.09</v>
          </cell>
          <cell r="AN5096">
            <v>3402.5340000000001</v>
          </cell>
          <cell r="AO5096">
            <v>5.48</v>
          </cell>
          <cell r="AP5096">
            <v>1.89</v>
          </cell>
          <cell r="AQ5096">
            <v>-31825</v>
          </cell>
          <cell r="AR5096">
            <v>-0.65</v>
          </cell>
          <cell r="AS5096">
            <v>-5007</v>
          </cell>
          <cell r="AT5096">
            <v>-97</v>
          </cell>
          <cell r="AU5096">
            <v>5.2</v>
          </cell>
          <cell r="AV5096">
            <v>5.36</v>
          </cell>
          <cell r="AW5096">
            <v>212</v>
          </cell>
          <cell r="AX5096">
            <v>242</v>
          </cell>
          <cell r="AY5096">
            <v>5.6</v>
          </cell>
          <cell r="AZ5096">
            <v>4.2012</v>
          </cell>
          <cell r="BA5096">
            <v>7.15</v>
          </cell>
          <cell r="BB5096">
            <v>7.38</v>
          </cell>
          <cell r="BC5096">
            <v>7.48</v>
          </cell>
          <cell r="BD5096">
            <v>6.6479999999999997</v>
          </cell>
          <cell r="BE5096">
            <v>6.4</v>
          </cell>
          <cell r="BF5096">
            <v>6.0837000000000003</v>
          </cell>
          <cell r="BG5096">
            <v>6.0350000000000001</v>
          </cell>
          <cell r="BH5096">
            <v>6.0237999999999996</v>
          </cell>
          <cell r="BI5096">
            <v>7.2</v>
          </cell>
          <cell r="BJ5096">
            <v>7.42</v>
          </cell>
          <cell r="BK5096">
            <v>7.5</v>
          </cell>
          <cell r="BL5096">
            <v>7.5</v>
          </cell>
          <cell r="BM5096">
            <v>7.72</v>
          </cell>
          <cell r="BN5096">
            <v>7.72</v>
          </cell>
          <cell r="BO5096">
            <v>7.57</v>
          </cell>
          <cell r="BP5096">
            <v>7.38</v>
          </cell>
          <cell r="BQ5096">
            <v>8.44</v>
          </cell>
          <cell r="BR5096">
            <v>8.5399999999999991</v>
          </cell>
          <cell r="BS5096">
            <v>8.4600000000000009</v>
          </cell>
          <cell r="BT5096">
            <v>8.44</v>
          </cell>
          <cell r="BU5096">
            <v>7.48</v>
          </cell>
          <cell r="BV5096">
            <v>7.38</v>
          </cell>
          <cell r="BW5096">
            <v>7.15</v>
          </cell>
        </row>
        <row r="5097">
          <cell r="A5097">
            <v>45636</v>
          </cell>
          <cell r="B5097">
            <v>6.7069999999999999</v>
          </cell>
          <cell r="C5097">
            <v>6.6390000000000002</v>
          </cell>
          <cell r="D5097">
            <v>6.641</v>
          </cell>
          <cell r="E5097">
            <v>6.6349999999999998</v>
          </cell>
          <cell r="F5097">
            <v>6.54</v>
          </cell>
          <cell r="G5097">
            <v>6.55</v>
          </cell>
          <cell r="H5097">
            <v>6.41</v>
          </cell>
          <cell r="I5097">
            <v>6.4</v>
          </cell>
          <cell r="J5097">
            <v>6.35</v>
          </cell>
          <cell r="K5097">
            <v>7.22</v>
          </cell>
          <cell r="L5097">
            <v>7.38</v>
          </cell>
          <cell r="M5097">
            <v>7.47</v>
          </cell>
          <cell r="N5097">
            <v>7.47</v>
          </cell>
          <cell r="O5097">
            <v>6.3724999999999996</v>
          </cell>
          <cell r="P5097">
            <v>6.06</v>
          </cell>
          <cell r="Q5097">
            <v>6.0025000000000004</v>
          </cell>
          <cell r="R5097">
            <v>5.9924999999999997</v>
          </cell>
          <cell r="S5097">
            <v>-35667.39</v>
          </cell>
          <cell r="T5097">
            <v>7.1829000000000001</v>
          </cell>
          <cell r="U5097">
            <v>7.3437000000000001</v>
          </cell>
          <cell r="V5097">
            <v>7.4001999999999999</v>
          </cell>
          <cell r="W5097">
            <v>7.5669000000000004</v>
          </cell>
          <cell r="X5097">
            <v>6.85</v>
          </cell>
          <cell r="Y5097">
            <v>6.5</v>
          </cell>
          <cell r="Z5097">
            <v>3.35</v>
          </cell>
          <cell r="AA5097">
            <v>4.5</v>
          </cell>
          <cell r="AB5097">
            <v>18</v>
          </cell>
          <cell r="AC5097">
            <v>84.873099999999994</v>
          </cell>
          <cell r="AD5097">
            <v>1.0527</v>
          </cell>
          <cell r="AE5097">
            <v>89.370500000000007</v>
          </cell>
          <cell r="AF5097">
            <v>7.2497999999999996</v>
          </cell>
          <cell r="AG5097">
            <v>73.77</v>
          </cell>
          <cell r="AH5097">
            <v>2694.25</v>
          </cell>
          <cell r="AI5097">
            <v>81510.05</v>
          </cell>
          <cell r="AJ5097">
            <v>24610.05</v>
          </cell>
          <cell r="AK5097">
            <v>44247.83</v>
          </cell>
          <cell r="AL5097">
            <v>21368.18</v>
          </cell>
          <cell r="AM5097">
            <v>20311.28</v>
          </cell>
          <cell r="AN5097">
            <v>3422.6610000000001</v>
          </cell>
          <cell r="AO5097">
            <v>5.48</v>
          </cell>
          <cell r="AP5097">
            <v>1.89</v>
          </cell>
          <cell r="AQ5097">
            <v>-31825</v>
          </cell>
          <cell r="AR5097">
            <v>-0.65</v>
          </cell>
          <cell r="AS5097">
            <v>-5007</v>
          </cell>
          <cell r="AT5097">
            <v>-97</v>
          </cell>
          <cell r="AU5097">
            <v>5.2</v>
          </cell>
          <cell r="AV5097">
            <v>5.36</v>
          </cell>
          <cell r="AW5097">
            <v>212</v>
          </cell>
          <cell r="AX5097">
            <v>242</v>
          </cell>
          <cell r="AY5097">
            <v>5.6</v>
          </cell>
          <cell r="AZ5097">
            <v>4.2263000000000002</v>
          </cell>
          <cell r="BA5097">
            <v>7.15</v>
          </cell>
          <cell r="BB5097">
            <v>7.41</v>
          </cell>
          <cell r="BC5097">
            <v>7.47</v>
          </cell>
          <cell r="BD5097">
            <v>6.6349999999999998</v>
          </cell>
          <cell r="BE5097">
            <v>6.3724999999999996</v>
          </cell>
          <cell r="BF5097">
            <v>6.06</v>
          </cell>
          <cell r="BG5097">
            <v>6.0025000000000004</v>
          </cell>
          <cell r="BH5097">
            <v>5.9924999999999997</v>
          </cell>
          <cell r="BI5097">
            <v>7.22</v>
          </cell>
          <cell r="BJ5097">
            <v>7.38</v>
          </cell>
          <cell r="BK5097">
            <v>7.47</v>
          </cell>
          <cell r="BL5097">
            <v>7.47</v>
          </cell>
          <cell r="BM5097">
            <v>7.7</v>
          </cell>
          <cell r="BN5097">
            <v>7.69</v>
          </cell>
          <cell r="BO5097">
            <v>7.55</v>
          </cell>
          <cell r="BP5097">
            <v>7.37</v>
          </cell>
          <cell r="BQ5097">
            <v>8.42</v>
          </cell>
          <cell r="BR5097">
            <v>8.51</v>
          </cell>
          <cell r="BS5097">
            <v>8.44</v>
          </cell>
          <cell r="BT5097">
            <v>8.43</v>
          </cell>
          <cell r="BU5097">
            <v>7.47</v>
          </cell>
          <cell r="BV5097">
            <v>7.41</v>
          </cell>
          <cell r="BW5097">
            <v>7.15</v>
          </cell>
        </row>
        <row r="5098">
          <cell r="A5098">
            <v>45637</v>
          </cell>
          <cell r="B5098">
            <v>6.7169999999999996</v>
          </cell>
          <cell r="C5098">
            <v>6.6539999999999999</v>
          </cell>
          <cell r="D5098">
            <v>6.657</v>
          </cell>
          <cell r="E5098">
            <v>6.6349999999999998</v>
          </cell>
          <cell r="F5098">
            <v>6.55</v>
          </cell>
          <cell r="G5098">
            <v>6.59</v>
          </cell>
          <cell r="H5098">
            <v>6.44</v>
          </cell>
          <cell r="I5098">
            <v>6.47</v>
          </cell>
          <cell r="J5098">
            <v>6.45</v>
          </cell>
          <cell r="K5098">
            <v>7.23</v>
          </cell>
          <cell r="L5098">
            <v>7.41</v>
          </cell>
          <cell r="M5098">
            <v>7.47</v>
          </cell>
          <cell r="N5098">
            <v>7.47</v>
          </cell>
          <cell r="O5098">
            <v>6.3887999999999998</v>
          </cell>
          <cell r="P5098">
            <v>6.0762999999999998</v>
          </cell>
          <cell r="Q5098">
            <v>6.0179999999999998</v>
          </cell>
          <cell r="R5098">
            <v>6.0113000000000003</v>
          </cell>
          <cell r="S5098">
            <v>-47129.39</v>
          </cell>
          <cell r="T5098">
            <v>7.1932</v>
          </cell>
          <cell r="U5098">
            <v>7.3540999999999999</v>
          </cell>
          <cell r="V5098">
            <v>7.4208999999999996</v>
          </cell>
          <cell r="W5098">
            <v>7.5773000000000001</v>
          </cell>
          <cell r="X5098">
            <v>6.75</v>
          </cell>
          <cell r="Y5098">
            <v>6.5</v>
          </cell>
          <cell r="Z5098">
            <v>3.35</v>
          </cell>
          <cell r="AA5098">
            <v>4.5</v>
          </cell>
          <cell r="AB5098">
            <v>18</v>
          </cell>
          <cell r="AC5098">
            <v>84.820099999999996</v>
          </cell>
          <cell r="AD5098">
            <v>1.0496000000000001</v>
          </cell>
          <cell r="AE5098">
            <v>89.0899</v>
          </cell>
          <cell r="AF5098">
            <v>7.2626999999999997</v>
          </cell>
          <cell r="AG5098">
            <v>74.245000000000005</v>
          </cell>
          <cell r="AH5098">
            <v>2718.23</v>
          </cell>
          <cell r="AI5098">
            <v>81526.14</v>
          </cell>
          <cell r="AJ5098">
            <v>24641.8</v>
          </cell>
          <cell r="AK5098">
            <v>44148.56</v>
          </cell>
          <cell r="AL5098">
            <v>21763.98</v>
          </cell>
          <cell r="AM5098">
            <v>20155.05</v>
          </cell>
          <cell r="AN5098">
            <v>3432.49</v>
          </cell>
          <cell r="AO5098">
            <v>5.48</v>
          </cell>
          <cell r="AP5098">
            <v>1.89</v>
          </cell>
          <cell r="AQ5098">
            <v>-31825</v>
          </cell>
          <cell r="AR5098">
            <v>-0.65</v>
          </cell>
          <cell r="AS5098">
            <v>-5007</v>
          </cell>
          <cell r="AT5098">
            <v>-97</v>
          </cell>
          <cell r="AU5098">
            <v>5.2</v>
          </cell>
          <cell r="AV5098">
            <v>5.36</v>
          </cell>
          <cell r="AW5098">
            <v>212</v>
          </cell>
          <cell r="AX5098">
            <v>242</v>
          </cell>
          <cell r="AY5098">
            <v>5.6</v>
          </cell>
          <cell r="AZ5098">
            <v>4.2710999999999997</v>
          </cell>
          <cell r="BA5098">
            <v>7.15</v>
          </cell>
          <cell r="BB5098">
            <v>7.41</v>
          </cell>
          <cell r="BC5098">
            <v>7.47</v>
          </cell>
          <cell r="BD5098">
            <v>6.6349999999999998</v>
          </cell>
          <cell r="BE5098">
            <v>6.3887999999999998</v>
          </cell>
          <cell r="BF5098">
            <v>6.0762999999999998</v>
          </cell>
          <cell r="BG5098">
            <v>6.0179999999999998</v>
          </cell>
          <cell r="BH5098">
            <v>6.0113000000000003</v>
          </cell>
          <cell r="BI5098">
            <v>7.23</v>
          </cell>
          <cell r="BJ5098">
            <v>7.41</v>
          </cell>
          <cell r="BK5098">
            <v>7.47</v>
          </cell>
          <cell r="BL5098">
            <v>7.47</v>
          </cell>
          <cell r="BM5098">
            <v>7.71</v>
          </cell>
          <cell r="BN5098">
            <v>7.71</v>
          </cell>
          <cell r="BO5098">
            <v>7.56</v>
          </cell>
          <cell r="BP5098">
            <v>7.38</v>
          </cell>
          <cell r="BQ5098">
            <v>8.43</v>
          </cell>
          <cell r="BR5098">
            <v>8.5299999999999994</v>
          </cell>
          <cell r="BS5098">
            <v>8.4499999999999993</v>
          </cell>
          <cell r="BT5098">
            <v>8.44</v>
          </cell>
          <cell r="BU5098">
            <v>7.47</v>
          </cell>
          <cell r="BV5098">
            <v>7.41</v>
          </cell>
          <cell r="BW5098">
            <v>7.15</v>
          </cell>
        </row>
        <row r="5099">
          <cell r="A5099">
            <v>45638</v>
          </cell>
          <cell r="B5099">
            <v>6.74</v>
          </cell>
          <cell r="C5099">
            <v>6.6630000000000003</v>
          </cell>
          <cell r="D5099">
            <v>6.6760000000000002</v>
          </cell>
          <cell r="E5099">
            <v>6.6369999999999996</v>
          </cell>
          <cell r="F5099">
            <v>6.55</v>
          </cell>
          <cell r="G5099">
            <v>6.59</v>
          </cell>
          <cell r="H5099">
            <v>6.43</v>
          </cell>
          <cell r="I5099">
            <v>6.45</v>
          </cell>
          <cell r="J5099">
            <v>6.4</v>
          </cell>
          <cell r="K5099">
            <v>7.2</v>
          </cell>
          <cell r="L5099">
            <v>7.39</v>
          </cell>
          <cell r="M5099">
            <v>7.5</v>
          </cell>
          <cell r="N5099">
            <v>7.5</v>
          </cell>
          <cell r="O5099">
            <v>6.4</v>
          </cell>
          <cell r="P5099">
            <v>6.09</v>
          </cell>
          <cell r="Q5099">
            <v>6.0350000000000001</v>
          </cell>
          <cell r="R5099">
            <v>6.03</v>
          </cell>
          <cell r="S5099">
            <v>-64311.39</v>
          </cell>
          <cell r="T5099">
            <v>7.2138999999999998</v>
          </cell>
          <cell r="U5099">
            <v>7.3643999999999998</v>
          </cell>
          <cell r="V5099">
            <v>7.4416000000000002</v>
          </cell>
          <cell r="W5099">
            <v>7.5773000000000001</v>
          </cell>
          <cell r="X5099">
            <v>6.8</v>
          </cell>
          <cell r="Y5099">
            <v>6.5</v>
          </cell>
          <cell r="Z5099">
            <v>3.35</v>
          </cell>
          <cell r="AA5099">
            <v>4.5</v>
          </cell>
          <cell r="AB5099">
            <v>18</v>
          </cell>
          <cell r="AC5099">
            <v>84.828999999999994</v>
          </cell>
          <cell r="AD5099">
            <v>1.0468</v>
          </cell>
          <cell r="AE5099">
            <v>89.209000000000003</v>
          </cell>
          <cell r="AF5099">
            <v>7.2690999999999999</v>
          </cell>
          <cell r="AG5099">
            <v>73.599999999999994</v>
          </cell>
          <cell r="AH5099">
            <v>2680.73</v>
          </cell>
          <cell r="AI5099">
            <v>81289.960000000006</v>
          </cell>
          <cell r="AJ5099">
            <v>24548.7</v>
          </cell>
          <cell r="AK5099">
            <v>43914.12</v>
          </cell>
          <cell r="AL5099">
            <v>21615.27</v>
          </cell>
          <cell r="AM5099">
            <v>20397.05</v>
          </cell>
          <cell r="AN5099">
            <v>3461.5</v>
          </cell>
          <cell r="AO5099">
            <v>5.48</v>
          </cell>
          <cell r="AP5099">
            <v>1.89</v>
          </cell>
          <cell r="AQ5099">
            <v>-31825</v>
          </cell>
          <cell r="AR5099">
            <v>-0.65</v>
          </cell>
          <cell r="AS5099">
            <v>-5007</v>
          </cell>
          <cell r="AT5099">
            <v>-97</v>
          </cell>
          <cell r="AU5099">
            <v>5.2</v>
          </cell>
          <cell r="AV5099">
            <v>5.36</v>
          </cell>
          <cell r="AW5099">
            <v>212</v>
          </cell>
          <cell r="AX5099">
            <v>242</v>
          </cell>
          <cell r="AY5099">
            <v>5.6</v>
          </cell>
          <cell r="AZ5099">
            <v>4.3277999999999999</v>
          </cell>
          <cell r="BA5099">
            <v>7.16</v>
          </cell>
          <cell r="BB5099">
            <v>7.46</v>
          </cell>
          <cell r="BC5099">
            <v>7.53</v>
          </cell>
          <cell r="BD5099">
            <v>6.6369999999999996</v>
          </cell>
          <cell r="BE5099">
            <v>6.4</v>
          </cell>
          <cell r="BF5099">
            <v>6.09</v>
          </cell>
          <cell r="BG5099">
            <v>6.0350000000000001</v>
          </cell>
          <cell r="BH5099">
            <v>6.03</v>
          </cell>
          <cell r="BI5099">
            <v>7.2</v>
          </cell>
          <cell r="BJ5099">
            <v>7.39</v>
          </cell>
          <cell r="BK5099">
            <v>7.5</v>
          </cell>
          <cell r="BL5099">
            <v>7.5</v>
          </cell>
          <cell r="BM5099">
            <v>7.74</v>
          </cell>
          <cell r="BN5099">
            <v>7.73</v>
          </cell>
          <cell r="BO5099">
            <v>7.57</v>
          </cell>
          <cell r="BP5099">
            <v>7.4</v>
          </cell>
          <cell r="BQ5099">
            <v>8.4600000000000009</v>
          </cell>
          <cell r="BR5099">
            <v>8.5500000000000007</v>
          </cell>
          <cell r="BS5099">
            <v>8.4600000000000009</v>
          </cell>
          <cell r="BT5099">
            <v>8.4600000000000009</v>
          </cell>
          <cell r="BU5099">
            <v>7.53</v>
          </cell>
          <cell r="BV5099">
            <v>7.46</v>
          </cell>
          <cell r="BW5099">
            <v>7.16</v>
          </cell>
        </row>
        <row r="5100">
          <cell r="A5100">
            <v>45639</v>
          </cell>
          <cell r="B5100">
            <v>6.7279999999999998</v>
          </cell>
          <cell r="C5100">
            <v>6.657</v>
          </cell>
          <cell r="D5100">
            <v>6.6719999999999997</v>
          </cell>
          <cell r="E5100">
            <v>6.6689999999999996</v>
          </cell>
          <cell r="F5100">
            <v>6.57</v>
          </cell>
          <cell r="G5100">
            <v>6.61</v>
          </cell>
          <cell r="H5100">
            <v>6.45</v>
          </cell>
          <cell r="I5100">
            <v>6.54</v>
          </cell>
          <cell r="J5100">
            <v>6.56</v>
          </cell>
          <cell r="K5100">
            <v>7.21</v>
          </cell>
          <cell r="L5100">
            <v>7.43</v>
          </cell>
          <cell r="M5100">
            <v>7.52</v>
          </cell>
          <cell r="N5100">
            <v>7.52</v>
          </cell>
          <cell r="O5100">
            <v>6.4050000000000002</v>
          </cell>
          <cell r="P5100">
            <v>6.1025</v>
          </cell>
          <cell r="Q5100">
            <v>6.05</v>
          </cell>
          <cell r="R5100">
            <v>6.0437000000000003</v>
          </cell>
          <cell r="S5100">
            <v>-23283.39</v>
          </cell>
          <cell r="T5100">
            <v>7.2035999999999998</v>
          </cell>
          <cell r="U5100">
            <v>7.3540999999999999</v>
          </cell>
          <cell r="V5100">
            <v>7.4311999999999996</v>
          </cell>
          <cell r="W5100">
            <v>7.5979000000000001</v>
          </cell>
          <cell r="X5100">
            <v>6.8</v>
          </cell>
          <cell r="Y5100">
            <v>6.5</v>
          </cell>
          <cell r="Z5100">
            <v>3.35</v>
          </cell>
          <cell r="AA5100">
            <v>4.5</v>
          </cell>
          <cell r="AB5100">
            <v>18</v>
          </cell>
          <cell r="AC5100">
            <v>84.816000000000003</v>
          </cell>
          <cell r="AD5100">
            <v>1.0501</v>
          </cell>
          <cell r="AE5100">
            <v>88.933999999999997</v>
          </cell>
          <cell r="AF5100">
            <v>7.2736000000000001</v>
          </cell>
          <cell r="AG5100">
            <v>75.010000000000005</v>
          </cell>
          <cell r="AH5100">
            <v>2648.23</v>
          </cell>
          <cell r="AI5100">
            <v>82133.119999999995</v>
          </cell>
          <cell r="AJ5100">
            <v>24768.3</v>
          </cell>
          <cell r="AK5100">
            <v>43828.06</v>
          </cell>
          <cell r="AL5100">
            <v>21780.25</v>
          </cell>
          <cell r="AM5100">
            <v>19971.240000000002</v>
          </cell>
          <cell r="AN5100">
            <v>3391.8780000000002</v>
          </cell>
          <cell r="AO5100">
            <v>5.48</v>
          </cell>
          <cell r="AP5100">
            <v>1.89</v>
          </cell>
          <cell r="AQ5100">
            <v>-31825</v>
          </cell>
          <cell r="AR5100">
            <v>-0.65</v>
          </cell>
          <cell r="AS5100">
            <v>-5007</v>
          </cell>
          <cell r="AT5100">
            <v>-97</v>
          </cell>
          <cell r="AU5100">
            <v>5.2</v>
          </cell>
          <cell r="AV5100">
            <v>5.36</v>
          </cell>
          <cell r="AW5100">
            <v>212</v>
          </cell>
          <cell r="AX5100">
            <v>220</v>
          </cell>
          <cell r="AY5100">
            <v>5.6</v>
          </cell>
          <cell r="AZ5100">
            <v>4.3967000000000001</v>
          </cell>
          <cell r="BA5100">
            <v>7.22</v>
          </cell>
          <cell r="BB5100">
            <v>7.5</v>
          </cell>
          <cell r="BC5100">
            <v>7.52</v>
          </cell>
          <cell r="BD5100">
            <v>6.6689999999999996</v>
          </cell>
          <cell r="BE5100">
            <v>6.4050000000000002</v>
          </cell>
          <cell r="BF5100">
            <v>6.1025</v>
          </cell>
          <cell r="BG5100">
            <v>6.05</v>
          </cell>
          <cell r="BH5100">
            <v>6.0437000000000003</v>
          </cell>
          <cell r="BI5100">
            <v>7.21</v>
          </cell>
          <cell r="BJ5100">
            <v>7.43</v>
          </cell>
          <cell r="BK5100">
            <v>7.52</v>
          </cell>
          <cell r="BL5100">
            <v>7.52</v>
          </cell>
          <cell r="BM5100">
            <v>7.74</v>
          </cell>
          <cell r="BN5100">
            <v>7.72</v>
          </cell>
          <cell r="BO5100">
            <v>7.56</v>
          </cell>
          <cell r="BP5100">
            <v>7.39</v>
          </cell>
          <cell r="BQ5100">
            <v>8.4600000000000009</v>
          </cell>
          <cell r="BR5100">
            <v>8.5399999999999991</v>
          </cell>
          <cell r="BS5100">
            <v>8.4499999999999993</v>
          </cell>
          <cell r="BT5100">
            <v>8.4499999999999993</v>
          </cell>
          <cell r="BU5100">
            <v>7.52</v>
          </cell>
          <cell r="BV5100">
            <v>7.5</v>
          </cell>
          <cell r="BW5100">
            <v>7.22</v>
          </cell>
        </row>
        <row r="5101">
          <cell r="A5101">
            <v>45640</v>
          </cell>
          <cell r="B5101">
            <v>6.7279999999999998</v>
          </cell>
          <cell r="C5101">
            <v>6.657</v>
          </cell>
          <cell r="D5101">
            <v>6.6719999999999997</v>
          </cell>
          <cell r="E5101">
            <v>6.6689999999999996</v>
          </cell>
          <cell r="F5101">
            <v>6.57</v>
          </cell>
          <cell r="G5101">
            <v>6.61</v>
          </cell>
          <cell r="H5101">
            <v>6.45</v>
          </cell>
          <cell r="I5101">
            <v>6.54</v>
          </cell>
          <cell r="J5101">
            <v>6.56</v>
          </cell>
          <cell r="K5101">
            <v>7.21</v>
          </cell>
          <cell r="L5101">
            <v>7.43</v>
          </cell>
          <cell r="M5101">
            <v>7.52</v>
          </cell>
          <cell r="N5101">
            <v>7.52</v>
          </cell>
          <cell r="O5101">
            <v>6.4050000000000002</v>
          </cell>
          <cell r="P5101">
            <v>6.1025</v>
          </cell>
          <cell r="Q5101">
            <v>6.05</v>
          </cell>
          <cell r="R5101">
            <v>6.0437000000000003</v>
          </cell>
          <cell r="S5101">
            <v>-18328.39</v>
          </cell>
          <cell r="T5101">
            <v>7.2035999999999998</v>
          </cell>
          <cell r="U5101">
            <v>7.3540999999999999</v>
          </cell>
          <cell r="V5101">
            <v>7.4311999999999996</v>
          </cell>
          <cell r="W5101">
            <v>7.5979000000000001</v>
          </cell>
          <cell r="X5101">
            <v>6.8</v>
          </cell>
          <cell r="Y5101">
            <v>6.5</v>
          </cell>
          <cell r="Z5101">
            <v>3.35</v>
          </cell>
          <cell r="AA5101">
            <v>4.5</v>
          </cell>
          <cell r="AB5101">
            <v>18</v>
          </cell>
          <cell r="AC5101">
            <v>84.816000000000003</v>
          </cell>
          <cell r="AD5101">
            <v>1.0501</v>
          </cell>
          <cell r="AE5101">
            <v>88.933999999999997</v>
          </cell>
          <cell r="AF5101">
            <v>7.2736000000000001</v>
          </cell>
          <cell r="AG5101">
            <v>75.010000000000005</v>
          </cell>
          <cell r="AH5101">
            <v>2648.23</v>
          </cell>
          <cell r="AI5101">
            <v>82133.119999999995</v>
          </cell>
          <cell r="AJ5101">
            <v>24768.3</v>
          </cell>
          <cell r="AK5101">
            <v>43828.06</v>
          </cell>
          <cell r="AL5101">
            <v>21780.25</v>
          </cell>
          <cell r="AM5101">
            <v>19971.240000000002</v>
          </cell>
          <cell r="AN5101">
            <v>3391.8780000000002</v>
          </cell>
          <cell r="AO5101">
            <v>5.48</v>
          </cell>
          <cell r="AP5101">
            <v>1.89</v>
          </cell>
          <cell r="AQ5101">
            <v>-31825</v>
          </cell>
          <cell r="AR5101">
            <v>-0.65</v>
          </cell>
          <cell r="AS5101">
            <v>-5007</v>
          </cell>
          <cell r="AT5101">
            <v>-97</v>
          </cell>
          <cell r="AU5101">
            <v>5.2</v>
          </cell>
          <cell r="AV5101">
            <v>5.36</v>
          </cell>
          <cell r="AW5101">
            <v>212</v>
          </cell>
          <cell r="AX5101">
            <v>220</v>
          </cell>
          <cell r="AY5101">
            <v>5.6</v>
          </cell>
          <cell r="AZ5101">
            <v>4.3967000000000001</v>
          </cell>
          <cell r="BA5101">
            <v>7.22</v>
          </cell>
          <cell r="BB5101">
            <v>7.5</v>
          </cell>
          <cell r="BC5101">
            <v>7.52</v>
          </cell>
          <cell r="BD5101">
            <v>6.6689999999999996</v>
          </cell>
          <cell r="BE5101">
            <v>6.4050000000000002</v>
          </cell>
          <cell r="BF5101">
            <v>6.1025</v>
          </cell>
          <cell r="BG5101">
            <v>6.05</v>
          </cell>
          <cell r="BH5101">
            <v>6.0437000000000003</v>
          </cell>
          <cell r="BI5101">
            <v>7.21</v>
          </cell>
          <cell r="BJ5101">
            <v>7.43</v>
          </cell>
          <cell r="BK5101">
            <v>7.52</v>
          </cell>
          <cell r="BL5101">
            <v>7.52</v>
          </cell>
          <cell r="BM5101">
            <v>7.74</v>
          </cell>
          <cell r="BN5101">
            <v>7.72</v>
          </cell>
          <cell r="BO5101">
            <v>7.56</v>
          </cell>
          <cell r="BP5101">
            <v>7.39</v>
          </cell>
          <cell r="BQ5101">
            <v>8.4600000000000009</v>
          </cell>
          <cell r="BR5101">
            <v>8.5399999999999991</v>
          </cell>
          <cell r="BS5101">
            <v>8.4499999999999993</v>
          </cell>
          <cell r="BT5101">
            <v>8.4499999999999993</v>
          </cell>
          <cell r="BU5101">
            <v>7.52</v>
          </cell>
          <cell r="BV5101">
            <v>7.5</v>
          </cell>
          <cell r="BW5101">
            <v>7.22</v>
          </cell>
        </row>
        <row r="5102">
          <cell r="A5102">
            <v>45641</v>
          </cell>
          <cell r="B5102">
            <v>6.7279999999999998</v>
          </cell>
          <cell r="C5102">
            <v>6.657</v>
          </cell>
          <cell r="D5102">
            <v>6.6719999999999997</v>
          </cell>
          <cell r="E5102">
            <v>6.6689999999999996</v>
          </cell>
          <cell r="F5102">
            <v>6.57</v>
          </cell>
          <cell r="G5102">
            <v>6.61</v>
          </cell>
          <cell r="H5102">
            <v>6.45</v>
          </cell>
          <cell r="I5102">
            <v>6.54</v>
          </cell>
          <cell r="J5102">
            <v>6.56</v>
          </cell>
          <cell r="K5102">
            <v>7.21</v>
          </cell>
          <cell r="L5102">
            <v>7.43</v>
          </cell>
          <cell r="M5102">
            <v>7.52</v>
          </cell>
          <cell r="N5102">
            <v>7.52</v>
          </cell>
          <cell r="O5102">
            <v>6.4050000000000002</v>
          </cell>
          <cell r="P5102">
            <v>6.1025</v>
          </cell>
          <cell r="Q5102">
            <v>6.05</v>
          </cell>
          <cell r="R5102">
            <v>6.0437000000000003</v>
          </cell>
          <cell r="S5102">
            <v>-33533.39</v>
          </cell>
          <cell r="T5102">
            <v>7.2035999999999998</v>
          </cell>
          <cell r="U5102">
            <v>7.3540999999999999</v>
          </cell>
          <cell r="V5102">
            <v>7.4311999999999996</v>
          </cell>
          <cell r="W5102">
            <v>7.5979000000000001</v>
          </cell>
          <cell r="X5102">
            <v>6.8</v>
          </cell>
          <cell r="Y5102">
            <v>6.5</v>
          </cell>
          <cell r="Z5102">
            <v>3.35</v>
          </cell>
          <cell r="AA5102">
            <v>4.5</v>
          </cell>
          <cell r="AB5102">
            <v>18</v>
          </cell>
          <cell r="AC5102">
            <v>84.816000000000003</v>
          </cell>
          <cell r="AD5102">
            <v>1.0501</v>
          </cell>
          <cell r="AE5102">
            <v>88.933999999999997</v>
          </cell>
          <cell r="AF5102">
            <v>7.2736000000000001</v>
          </cell>
          <cell r="AG5102">
            <v>75.010000000000005</v>
          </cell>
          <cell r="AH5102">
            <v>2648.23</v>
          </cell>
          <cell r="AI5102">
            <v>82133.119999999995</v>
          </cell>
          <cell r="AJ5102">
            <v>24768.3</v>
          </cell>
          <cell r="AK5102">
            <v>43828.06</v>
          </cell>
          <cell r="AL5102">
            <v>21780.25</v>
          </cell>
          <cell r="AM5102">
            <v>19971.240000000002</v>
          </cell>
          <cell r="AN5102">
            <v>3391.8780000000002</v>
          </cell>
          <cell r="AO5102">
            <v>5.48</v>
          </cell>
          <cell r="AP5102">
            <v>1.89</v>
          </cell>
          <cell r="AQ5102">
            <v>-31825</v>
          </cell>
          <cell r="AR5102">
            <v>-0.65</v>
          </cell>
          <cell r="AS5102">
            <v>-5007</v>
          </cell>
          <cell r="AT5102">
            <v>-97</v>
          </cell>
          <cell r="AU5102">
            <v>5.2</v>
          </cell>
          <cell r="AV5102">
            <v>5.36</v>
          </cell>
          <cell r="AW5102">
            <v>212</v>
          </cell>
          <cell r="AX5102">
            <v>220</v>
          </cell>
          <cell r="AY5102">
            <v>5.6</v>
          </cell>
          <cell r="AZ5102">
            <v>4.3967000000000001</v>
          </cell>
          <cell r="BA5102">
            <v>7.22</v>
          </cell>
          <cell r="BB5102">
            <v>7.5</v>
          </cell>
          <cell r="BC5102">
            <v>7.52</v>
          </cell>
          <cell r="BD5102">
            <v>6.6689999999999996</v>
          </cell>
          <cell r="BE5102">
            <v>6.4050000000000002</v>
          </cell>
          <cell r="BF5102">
            <v>6.1025</v>
          </cell>
          <cell r="BG5102">
            <v>6.05</v>
          </cell>
          <cell r="BH5102">
            <v>6.0437000000000003</v>
          </cell>
          <cell r="BI5102">
            <v>7.21</v>
          </cell>
          <cell r="BJ5102">
            <v>7.43</v>
          </cell>
          <cell r="BK5102">
            <v>7.52</v>
          </cell>
          <cell r="BL5102">
            <v>7.52</v>
          </cell>
          <cell r="BM5102">
            <v>7.74</v>
          </cell>
          <cell r="BN5102">
            <v>7.72</v>
          </cell>
          <cell r="BO5102">
            <v>7.56</v>
          </cell>
          <cell r="BP5102">
            <v>7.39</v>
          </cell>
          <cell r="BQ5102">
            <v>8.4600000000000009</v>
          </cell>
          <cell r="BR5102">
            <v>8.5399999999999991</v>
          </cell>
          <cell r="BS5102">
            <v>8.4499999999999993</v>
          </cell>
          <cell r="BT5102">
            <v>8.4499999999999993</v>
          </cell>
          <cell r="BU5102">
            <v>7.52</v>
          </cell>
          <cell r="BV5102">
            <v>7.5</v>
          </cell>
          <cell r="BW5102">
            <v>7.22</v>
          </cell>
        </row>
        <row r="5103">
          <cell r="A5103">
            <v>45642</v>
          </cell>
          <cell r="B5103">
            <v>6.7430000000000003</v>
          </cell>
          <cell r="C5103">
            <v>6.6680000000000001</v>
          </cell>
          <cell r="D5103">
            <v>6.6779999999999999</v>
          </cell>
          <cell r="E5103">
            <v>6.6749999999999998</v>
          </cell>
          <cell r="F5103">
            <v>6.53</v>
          </cell>
          <cell r="G5103">
            <v>6.58</v>
          </cell>
          <cell r="H5103">
            <v>6.41</v>
          </cell>
          <cell r="I5103">
            <v>6.5</v>
          </cell>
          <cell r="J5103">
            <v>6.48</v>
          </cell>
          <cell r="K5103">
            <v>7.21</v>
          </cell>
          <cell r="L5103">
            <v>7.44</v>
          </cell>
          <cell r="M5103">
            <v>7.52</v>
          </cell>
          <cell r="N5103">
            <v>7.52</v>
          </cell>
          <cell r="O5103">
            <v>6.43</v>
          </cell>
          <cell r="P5103">
            <v>6.125</v>
          </cell>
          <cell r="Q5103">
            <v>6.08</v>
          </cell>
          <cell r="R5103">
            <v>6.07</v>
          </cell>
          <cell r="S5103">
            <v>110200.61</v>
          </cell>
          <cell r="T5103">
            <v>7.2346000000000004</v>
          </cell>
          <cell r="U5103">
            <v>7.3851000000000004</v>
          </cell>
          <cell r="V5103">
            <v>7.4416000000000002</v>
          </cell>
          <cell r="W5103">
            <v>7.5566000000000004</v>
          </cell>
          <cell r="X5103">
            <v>6.7</v>
          </cell>
          <cell r="Y5103">
            <v>6.5</v>
          </cell>
          <cell r="Z5103">
            <v>3.35</v>
          </cell>
          <cell r="AA5103">
            <v>4.25</v>
          </cell>
          <cell r="AB5103">
            <v>18</v>
          </cell>
          <cell r="AC5103">
            <v>84.875</v>
          </cell>
          <cell r="AD5103">
            <v>1.0511999999999999</v>
          </cell>
          <cell r="AE5103">
            <v>89.152000000000001</v>
          </cell>
          <cell r="AF5103">
            <v>7.2839</v>
          </cell>
          <cell r="AG5103">
            <v>74.61</v>
          </cell>
          <cell r="AH5103">
            <v>2652.72</v>
          </cell>
          <cell r="AI5103">
            <v>81748.570000000007</v>
          </cell>
          <cell r="AJ5103">
            <v>24668.25</v>
          </cell>
          <cell r="AK5103">
            <v>43717.48</v>
          </cell>
          <cell r="AL5103">
            <v>22096.66</v>
          </cell>
          <cell r="AM5103">
            <v>19795.490000000002</v>
          </cell>
          <cell r="AN5103">
            <v>3386.3310000000001</v>
          </cell>
          <cell r="AO5103">
            <v>5.48</v>
          </cell>
          <cell r="AP5103">
            <v>1.89</v>
          </cell>
          <cell r="AQ5103">
            <v>-31825</v>
          </cell>
          <cell r="AR5103">
            <v>-0.65</v>
          </cell>
          <cell r="AS5103">
            <v>-5007</v>
          </cell>
          <cell r="AT5103">
            <v>-97</v>
          </cell>
          <cell r="AU5103">
            <v>5.2</v>
          </cell>
          <cell r="AV5103">
            <v>5.36</v>
          </cell>
          <cell r="AW5103">
            <v>212</v>
          </cell>
          <cell r="AX5103">
            <v>220</v>
          </cell>
          <cell r="AY5103">
            <v>5.6</v>
          </cell>
          <cell r="AZ5103">
            <v>4.3967000000000001</v>
          </cell>
          <cell r="BA5103">
            <v>7.21</v>
          </cell>
          <cell r="BB5103">
            <v>7.52</v>
          </cell>
          <cell r="BC5103">
            <v>7.57</v>
          </cell>
          <cell r="BD5103">
            <v>6.6749999999999998</v>
          </cell>
          <cell r="BE5103">
            <v>6.43</v>
          </cell>
          <cell r="BF5103">
            <v>6.125</v>
          </cell>
          <cell r="BG5103">
            <v>6.08</v>
          </cell>
          <cell r="BH5103">
            <v>6.07</v>
          </cell>
          <cell r="BI5103">
            <v>7.21</v>
          </cell>
          <cell r="BJ5103">
            <v>7.44</v>
          </cell>
          <cell r="BK5103">
            <v>7.52</v>
          </cell>
          <cell r="BL5103">
            <v>7.52</v>
          </cell>
          <cell r="BM5103">
            <v>7.74</v>
          </cell>
          <cell r="BN5103">
            <v>7.73</v>
          </cell>
          <cell r="BO5103">
            <v>7.59</v>
          </cell>
          <cell r="BP5103">
            <v>7.42</v>
          </cell>
          <cell r="BQ5103">
            <v>8.4600000000000009</v>
          </cell>
          <cell r="BR5103">
            <v>8.5500000000000007</v>
          </cell>
          <cell r="BS5103">
            <v>8.48</v>
          </cell>
          <cell r="BT5103">
            <v>8.48</v>
          </cell>
          <cell r="BU5103">
            <v>7.57</v>
          </cell>
          <cell r="BV5103">
            <v>7.52</v>
          </cell>
          <cell r="BW5103">
            <v>7.21</v>
          </cell>
        </row>
        <row r="5104">
          <cell r="A5104">
            <v>45643</v>
          </cell>
          <cell r="B5104">
            <v>6.7590000000000003</v>
          </cell>
          <cell r="C5104">
            <v>6.6820000000000004</v>
          </cell>
          <cell r="D5104">
            <v>6.6970000000000001</v>
          </cell>
          <cell r="E5104">
            <v>6.694</v>
          </cell>
          <cell r="F5104">
            <v>6.55</v>
          </cell>
          <cell r="G5104">
            <v>6.59</v>
          </cell>
          <cell r="H5104">
            <v>6.44</v>
          </cell>
          <cell r="I5104">
            <v>6.46</v>
          </cell>
          <cell r="J5104">
            <v>6.5</v>
          </cell>
          <cell r="K5104">
            <v>7.21</v>
          </cell>
          <cell r="L5104">
            <v>7.44</v>
          </cell>
          <cell r="M5104">
            <v>7.52</v>
          </cell>
          <cell r="N5104">
            <v>7.52</v>
          </cell>
          <cell r="O5104">
            <v>6.4675000000000002</v>
          </cell>
          <cell r="P5104">
            <v>6.19</v>
          </cell>
          <cell r="Q5104">
            <v>6.1487999999999996</v>
          </cell>
          <cell r="R5104">
            <v>6.1349999999999998</v>
          </cell>
          <cell r="S5104">
            <v>145033.60999999999</v>
          </cell>
          <cell r="T5104">
            <v>7.2453000000000003</v>
          </cell>
          <cell r="U5104">
            <v>7.4504000000000001</v>
          </cell>
          <cell r="V5104">
            <v>7.4718999999999998</v>
          </cell>
          <cell r="W5104">
            <v>7.5673000000000004</v>
          </cell>
          <cell r="X5104">
            <v>6.5</v>
          </cell>
          <cell r="Y5104">
            <v>6.5</v>
          </cell>
          <cell r="Z5104">
            <v>3.35</v>
          </cell>
          <cell r="AA5104">
            <v>4.25</v>
          </cell>
          <cell r="AB5104">
            <v>18</v>
          </cell>
          <cell r="AC5104">
            <v>84.907499999999999</v>
          </cell>
          <cell r="AD5104">
            <v>1.0490999999999999</v>
          </cell>
          <cell r="AE5104">
            <v>89.036299999999997</v>
          </cell>
          <cell r="AF5104">
            <v>7.2840999999999996</v>
          </cell>
          <cell r="AG5104">
            <v>73.525000000000006</v>
          </cell>
          <cell r="AH5104">
            <v>2646.83</v>
          </cell>
          <cell r="AI5104">
            <v>80684.45</v>
          </cell>
          <cell r="AJ5104">
            <v>24336</v>
          </cell>
          <cell r="AK5104">
            <v>43449.9</v>
          </cell>
          <cell r="AL5104">
            <v>22001.08</v>
          </cell>
          <cell r="AM5104">
            <v>19700.48</v>
          </cell>
          <cell r="AN5104">
            <v>3361.4850000000001</v>
          </cell>
          <cell r="AO5104">
            <v>5.48</v>
          </cell>
          <cell r="AP5104">
            <v>1.89</v>
          </cell>
          <cell r="AQ5104">
            <v>-31825</v>
          </cell>
          <cell r="AR5104">
            <v>-0.65</v>
          </cell>
          <cell r="AS5104">
            <v>-5007</v>
          </cell>
          <cell r="AT5104">
            <v>-97</v>
          </cell>
          <cell r="AU5104">
            <v>5.2</v>
          </cell>
          <cell r="AV5104">
            <v>5.36</v>
          </cell>
          <cell r="AW5104">
            <v>212</v>
          </cell>
          <cell r="AX5104">
            <v>220</v>
          </cell>
          <cell r="AY5104">
            <v>5.6</v>
          </cell>
          <cell r="AZ5104">
            <v>4.3986999999999998</v>
          </cell>
          <cell r="BA5104">
            <v>7.22</v>
          </cell>
          <cell r="BB5104">
            <v>7.53</v>
          </cell>
          <cell r="BC5104">
            <v>7.58</v>
          </cell>
          <cell r="BD5104">
            <v>6.694</v>
          </cell>
          <cell r="BE5104">
            <v>6.4675000000000002</v>
          </cell>
          <cell r="BF5104">
            <v>6.19</v>
          </cell>
          <cell r="BG5104">
            <v>6.1487999999999996</v>
          </cell>
          <cell r="BH5104">
            <v>6.1349999999999998</v>
          </cell>
          <cell r="BI5104">
            <v>7.21</v>
          </cell>
          <cell r="BJ5104">
            <v>7.44</v>
          </cell>
          <cell r="BK5104">
            <v>7.52</v>
          </cell>
          <cell r="BL5104">
            <v>7.52</v>
          </cell>
          <cell r="BM5104">
            <v>7.69</v>
          </cell>
          <cell r="BN5104">
            <v>7.74</v>
          </cell>
          <cell r="BO5104">
            <v>7.74</v>
          </cell>
          <cell r="BP5104">
            <v>7.49</v>
          </cell>
          <cell r="BQ5104">
            <v>8.49</v>
          </cell>
          <cell r="BR5104">
            <v>8.56</v>
          </cell>
          <cell r="BS5104">
            <v>8.52</v>
          </cell>
          <cell r="BT5104">
            <v>8.52</v>
          </cell>
          <cell r="BU5104">
            <v>7.58</v>
          </cell>
          <cell r="BV5104">
            <v>7.53</v>
          </cell>
          <cell r="BW5104">
            <v>7.22</v>
          </cell>
        </row>
        <row r="5105">
          <cell r="A5105">
            <v>45644</v>
          </cell>
          <cell r="B5105">
            <v>6.7460000000000004</v>
          </cell>
          <cell r="C5105">
            <v>6.6829999999999998</v>
          </cell>
          <cell r="D5105">
            <v>6.6890000000000001</v>
          </cell>
          <cell r="E5105">
            <v>6.6749999999999998</v>
          </cell>
          <cell r="F5105">
            <v>6.62</v>
          </cell>
          <cell r="G5105">
            <v>6.63</v>
          </cell>
          <cell r="H5105">
            <v>6.45</v>
          </cell>
          <cell r="I5105">
            <v>6.46</v>
          </cell>
          <cell r="J5105">
            <v>6.49</v>
          </cell>
          <cell r="K5105">
            <v>7.21</v>
          </cell>
          <cell r="L5105">
            <v>7.44</v>
          </cell>
          <cell r="M5105">
            <v>7.52</v>
          </cell>
          <cell r="N5105">
            <v>7.52</v>
          </cell>
          <cell r="O5105">
            <v>6.4675000000000002</v>
          </cell>
          <cell r="P5105">
            <v>6.18</v>
          </cell>
          <cell r="Q5105">
            <v>6.13</v>
          </cell>
          <cell r="R5105">
            <v>6.11</v>
          </cell>
          <cell r="S5105">
            <v>150792.17000000001</v>
          </cell>
          <cell r="T5105">
            <v>7.2348999999999997</v>
          </cell>
          <cell r="U5105">
            <v>7.4607000000000001</v>
          </cell>
          <cell r="V5105">
            <v>7.4718999999999998</v>
          </cell>
          <cell r="W5105">
            <v>7.6395999999999997</v>
          </cell>
          <cell r="X5105">
            <v>6.8</v>
          </cell>
          <cell r="Y5105">
            <v>6.5</v>
          </cell>
          <cell r="Z5105">
            <v>3.35</v>
          </cell>
          <cell r="AA5105">
            <v>4.25</v>
          </cell>
          <cell r="AB5105">
            <v>18</v>
          </cell>
          <cell r="AC5105">
            <v>85.096299999999999</v>
          </cell>
          <cell r="AD5105">
            <v>1.0353000000000001</v>
          </cell>
          <cell r="AE5105">
            <v>89.159000000000006</v>
          </cell>
          <cell r="AF5105">
            <v>7.2857000000000003</v>
          </cell>
          <cell r="AG5105">
            <v>74.81</v>
          </cell>
          <cell r="AH5105">
            <v>2585.35</v>
          </cell>
          <cell r="AI5105">
            <v>80182.2</v>
          </cell>
          <cell r="AJ5105">
            <v>24198.85</v>
          </cell>
          <cell r="AK5105">
            <v>42326.87</v>
          </cell>
          <cell r="AL5105">
            <v>21209.31</v>
          </cell>
          <cell r="AM5105">
            <v>19864.55</v>
          </cell>
          <cell r="AN5105">
            <v>3382.2080000000001</v>
          </cell>
          <cell r="AO5105">
            <v>5.48</v>
          </cell>
          <cell r="AP5105">
            <v>1.89</v>
          </cell>
          <cell r="AQ5105">
            <v>-31825</v>
          </cell>
          <cell r="AR5105">
            <v>-0.65</v>
          </cell>
          <cell r="AS5105">
            <v>-5007</v>
          </cell>
          <cell r="AT5105">
            <v>-97</v>
          </cell>
          <cell r="AU5105">
            <v>5.2</v>
          </cell>
          <cell r="AV5105">
            <v>5.36</v>
          </cell>
          <cell r="AW5105">
            <v>212</v>
          </cell>
          <cell r="AX5105">
            <v>220</v>
          </cell>
          <cell r="AY5105">
            <v>5.6</v>
          </cell>
          <cell r="AZ5105">
            <v>4.5140000000000002</v>
          </cell>
          <cell r="BA5105">
            <v>7.24</v>
          </cell>
          <cell r="BB5105">
            <v>7.55</v>
          </cell>
          <cell r="BC5105">
            <v>7.6</v>
          </cell>
          <cell r="BD5105">
            <v>6.6749999999999998</v>
          </cell>
          <cell r="BE5105">
            <v>6.4675000000000002</v>
          </cell>
          <cell r="BF5105">
            <v>6.18</v>
          </cell>
          <cell r="BG5105">
            <v>6.13</v>
          </cell>
          <cell r="BH5105">
            <v>6.11</v>
          </cell>
          <cell r="BI5105">
            <v>7.21</v>
          </cell>
          <cell r="BJ5105">
            <v>7.44</v>
          </cell>
          <cell r="BK5105">
            <v>7.52</v>
          </cell>
          <cell r="BL5105">
            <v>7.52</v>
          </cell>
          <cell r="BM5105">
            <v>7.7</v>
          </cell>
          <cell r="BN5105">
            <v>7.74</v>
          </cell>
          <cell r="BO5105">
            <v>7.75</v>
          </cell>
          <cell r="BP5105">
            <v>7.47</v>
          </cell>
          <cell r="BQ5105">
            <v>8.5</v>
          </cell>
          <cell r="BR5105">
            <v>8.56</v>
          </cell>
          <cell r="BS5105">
            <v>8.5299999999999994</v>
          </cell>
          <cell r="BT5105">
            <v>8.5</v>
          </cell>
          <cell r="BU5105">
            <v>7.6</v>
          </cell>
          <cell r="BV5105">
            <v>7.55</v>
          </cell>
          <cell r="BW5105">
            <v>7.24</v>
          </cell>
        </row>
        <row r="5106">
          <cell r="A5106">
            <v>45645</v>
          </cell>
          <cell r="B5106">
            <v>6.7859999999999996</v>
          </cell>
          <cell r="C5106">
            <v>6.734</v>
          </cell>
          <cell r="D5106">
            <v>6.718</v>
          </cell>
          <cell r="E5106">
            <v>6.7290000000000001</v>
          </cell>
          <cell r="F5106">
            <v>6.64</v>
          </cell>
          <cell r="G5106">
            <v>6.65</v>
          </cell>
          <cell r="H5106">
            <v>6.47</v>
          </cell>
          <cell r="I5106">
            <v>6.48</v>
          </cell>
          <cell r="J5106">
            <v>6.5</v>
          </cell>
          <cell r="K5106">
            <v>7.24</v>
          </cell>
          <cell r="L5106">
            <v>7.46</v>
          </cell>
          <cell r="M5106">
            <v>7.55</v>
          </cell>
          <cell r="N5106">
            <v>7.55</v>
          </cell>
          <cell r="O5106">
            <v>6.5374999999999996</v>
          </cell>
          <cell r="P5106">
            <v>6.27</v>
          </cell>
          <cell r="Q5106">
            <v>6.2112999999999996</v>
          </cell>
          <cell r="R5106">
            <v>6.19</v>
          </cell>
          <cell r="S5106">
            <v>162376.54999999999</v>
          </cell>
          <cell r="T5106">
            <v>7.2659000000000002</v>
          </cell>
          <cell r="U5106">
            <v>7.5021000000000004</v>
          </cell>
          <cell r="V5106">
            <v>7.5132000000000003</v>
          </cell>
          <cell r="W5106">
            <v>7.6601999999999997</v>
          </cell>
          <cell r="X5106">
            <v>6.9</v>
          </cell>
          <cell r="Y5106">
            <v>6.5</v>
          </cell>
          <cell r="Z5106">
            <v>3.35</v>
          </cell>
          <cell r="AA5106">
            <v>4.25</v>
          </cell>
          <cell r="AB5106">
            <v>18</v>
          </cell>
          <cell r="AC5106">
            <v>85.105500000000006</v>
          </cell>
          <cell r="AD5106">
            <v>1.0363</v>
          </cell>
          <cell r="AE5106">
            <v>88.585499999999996</v>
          </cell>
          <cell r="AF5106">
            <v>7.2957999999999998</v>
          </cell>
          <cell r="AG5106">
            <v>73.185000000000002</v>
          </cell>
          <cell r="AH5106">
            <v>2594.0100000000002</v>
          </cell>
          <cell r="AI5106">
            <v>79218.05</v>
          </cell>
          <cell r="AJ5106">
            <v>23951.7</v>
          </cell>
          <cell r="AK5106">
            <v>42342.239999999998</v>
          </cell>
          <cell r="AL5106">
            <v>21110.51</v>
          </cell>
          <cell r="AM5106">
            <v>19752.509999999998</v>
          </cell>
          <cell r="AN5106">
            <v>3370.0329999999999</v>
          </cell>
          <cell r="AO5106">
            <v>5.48</v>
          </cell>
          <cell r="AP5106">
            <v>1.89</v>
          </cell>
          <cell r="AQ5106">
            <v>-31825</v>
          </cell>
          <cell r="AR5106">
            <v>-0.65</v>
          </cell>
          <cell r="AS5106">
            <v>-5007</v>
          </cell>
          <cell r="AT5106">
            <v>-97</v>
          </cell>
          <cell r="AU5106">
            <v>5.2</v>
          </cell>
          <cell r="AV5106">
            <v>5.36</v>
          </cell>
          <cell r="AW5106">
            <v>212</v>
          </cell>
          <cell r="AX5106">
            <v>220</v>
          </cell>
          <cell r="AY5106">
            <v>5.6</v>
          </cell>
          <cell r="AZ5106">
            <v>4.5621</v>
          </cell>
          <cell r="BA5106">
            <v>7.23</v>
          </cell>
          <cell r="BB5106">
            <v>7.55</v>
          </cell>
          <cell r="BC5106">
            <v>7.6</v>
          </cell>
          <cell r="BD5106">
            <v>6.7290000000000001</v>
          </cell>
          <cell r="BE5106">
            <v>6.5374999999999996</v>
          </cell>
          <cell r="BF5106">
            <v>6.27</v>
          </cell>
          <cell r="BG5106">
            <v>6.2112999999999996</v>
          </cell>
          <cell r="BH5106">
            <v>6.19</v>
          </cell>
          <cell r="BI5106">
            <v>7.24</v>
          </cell>
          <cell r="BJ5106">
            <v>7.46</v>
          </cell>
          <cell r="BK5106">
            <v>7.55</v>
          </cell>
          <cell r="BL5106">
            <v>7.55</v>
          </cell>
          <cell r="BM5106">
            <v>7.72</v>
          </cell>
          <cell r="BN5106">
            <v>7.78</v>
          </cell>
          <cell r="BO5106">
            <v>7.79</v>
          </cell>
          <cell r="BP5106">
            <v>7.51</v>
          </cell>
          <cell r="BQ5106">
            <v>8.52</v>
          </cell>
          <cell r="BR5106">
            <v>8.6</v>
          </cell>
          <cell r="BS5106">
            <v>8.57</v>
          </cell>
          <cell r="BT5106">
            <v>8.5399999999999991</v>
          </cell>
          <cell r="BU5106">
            <v>7.6</v>
          </cell>
          <cell r="BV5106">
            <v>7.55</v>
          </cell>
          <cell r="BW5106">
            <v>7.23</v>
          </cell>
        </row>
        <row r="5107">
          <cell r="A5107">
            <v>45646</v>
          </cell>
          <cell r="B5107">
            <v>6.7889999999999997</v>
          </cell>
          <cell r="C5107">
            <v>6.7350000000000003</v>
          </cell>
          <cell r="D5107">
            <v>6.7409999999999997</v>
          </cell>
          <cell r="E5107">
            <v>6.7309999999999999</v>
          </cell>
          <cell r="F5107">
            <v>6.64</v>
          </cell>
          <cell r="G5107">
            <v>6.65</v>
          </cell>
          <cell r="H5107">
            <v>6.47</v>
          </cell>
          <cell r="I5107">
            <v>6.48</v>
          </cell>
          <cell r="J5107">
            <v>6.5</v>
          </cell>
          <cell r="K5107">
            <v>7.24</v>
          </cell>
          <cell r="L5107">
            <v>7.46</v>
          </cell>
          <cell r="M5107">
            <v>7.55</v>
          </cell>
          <cell r="N5107">
            <v>7.55</v>
          </cell>
          <cell r="O5107">
            <v>6.5449999999999999</v>
          </cell>
          <cell r="P5107">
            <v>6.2862999999999998</v>
          </cell>
          <cell r="Q5107">
            <v>6.2249999999999996</v>
          </cell>
          <cell r="R5107">
            <v>6.2249999999999996</v>
          </cell>
          <cell r="S5107">
            <v>175991.41</v>
          </cell>
          <cell r="T5107">
            <v>7.2763</v>
          </cell>
          <cell r="U5107">
            <v>7.4710999999999999</v>
          </cell>
          <cell r="V5107">
            <v>7.5236000000000001</v>
          </cell>
          <cell r="W5107">
            <v>7.6601999999999997</v>
          </cell>
          <cell r="X5107">
            <v>5.75</v>
          </cell>
          <cell r="Y5107">
            <v>6.5</v>
          </cell>
          <cell r="Z5107">
            <v>3.35</v>
          </cell>
          <cell r="AA5107">
            <v>4.25</v>
          </cell>
          <cell r="AB5107">
            <v>18</v>
          </cell>
          <cell r="AC5107">
            <v>84.978499999999997</v>
          </cell>
          <cell r="AD5107">
            <v>1.0429999999999999</v>
          </cell>
          <cell r="AE5107">
            <v>88.269000000000005</v>
          </cell>
          <cell r="AF5107">
            <v>7.2953999999999999</v>
          </cell>
          <cell r="AG5107">
            <v>73.394999999999996</v>
          </cell>
          <cell r="AH5107">
            <v>2622.91</v>
          </cell>
          <cell r="AI5107">
            <v>78041.59</v>
          </cell>
          <cell r="AJ5107">
            <v>23587.5</v>
          </cell>
          <cell r="AK5107">
            <v>42840.26</v>
          </cell>
          <cell r="AL5107">
            <v>21289.15</v>
          </cell>
          <cell r="AM5107">
            <v>19720.7</v>
          </cell>
          <cell r="AN5107">
            <v>3368.069</v>
          </cell>
          <cell r="AO5107">
            <v>5.48</v>
          </cell>
          <cell r="AP5107">
            <v>1.89</v>
          </cell>
          <cell r="AQ5107">
            <v>-31825</v>
          </cell>
          <cell r="AR5107">
            <v>-0.65</v>
          </cell>
          <cell r="AS5107">
            <v>-5007</v>
          </cell>
          <cell r="AT5107">
            <v>-97</v>
          </cell>
          <cell r="AU5107">
            <v>5.2</v>
          </cell>
          <cell r="AV5107">
            <v>5.36</v>
          </cell>
          <cell r="AW5107">
            <v>212</v>
          </cell>
          <cell r="AX5107">
            <v>220</v>
          </cell>
          <cell r="AY5107">
            <v>5.6</v>
          </cell>
          <cell r="AZ5107">
            <v>4.5221999999999998</v>
          </cell>
          <cell r="BA5107">
            <v>7.24</v>
          </cell>
          <cell r="BB5107">
            <v>7.54</v>
          </cell>
          <cell r="BC5107">
            <v>7.58</v>
          </cell>
          <cell r="BD5107">
            <v>6.7309999999999999</v>
          </cell>
          <cell r="BE5107">
            <v>6.5449999999999999</v>
          </cell>
          <cell r="BF5107">
            <v>6.2862999999999998</v>
          </cell>
          <cell r="BG5107">
            <v>6.2249999999999996</v>
          </cell>
          <cell r="BH5107">
            <v>6.2249999999999996</v>
          </cell>
          <cell r="BI5107">
            <v>7.24</v>
          </cell>
          <cell r="BJ5107">
            <v>7.46</v>
          </cell>
          <cell r="BK5107">
            <v>7.55</v>
          </cell>
          <cell r="BL5107">
            <v>7.55</v>
          </cell>
          <cell r="BM5107">
            <v>7.74</v>
          </cell>
          <cell r="BN5107">
            <v>7.79</v>
          </cell>
          <cell r="BO5107">
            <v>7.76</v>
          </cell>
          <cell r="BP5107">
            <v>7.52</v>
          </cell>
          <cell r="BQ5107">
            <v>8.5399999999999991</v>
          </cell>
          <cell r="BR5107">
            <v>8.61</v>
          </cell>
          <cell r="BS5107">
            <v>8.5399999999999991</v>
          </cell>
          <cell r="BT5107">
            <v>8.5500000000000007</v>
          </cell>
          <cell r="BU5107">
            <v>7.58</v>
          </cell>
          <cell r="BV5107">
            <v>7.54</v>
          </cell>
          <cell r="BW5107">
            <v>7.24</v>
          </cell>
        </row>
        <row r="5108">
          <cell r="A5108">
            <v>45647</v>
          </cell>
          <cell r="B5108">
            <v>6.7889999999999997</v>
          </cell>
          <cell r="C5108">
            <v>6.7350000000000003</v>
          </cell>
          <cell r="D5108">
            <v>6.7409999999999997</v>
          </cell>
          <cell r="E5108">
            <v>6.7309999999999999</v>
          </cell>
          <cell r="F5108">
            <v>6.64</v>
          </cell>
          <cell r="G5108">
            <v>6.65</v>
          </cell>
          <cell r="H5108">
            <v>6.47</v>
          </cell>
          <cell r="I5108">
            <v>6.48</v>
          </cell>
          <cell r="J5108">
            <v>6.5</v>
          </cell>
          <cell r="K5108">
            <v>7.24</v>
          </cell>
          <cell r="L5108">
            <v>7.46</v>
          </cell>
          <cell r="M5108">
            <v>7.55</v>
          </cell>
          <cell r="N5108">
            <v>7.55</v>
          </cell>
          <cell r="O5108">
            <v>6.5449999999999999</v>
          </cell>
          <cell r="P5108">
            <v>6.2862999999999998</v>
          </cell>
          <cell r="Q5108">
            <v>6.2249999999999996</v>
          </cell>
          <cell r="R5108">
            <v>6.2249999999999996</v>
          </cell>
          <cell r="S5108">
            <v>190757.41</v>
          </cell>
          <cell r="T5108">
            <v>7.2763</v>
          </cell>
          <cell r="U5108">
            <v>7.4710999999999999</v>
          </cell>
          <cell r="V5108">
            <v>7.5236000000000001</v>
          </cell>
          <cell r="W5108">
            <v>7.6601999999999997</v>
          </cell>
          <cell r="X5108">
            <v>5.75</v>
          </cell>
          <cell r="Y5108">
            <v>6.5</v>
          </cell>
          <cell r="Z5108">
            <v>3.35</v>
          </cell>
          <cell r="AA5108">
            <v>4.25</v>
          </cell>
          <cell r="AB5108">
            <v>18</v>
          </cell>
          <cell r="AC5108">
            <v>84.978499999999997</v>
          </cell>
          <cell r="AD5108">
            <v>1.0429999999999999</v>
          </cell>
          <cell r="AE5108">
            <v>88.269000000000005</v>
          </cell>
          <cell r="AF5108">
            <v>7.2953999999999999</v>
          </cell>
          <cell r="AG5108">
            <v>73.394999999999996</v>
          </cell>
          <cell r="AH5108">
            <v>2622.91</v>
          </cell>
          <cell r="AI5108">
            <v>78041.59</v>
          </cell>
          <cell r="AJ5108">
            <v>23587.5</v>
          </cell>
          <cell r="AK5108">
            <v>42840.26</v>
          </cell>
          <cell r="AL5108">
            <v>21289.15</v>
          </cell>
          <cell r="AM5108">
            <v>19720.7</v>
          </cell>
          <cell r="AN5108">
            <v>3368.069</v>
          </cell>
          <cell r="AO5108">
            <v>5.48</v>
          </cell>
          <cell r="AP5108">
            <v>1.89</v>
          </cell>
          <cell r="AQ5108">
            <v>-31825</v>
          </cell>
          <cell r="AR5108">
            <v>-0.65</v>
          </cell>
          <cell r="AS5108">
            <v>-5007</v>
          </cell>
          <cell r="AT5108">
            <v>-97</v>
          </cell>
          <cell r="AU5108">
            <v>5.2</v>
          </cell>
          <cell r="AV5108">
            <v>5.36</v>
          </cell>
          <cell r="AW5108">
            <v>212</v>
          </cell>
          <cell r="AX5108">
            <v>220</v>
          </cell>
          <cell r="AY5108">
            <v>5.6</v>
          </cell>
          <cell r="AZ5108">
            <v>4.5221999999999998</v>
          </cell>
          <cell r="BA5108">
            <v>7.24</v>
          </cell>
          <cell r="BB5108">
            <v>7.54</v>
          </cell>
          <cell r="BC5108">
            <v>7.58</v>
          </cell>
          <cell r="BD5108">
            <v>6.7309999999999999</v>
          </cell>
          <cell r="BE5108">
            <v>6.5449999999999999</v>
          </cell>
          <cell r="BF5108">
            <v>6.2862999999999998</v>
          </cell>
          <cell r="BG5108">
            <v>6.2249999999999996</v>
          </cell>
          <cell r="BH5108">
            <v>6.2249999999999996</v>
          </cell>
          <cell r="BI5108">
            <v>7.24</v>
          </cell>
          <cell r="BJ5108">
            <v>7.46</v>
          </cell>
          <cell r="BK5108">
            <v>7.55</v>
          </cell>
          <cell r="BL5108">
            <v>7.55</v>
          </cell>
          <cell r="BM5108">
            <v>7.74</v>
          </cell>
          <cell r="BN5108">
            <v>7.79</v>
          </cell>
          <cell r="BO5108">
            <v>7.76</v>
          </cell>
          <cell r="BP5108">
            <v>7.52</v>
          </cell>
          <cell r="BQ5108">
            <v>8.5399999999999991</v>
          </cell>
          <cell r="BR5108">
            <v>8.61</v>
          </cell>
          <cell r="BS5108">
            <v>8.5399999999999991</v>
          </cell>
          <cell r="BT5108">
            <v>8.5500000000000007</v>
          </cell>
          <cell r="BU5108">
            <v>7.58</v>
          </cell>
          <cell r="BV5108">
            <v>7.54</v>
          </cell>
          <cell r="BW5108">
            <v>7.24</v>
          </cell>
        </row>
        <row r="5109">
          <cell r="A5109">
            <v>45648</v>
          </cell>
          <cell r="B5109">
            <v>6.7889999999999997</v>
          </cell>
          <cell r="C5109">
            <v>6.7350000000000003</v>
          </cell>
          <cell r="D5109">
            <v>6.7409999999999997</v>
          </cell>
          <cell r="E5109">
            <v>6.7309999999999999</v>
          </cell>
          <cell r="F5109">
            <v>6.64</v>
          </cell>
          <cell r="G5109">
            <v>6.65</v>
          </cell>
          <cell r="H5109">
            <v>6.47</v>
          </cell>
          <cell r="I5109">
            <v>6.48</v>
          </cell>
          <cell r="J5109">
            <v>6.5</v>
          </cell>
          <cell r="K5109">
            <v>7.24</v>
          </cell>
          <cell r="L5109">
            <v>7.46</v>
          </cell>
          <cell r="M5109">
            <v>7.55</v>
          </cell>
          <cell r="N5109">
            <v>7.55</v>
          </cell>
          <cell r="O5109">
            <v>6.5449999999999999</v>
          </cell>
          <cell r="P5109">
            <v>6.2862999999999998</v>
          </cell>
          <cell r="Q5109">
            <v>6.2249999999999996</v>
          </cell>
          <cell r="R5109">
            <v>6.2249999999999996</v>
          </cell>
          <cell r="S5109">
            <v>187525.41</v>
          </cell>
          <cell r="T5109">
            <v>7.2763</v>
          </cell>
          <cell r="U5109">
            <v>7.4710999999999999</v>
          </cell>
          <cell r="V5109">
            <v>7.5236000000000001</v>
          </cell>
          <cell r="W5109">
            <v>7.6601999999999997</v>
          </cell>
          <cell r="X5109">
            <v>5.75</v>
          </cell>
          <cell r="Y5109">
            <v>6.5</v>
          </cell>
          <cell r="Z5109">
            <v>3.35</v>
          </cell>
          <cell r="AA5109">
            <v>4.25</v>
          </cell>
          <cell r="AB5109">
            <v>18</v>
          </cell>
          <cell r="AC5109">
            <v>84.978499999999997</v>
          </cell>
          <cell r="AD5109">
            <v>1.0429999999999999</v>
          </cell>
          <cell r="AE5109">
            <v>88.269000000000005</v>
          </cell>
          <cell r="AF5109">
            <v>7.2953999999999999</v>
          </cell>
          <cell r="AG5109">
            <v>73.394999999999996</v>
          </cell>
          <cell r="AH5109">
            <v>2622.91</v>
          </cell>
          <cell r="AI5109">
            <v>78041.59</v>
          </cell>
          <cell r="AJ5109">
            <v>23587.5</v>
          </cell>
          <cell r="AK5109">
            <v>42840.26</v>
          </cell>
          <cell r="AL5109">
            <v>21289.15</v>
          </cell>
          <cell r="AM5109">
            <v>19720.7</v>
          </cell>
          <cell r="AN5109">
            <v>3368.069</v>
          </cell>
          <cell r="AO5109">
            <v>5.48</v>
          </cell>
          <cell r="AP5109">
            <v>1.89</v>
          </cell>
          <cell r="AQ5109">
            <v>-31825</v>
          </cell>
          <cell r="AR5109">
            <v>-0.65</v>
          </cell>
          <cell r="AS5109">
            <v>-5007</v>
          </cell>
          <cell r="AT5109">
            <v>-97</v>
          </cell>
          <cell r="AU5109">
            <v>5.2</v>
          </cell>
          <cell r="AV5109">
            <v>5.36</v>
          </cell>
          <cell r="AW5109">
            <v>212</v>
          </cell>
          <cell r="AX5109">
            <v>220</v>
          </cell>
          <cell r="AY5109">
            <v>5.6</v>
          </cell>
          <cell r="AZ5109">
            <v>4.5221999999999998</v>
          </cell>
          <cell r="BA5109">
            <v>7.24</v>
          </cell>
          <cell r="BB5109">
            <v>7.54</v>
          </cell>
          <cell r="BC5109">
            <v>7.58</v>
          </cell>
          <cell r="BD5109">
            <v>6.7309999999999999</v>
          </cell>
          <cell r="BE5109">
            <v>6.5449999999999999</v>
          </cell>
          <cell r="BF5109">
            <v>6.2862999999999998</v>
          </cell>
          <cell r="BG5109">
            <v>6.2249999999999996</v>
          </cell>
          <cell r="BH5109">
            <v>6.2249999999999996</v>
          </cell>
          <cell r="BI5109">
            <v>7.24</v>
          </cell>
          <cell r="BJ5109">
            <v>7.46</v>
          </cell>
          <cell r="BK5109">
            <v>7.55</v>
          </cell>
          <cell r="BL5109">
            <v>7.55</v>
          </cell>
          <cell r="BM5109">
            <v>7.74</v>
          </cell>
          <cell r="BN5109">
            <v>7.79</v>
          </cell>
          <cell r="BO5109">
            <v>7.76</v>
          </cell>
          <cell r="BP5109">
            <v>7.52</v>
          </cell>
          <cell r="BQ5109">
            <v>8.5399999999999991</v>
          </cell>
          <cell r="BR5109">
            <v>8.61</v>
          </cell>
          <cell r="BS5109">
            <v>8.5399999999999991</v>
          </cell>
          <cell r="BT5109">
            <v>8.5500000000000007</v>
          </cell>
          <cell r="BU5109">
            <v>7.58</v>
          </cell>
          <cell r="BV5109">
            <v>7.54</v>
          </cell>
          <cell r="BW5109">
            <v>7.24</v>
          </cell>
        </row>
        <row r="5110">
          <cell r="A5110">
            <v>45649</v>
          </cell>
          <cell r="B5110">
            <v>6.774</v>
          </cell>
          <cell r="C5110">
            <v>6.7240000000000002</v>
          </cell>
          <cell r="D5110">
            <v>6.7220000000000004</v>
          </cell>
          <cell r="E5110">
            <v>6.7190000000000003</v>
          </cell>
          <cell r="F5110">
            <v>6.6</v>
          </cell>
          <cell r="G5110">
            <v>6.61</v>
          </cell>
          <cell r="H5110">
            <v>6.44</v>
          </cell>
          <cell r="I5110">
            <v>6.46</v>
          </cell>
          <cell r="J5110">
            <v>6.5</v>
          </cell>
          <cell r="K5110">
            <v>7.22</v>
          </cell>
          <cell r="L5110">
            <v>7.48</v>
          </cell>
          <cell r="M5110">
            <v>7.58</v>
          </cell>
          <cell r="N5110">
            <v>7.58</v>
          </cell>
          <cell r="O5110">
            <v>6.51</v>
          </cell>
          <cell r="P5110">
            <v>6.258</v>
          </cell>
          <cell r="Q5110">
            <v>6.2</v>
          </cell>
          <cell r="R5110">
            <v>6.19</v>
          </cell>
          <cell r="S5110">
            <v>242738.41</v>
          </cell>
          <cell r="T5110">
            <v>7.2348999999999997</v>
          </cell>
          <cell r="U5110">
            <v>7.4710999999999999</v>
          </cell>
          <cell r="V5110">
            <v>7.5029000000000003</v>
          </cell>
          <cell r="W5110">
            <v>7.6189</v>
          </cell>
          <cell r="X5110">
            <v>6.9</v>
          </cell>
          <cell r="Y5110">
            <v>6.5</v>
          </cell>
          <cell r="Z5110">
            <v>3.35</v>
          </cell>
          <cell r="AA5110">
            <v>4.25</v>
          </cell>
          <cell r="AB5110">
            <v>18</v>
          </cell>
          <cell r="AC5110">
            <v>85.097999999999999</v>
          </cell>
          <cell r="AD5110">
            <v>1.0405</v>
          </cell>
          <cell r="AE5110">
            <v>88.599000000000004</v>
          </cell>
          <cell r="AF5110">
            <v>7.2960000000000003</v>
          </cell>
          <cell r="AG5110">
            <v>72.295000000000002</v>
          </cell>
          <cell r="AH5110">
            <v>2612.56</v>
          </cell>
          <cell r="AI5110">
            <v>78540.17</v>
          </cell>
          <cell r="AJ5110">
            <v>23753.45</v>
          </cell>
          <cell r="AK5110">
            <v>42906.95</v>
          </cell>
          <cell r="AL5110">
            <v>21503.17</v>
          </cell>
          <cell r="AM5110">
            <v>19883.13</v>
          </cell>
          <cell r="AN5110">
            <v>3351.2570000000001</v>
          </cell>
          <cell r="AO5110">
            <v>5.48</v>
          </cell>
          <cell r="AP5110">
            <v>1.89</v>
          </cell>
          <cell r="AQ5110">
            <v>-31825</v>
          </cell>
          <cell r="AR5110">
            <v>-0.65</v>
          </cell>
          <cell r="AS5110">
            <v>-5007</v>
          </cell>
          <cell r="AT5110">
            <v>-97</v>
          </cell>
          <cell r="AU5110">
            <v>5.2</v>
          </cell>
          <cell r="AV5110">
            <v>5.36</v>
          </cell>
          <cell r="AW5110">
            <v>212</v>
          </cell>
          <cell r="AX5110">
            <v>220</v>
          </cell>
          <cell r="AY5110">
            <v>5.6</v>
          </cell>
          <cell r="AZ5110">
            <v>4.5865</v>
          </cell>
          <cell r="BA5110">
            <v>7.29</v>
          </cell>
          <cell r="BB5110">
            <v>7.56</v>
          </cell>
          <cell r="BC5110">
            <v>7.64</v>
          </cell>
          <cell r="BD5110">
            <v>6.7190000000000003</v>
          </cell>
          <cell r="BE5110">
            <v>6.51</v>
          </cell>
          <cell r="BF5110">
            <v>6.258</v>
          </cell>
          <cell r="BG5110">
            <v>6.2</v>
          </cell>
          <cell r="BH5110">
            <v>6.19</v>
          </cell>
          <cell r="BI5110">
            <v>7.22</v>
          </cell>
          <cell r="BJ5110">
            <v>7.48</v>
          </cell>
          <cell r="BK5110">
            <v>7.58</v>
          </cell>
          <cell r="BL5110">
            <v>7.58</v>
          </cell>
          <cell r="BM5110">
            <v>7.74</v>
          </cell>
          <cell r="BN5110">
            <v>7.77</v>
          </cell>
          <cell r="BO5110">
            <v>7.76</v>
          </cell>
          <cell r="BP5110">
            <v>7.47</v>
          </cell>
          <cell r="BQ5110">
            <v>8.5399999999999991</v>
          </cell>
          <cell r="BR5110">
            <v>8.59</v>
          </cell>
          <cell r="BS5110">
            <v>8.5399999999999991</v>
          </cell>
          <cell r="BT5110">
            <v>8.5</v>
          </cell>
          <cell r="BU5110">
            <v>7.64</v>
          </cell>
          <cell r="BV5110">
            <v>7.56</v>
          </cell>
          <cell r="BW5110">
            <v>7.29</v>
          </cell>
        </row>
        <row r="5111">
          <cell r="A5111">
            <v>45650</v>
          </cell>
          <cell r="B5111">
            <v>6.7750000000000004</v>
          </cell>
          <cell r="C5111">
            <v>6.7290000000000001</v>
          </cell>
          <cell r="D5111">
            <v>6.7320000000000002</v>
          </cell>
          <cell r="E5111">
            <v>6.7350000000000003</v>
          </cell>
          <cell r="F5111">
            <v>6.68</v>
          </cell>
          <cell r="G5111">
            <v>6.69</v>
          </cell>
          <cell r="H5111">
            <v>6.69</v>
          </cell>
          <cell r="I5111">
            <v>6.61</v>
          </cell>
          <cell r="J5111">
            <v>6.55</v>
          </cell>
          <cell r="K5111">
            <v>7.24</v>
          </cell>
          <cell r="L5111">
            <v>7.46</v>
          </cell>
          <cell r="M5111">
            <v>7.55</v>
          </cell>
          <cell r="N5111">
            <v>7.55</v>
          </cell>
          <cell r="O5111">
            <v>6.52</v>
          </cell>
          <cell r="P5111">
            <v>6.2675000000000001</v>
          </cell>
          <cell r="Q5111">
            <v>6.22</v>
          </cell>
          <cell r="R5111">
            <v>6.21</v>
          </cell>
          <cell r="S5111">
            <v>204680.41</v>
          </cell>
          <cell r="T5111">
            <v>7.2348999999999997</v>
          </cell>
          <cell r="U5111">
            <v>7.4710999999999999</v>
          </cell>
          <cell r="V5111">
            <v>7.5132000000000003</v>
          </cell>
          <cell r="W5111">
            <v>7.7016</v>
          </cell>
          <cell r="X5111">
            <v>6</v>
          </cell>
          <cell r="Y5111">
            <v>6.5</v>
          </cell>
          <cell r="Z5111">
            <v>3.35</v>
          </cell>
          <cell r="AA5111">
            <v>4.25</v>
          </cell>
          <cell r="AB5111">
            <v>18</v>
          </cell>
          <cell r="AC5111">
            <v>85.150999999999996</v>
          </cell>
          <cell r="AD5111">
            <v>1.0399</v>
          </cell>
          <cell r="AE5111">
            <v>88.555499999999995</v>
          </cell>
          <cell r="AF5111">
            <v>7.2953000000000001</v>
          </cell>
          <cell r="AG5111">
            <v>73.239999999999995</v>
          </cell>
          <cell r="AH5111">
            <v>2616.87</v>
          </cell>
          <cell r="AI5111">
            <v>78472.87</v>
          </cell>
          <cell r="AJ5111">
            <v>23727.65</v>
          </cell>
          <cell r="AK5111">
            <v>43297.03</v>
          </cell>
          <cell r="AL5111">
            <v>21797.65</v>
          </cell>
          <cell r="AM5111">
            <v>20098.29</v>
          </cell>
          <cell r="AN5111">
            <v>3393.5279999999998</v>
          </cell>
          <cell r="AO5111">
            <v>5.48</v>
          </cell>
          <cell r="AP5111">
            <v>1.89</v>
          </cell>
          <cell r="AQ5111">
            <v>-31825</v>
          </cell>
          <cell r="AR5111">
            <v>-0.65</v>
          </cell>
          <cell r="AS5111">
            <v>-5007</v>
          </cell>
          <cell r="AT5111">
            <v>-97</v>
          </cell>
          <cell r="AU5111">
            <v>5.2</v>
          </cell>
          <cell r="AV5111">
            <v>5.36</v>
          </cell>
          <cell r="AW5111">
            <v>212</v>
          </cell>
          <cell r="AX5111">
            <v>220</v>
          </cell>
          <cell r="AY5111">
            <v>5.6</v>
          </cell>
          <cell r="AZ5111">
            <v>4.5887000000000002</v>
          </cell>
          <cell r="BA5111">
            <v>7.43</v>
          </cell>
          <cell r="BB5111">
            <v>7.64</v>
          </cell>
          <cell r="BC5111">
            <v>7.63</v>
          </cell>
          <cell r="BD5111">
            <v>6.7350000000000003</v>
          </cell>
          <cell r="BE5111">
            <v>6.52</v>
          </cell>
          <cell r="BF5111">
            <v>6.2675000000000001</v>
          </cell>
          <cell r="BG5111">
            <v>6.22</v>
          </cell>
          <cell r="BH5111">
            <v>6.21</v>
          </cell>
          <cell r="BI5111">
            <v>7.24</v>
          </cell>
          <cell r="BJ5111">
            <v>7.46</v>
          </cell>
          <cell r="BK5111">
            <v>7.55</v>
          </cell>
          <cell r="BL5111">
            <v>7.55</v>
          </cell>
          <cell r="BM5111">
            <v>7.77</v>
          </cell>
          <cell r="BN5111">
            <v>7.78</v>
          </cell>
          <cell r="BO5111">
            <v>7.76</v>
          </cell>
          <cell r="BP5111">
            <v>7.47</v>
          </cell>
          <cell r="BQ5111">
            <v>8.57</v>
          </cell>
          <cell r="BR5111">
            <v>8.6</v>
          </cell>
          <cell r="BS5111">
            <v>8.5399999999999991</v>
          </cell>
          <cell r="BT5111">
            <v>8.5</v>
          </cell>
          <cell r="BU5111">
            <v>7.63</v>
          </cell>
          <cell r="BV5111">
            <v>7.64</v>
          </cell>
          <cell r="BW5111">
            <v>7.43</v>
          </cell>
        </row>
        <row r="5112">
          <cell r="A5112">
            <v>45651</v>
          </cell>
          <cell r="B5112">
            <v>6.7750000000000004</v>
          </cell>
          <cell r="C5112">
            <v>6.7290000000000001</v>
          </cell>
          <cell r="D5112">
            <v>6.7320000000000002</v>
          </cell>
          <cell r="E5112">
            <v>6.7350000000000003</v>
          </cell>
          <cell r="F5112">
            <v>6.68</v>
          </cell>
          <cell r="G5112">
            <v>6.69</v>
          </cell>
          <cell r="H5112">
            <v>6.69</v>
          </cell>
          <cell r="I5112">
            <v>6.61</v>
          </cell>
          <cell r="J5112">
            <v>6.55</v>
          </cell>
          <cell r="K5112">
            <v>7.24</v>
          </cell>
          <cell r="L5112">
            <v>7.46</v>
          </cell>
          <cell r="M5112">
            <v>7.55</v>
          </cell>
          <cell r="N5112">
            <v>7.55</v>
          </cell>
          <cell r="O5112">
            <v>6.52</v>
          </cell>
          <cell r="P5112">
            <v>6.2675000000000001</v>
          </cell>
          <cell r="Q5112">
            <v>6.22</v>
          </cell>
          <cell r="R5112">
            <v>6.21</v>
          </cell>
          <cell r="S5112">
            <v>212078.41</v>
          </cell>
          <cell r="T5112">
            <v>7.2348999999999997</v>
          </cell>
          <cell r="U5112">
            <v>7.4710999999999999</v>
          </cell>
          <cell r="V5112">
            <v>7.5132000000000003</v>
          </cell>
          <cell r="W5112">
            <v>7.7016</v>
          </cell>
          <cell r="X5112">
            <v>6.6</v>
          </cell>
          <cell r="Y5112">
            <v>6.5</v>
          </cell>
          <cell r="Z5112">
            <v>3.35</v>
          </cell>
          <cell r="AA5112">
            <v>4.25</v>
          </cell>
          <cell r="AB5112">
            <v>18</v>
          </cell>
          <cell r="AC5112">
            <v>85.177499999999995</v>
          </cell>
          <cell r="AD5112">
            <v>1.0407</v>
          </cell>
          <cell r="AE5112">
            <v>88.555499999999995</v>
          </cell>
          <cell r="AF5112">
            <v>7.2946999999999997</v>
          </cell>
          <cell r="AG5112">
            <v>73.239999999999995</v>
          </cell>
          <cell r="AH5112">
            <v>2616.87</v>
          </cell>
          <cell r="AI5112">
            <v>78472.87</v>
          </cell>
          <cell r="AJ5112">
            <v>23727.65</v>
          </cell>
          <cell r="AK5112">
            <v>43297.03</v>
          </cell>
          <cell r="AL5112">
            <v>21797.65</v>
          </cell>
          <cell r="AM5112">
            <v>20098.29</v>
          </cell>
          <cell r="AN5112">
            <v>3393.35</v>
          </cell>
          <cell r="AO5112">
            <v>5.48</v>
          </cell>
          <cell r="AP5112">
            <v>1.89</v>
          </cell>
          <cell r="AQ5112">
            <v>-31825</v>
          </cell>
          <cell r="AR5112">
            <v>-0.65</v>
          </cell>
          <cell r="AS5112">
            <v>-5007</v>
          </cell>
          <cell r="AT5112">
            <v>-97</v>
          </cell>
          <cell r="AU5112">
            <v>5.2</v>
          </cell>
          <cell r="AV5112">
            <v>5.36</v>
          </cell>
          <cell r="AW5112">
            <v>212</v>
          </cell>
          <cell r="AX5112">
            <v>220</v>
          </cell>
          <cell r="AY5112">
            <v>5.6</v>
          </cell>
          <cell r="AZ5112">
            <v>4.5887000000000002</v>
          </cell>
          <cell r="BA5112">
            <v>7.43</v>
          </cell>
          <cell r="BB5112">
            <v>7.64</v>
          </cell>
          <cell r="BC5112">
            <v>7.63</v>
          </cell>
          <cell r="BD5112">
            <v>6.7350000000000003</v>
          </cell>
          <cell r="BE5112">
            <v>6.52</v>
          </cell>
          <cell r="BF5112">
            <v>6.2675000000000001</v>
          </cell>
          <cell r="BG5112">
            <v>6.22</v>
          </cell>
          <cell r="BH5112">
            <v>6.21</v>
          </cell>
          <cell r="BI5112">
            <v>7.24</v>
          </cell>
          <cell r="BJ5112">
            <v>7.46</v>
          </cell>
          <cell r="BK5112">
            <v>7.55</v>
          </cell>
          <cell r="BL5112">
            <v>7.55</v>
          </cell>
          <cell r="BM5112">
            <v>7.77</v>
          </cell>
          <cell r="BN5112">
            <v>7.78</v>
          </cell>
          <cell r="BO5112">
            <v>7.76</v>
          </cell>
          <cell r="BP5112">
            <v>7.47</v>
          </cell>
          <cell r="BQ5112">
            <v>8.57</v>
          </cell>
          <cell r="BR5112">
            <v>8.6</v>
          </cell>
          <cell r="BS5112">
            <v>8.5399999999999991</v>
          </cell>
          <cell r="BT5112">
            <v>8.5</v>
          </cell>
          <cell r="BU5112">
            <v>7.63</v>
          </cell>
          <cell r="BV5112">
            <v>7.64</v>
          </cell>
          <cell r="BW5112">
            <v>7.43</v>
          </cell>
        </row>
        <row r="5113">
          <cell r="A5113">
            <v>45652</v>
          </cell>
          <cell r="B5113">
            <v>6.782</v>
          </cell>
          <cell r="C5113">
            <v>6.734</v>
          </cell>
          <cell r="D5113">
            <v>6.7450000000000001</v>
          </cell>
          <cell r="E5113">
            <v>6.7309999999999999</v>
          </cell>
          <cell r="F5113">
            <v>6.68</v>
          </cell>
          <cell r="G5113">
            <v>6.69</v>
          </cell>
          <cell r="H5113">
            <v>6.55</v>
          </cell>
          <cell r="I5113">
            <v>6.56</v>
          </cell>
          <cell r="J5113">
            <v>6.64</v>
          </cell>
          <cell r="K5113">
            <v>7.22</v>
          </cell>
          <cell r="L5113">
            <v>7.48</v>
          </cell>
          <cell r="M5113">
            <v>7.58</v>
          </cell>
          <cell r="N5113">
            <v>7.58</v>
          </cell>
          <cell r="O5113">
            <v>6.5330000000000004</v>
          </cell>
          <cell r="P5113">
            <v>6.28</v>
          </cell>
          <cell r="Q5113">
            <v>6.24</v>
          </cell>
          <cell r="R5113">
            <v>6.2279999999999998</v>
          </cell>
          <cell r="S5113">
            <v>189231.41</v>
          </cell>
          <cell r="T5113">
            <v>7.2453000000000003</v>
          </cell>
          <cell r="U5113">
            <v>7.4710999999999999</v>
          </cell>
          <cell r="V5113">
            <v>7.5132000000000003</v>
          </cell>
          <cell r="W5113">
            <v>7.7016</v>
          </cell>
          <cell r="X5113">
            <v>6.9</v>
          </cell>
          <cell r="Y5113">
            <v>6.5</v>
          </cell>
          <cell r="Z5113">
            <v>3.35</v>
          </cell>
          <cell r="AA5113">
            <v>4.25</v>
          </cell>
          <cell r="AB5113">
            <v>18</v>
          </cell>
          <cell r="AC5113">
            <v>85.276200000000003</v>
          </cell>
          <cell r="AD5113">
            <v>1.0422</v>
          </cell>
          <cell r="AE5113">
            <v>88.679699999999997</v>
          </cell>
          <cell r="AF5113">
            <v>7.2979000000000003</v>
          </cell>
          <cell r="AG5113">
            <v>73.239999999999995</v>
          </cell>
          <cell r="AH5113">
            <v>2633.58</v>
          </cell>
          <cell r="AI5113">
            <v>78472.479999999996</v>
          </cell>
          <cell r="AJ5113">
            <v>23750.2</v>
          </cell>
          <cell r="AK5113">
            <v>43325.8</v>
          </cell>
          <cell r="AL5113">
            <v>21768.31</v>
          </cell>
          <cell r="AM5113">
            <v>20098.29</v>
          </cell>
          <cell r="AN5113">
            <v>3398.076</v>
          </cell>
          <cell r="AO5113">
            <v>5.48</v>
          </cell>
          <cell r="AP5113">
            <v>1.89</v>
          </cell>
          <cell r="AQ5113">
            <v>-31825</v>
          </cell>
          <cell r="AR5113">
            <v>-0.65</v>
          </cell>
          <cell r="AS5113">
            <v>-5007</v>
          </cell>
          <cell r="AT5113">
            <v>-97</v>
          </cell>
          <cell r="AU5113">
            <v>5.2</v>
          </cell>
          <cell r="AV5113">
            <v>5.36</v>
          </cell>
          <cell r="AW5113">
            <v>212</v>
          </cell>
          <cell r="AX5113">
            <v>220</v>
          </cell>
          <cell r="AY5113">
            <v>5.6</v>
          </cell>
          <cell r="AZ5113">
            <v>4.5827</v>
          </cell>
          <cell r="BA5113">
            <v>7.41</v>
          </cell>
          <cell r="BB5113">
            <v>7.63</v>
          </cell>
          <cell r="BC5113">
            <v>7.62</v>
          </cell>
          <cell r="BD5113">
            <v>6.7309999999999999</v>
          </cell>
          <cell r="BE5113">
            <v>6.5330000000000004</v>
          </cell>
          <cell r="BF5113">
            <v>6.28</v>
          </cell>
          <cell r="BG5113">
            <v>6.24</v>
          </cell>
          <cell r="BH5113">
            <v>6.2279999999999998</v>
          </cell>
          <cell r="BI5113">
            <v>7.22</v>
          </cell>
          <cell r="BJ5113">
            <v>7.48</v>
          </cell>
          <cell r="BK5113">
            <v>7.58</v>
          </cell>
          <cell r="BL5113">
            <v>7.58</v>
          </cell>
          <cell r="BM5113">
            <v>7.77</v>
          </cell>
          <cell r="BN5113">
            <v>7.78</v>
          </cell>
          <cell r="BO5113">
            <v>7.76</v>
          </cell>
          <cell r="BP5113">
            <v>7.49</v>
          </cell>
          <cell r="BQ5113">
            <v>8.57</v>
          </cell>
          <cell r="BR5113">
            <v>8.6</v>
          </cell>
          <cell r="BS5113">
            <v>8.5399999999999991</v>
          </cell>
          <cell r="BT5113">
            <v>8.52</v>
          </cell>
          <cell r="BU5113">
            <v>7.62</v>
          </cell>
          <cell r="BV5113">
            <v>7.63</v>
          </cell>
          <cell r="BW5113">
            <v>7.41</v>
          </cell>
        </row>
        <row r="5114">
          <cell r="A5114">
            <v>45653</v>
          </cell>
          <cell r="B5114">
            <v>6.7850000000000001</v>
          </cell>
          <cell r="C5114">
            <v>6.7460000000000004</v>
          </cell>
          <cell r="D5114">
            <v>6.7460000000000004</v>
          </cell>
          <cell r="E5114">
            <v>6.7320000000000002</v>
          </cell>
          <cell r="F5114">
            <v>6.69</v>
          </cell>
          <cell r="G5114">
            <v>6.69</v>
          </cell>
          <cell r="H5114">
            <v>6.67</v>
          </cell>
          <cell r="I5114">
            <v>6.64</v>
          </cell>
          <cell r="J5114">
            <v>6.69</v>
          </cell>
          <cell r="K5114">
            <v>7.22</v>
          </cell>
          <cell r="L5114">
            <v>7.48</v>
          </cell>
          <cell r="M5114">
            <v>7.56</v>
          </cell>
          <cell r="N5114">
            <v>7.56</v>
          </cell>
          <cell r="O5114">
            <v>6.5312999999999999</v>
          </cell>
          <cell r="P5114">
            <v>6.2912999999999997</v>
          </cell>
          <cell r="Q5114">
            <v>6.2438000000000002</v>
          </cell>
          <cell r="R5114">
            <v>6.2312000000000003</v>
          </cell>
          <cell r="S5114">
            <v>191247.41</v>
          </cell>
          <cell r="T5114">
            <v>7.2453000000000003</v>
          </cell>
          <cell r="U5114">
            <v>7.4916999999999998</v>
          </cell>
          <cell r="V5114">
            <v>7.5132000000000003</v>
          </cell>
          <cell r="W5114">
            <v>7.7119</v>
          </cell>
          <cell r="X5114">
            <v>6.8</v>
          </cell>
          <cell r="Y5114">
            <v>6.5</v>
          </cell>
          <cell r="Z5114">
            <v>3.35</v>
          </cell>
          <cell r="AA5114">
            <v>4.25</v>
          </cell>
          <cell r="AB5114">
            <v>18</v>
          </cell>
          <cell r="AC5114">
            <v>85.365499999999997</v>
          </cell>
          <cell r="AD5114">
            <v>1.0426</v>
          </cell>
          <cell r="AE5114">
            <v>89.111000000000004</v>
          </cell>
          <cell r="AF5114">
            <v>7.2960000000000003</v>
          </cell>
          <cell r="AG5114">
            <v>73.959999999999994</v>
          </cell>
          <cell r="AH5114">
            <v>2621.4</v>
          </cell>
          <cell r="AI5114">
            <v>78699.070000000007</v>
          </cell>
          <cell r="AJ5114">
            <v>23813.4</v>
          </cell>
          <cell r="AK5114">
            <v>42992.21</v>
          </cell>
          <cell r="AL5114">
            <v>21473.01</v>
          </cell>
          <cell r="AM5114">
            <v>20090.46</v>
          </cell>
          <cell r="AN5114">
            <v>3400.1419999999998</v>
          </cell>
          <cell r="AO5114">
            <v>5.48</v>
          </cell>
          <cell r="AP5114">
            <v>1.89</v>
          </cell>
          <cell r="AQ5114">
            <v>-31825</v>
          </cell>
          <cell r="AR5114">
            <v>-0.65</v>
          </cell>
          <cell r="AS5114">
            <v>-5007</v>
          </cell>
          <cell r="AT5114">
            <v>-97</v>
          </cell>
          <cell r="AU5114">
            <v>5.2</v>
          </cell>
          <cell r="AV5114">
            <v>5.36</v>
          </cell>
          <cell r="AW5114">
            <v>212</v>
          </cell>
          <cell r="AX5114">
            <v>211</v>
          </cell>
          <cell r="AY5114">
            <v>5.6</v>
          </cell>
          <cell r="AZ5114">
            <v>4.6253000000000002</v>
          </cell>
          <cell r="BA5114">
            <v>7.42</v>
          </cell>
          <cell r="BB5114">
            <v>7.59</v>
          </cell>
          <cell r="BC5114">
            <v>7.69</v>
          </cell>
          <cell r="BD5114">
            <v>6.7320000000000002</v>
          </cell>
          <cell r="BE5114">
            <v>6.5312999999999999</v>
          </cell>
          <cell r="BF5114">
            <v>6.2912999999999997</v>
          </cell>
          <cell r="BG5114">
            <v>6.2438000000000002</v>
          </cell>
          <cell r="BH5114">
            <v>6.2312000000000003</v>
          </cell>
          <cell r="BI5114">
            <v>7.22</v>
          </cell>
          <cell r="BJ5114">
            <v>7.48</v>
          </cell>
          <cell r="BK5114">
            <v>7.56</v>
          </cell>
          <cell r="BL5114">
            <v>7.56</v>
          </cell>
          <cell r="BM5114">
            <v>7.77</v>
          </cell>
          <cell r="BN5114">
            <v>7.78</v>
          </cell>
          <cell r="BO5114">
            <v>7.78</v>
          </cell>
          <cell r="BP5114">
            <v>7.49</v>
          </cell>
          <cell r="BQ5114">
            <v>8.57</v>
          </cell>
          <cell r="BR5114">
            <v>8.6</v>
          </cell>
          <cell r="BS5114">
            <v>8.56</v>
          </cell>
          <cell r="BT5114">
            <v>8.52</v>
          </cell>
          <cell r="BU5114">
            <v>7.69</v>
          </cell>
          <cell r="BV5114">
            <v>7.59</v>
          </cell>
          <cell r="BW5114">
            <v>7.42</v>
          </cell>
        </row>
        <row r="5115">
          <cell r="A5115">
            <v>45654</v>
          </cell>
          <cell r="B5115">
            <v>6.7850000000000001</v>
          </cell>
          <cell r="C5115">
            <v>6.7460000000000004</v>
          </cell>
          <cell r="D5115">
            <v>6.7460000000000004</v>
          </cell>
          <cell r="E5115">
            <v>6.7320000000000002</v>
          </cell>
          <cell r="F5115">
            <v>6.69</v>
          </cell>
          <cell r="G5115">
            <v>6.69</v>
          </cell>
          <cell r="H5115">
            <v>6.67</v>
          </cell>
          <cell r="I5115">
            <v>6.64</v>
          </cell>
          <cell r="J5115">
            <v>6.69</v>
          </cell>
          <cell r="K5115">
            <v>7.22</v>
          </cell>
          <cell r="L5115">
            <v>7.48</v>
          </cell>
          <cell r="M5115">
            <v>7.56</v>
          </cell>
          <cell r="N5115">
            <v>7.56</v>
          </cell>
          <cell r="O5115">
            <v>6.5312999999999999</v>
          </cell>
          <cell r="P5115">
            <v>6.2912999999999997</v>
          </cell>
          <cell r="Q5115">
            <v>6.2438000000000002</v>
          </cell>
          <cell r="R5115">
            <v>6.2312000000000003</v>
          </cell>
          <cell r="S5115">
            <v>185299.41</v>
          </cell>
          <cell r="T5115">
            <v>7.2453000000000003</v>
          </cell>
          <cell r="U5115">
            <v>7.4916999999999998</v>
          </cell>
          <cell r="V5115">
            <v>7.5132000000000003</v>
          </cell>
          <cell r="W5115">
            <v>7.7119</v>
          </cell>
          <cell r="X5115">
            <v>6.8</v>
          </cell>
          <cell r="Y5115">
            <v>6.5</v>
          </cell>
          <cell r="Z5115">
            <v>3.35</v>
          </cell>
          <cell r="AA5115">
            <v>4.25</v>
          </cell>
          <cell r="AB5115">
            <v>18</v>
          </cell>
          <cell r="AC5115">
            <v>85.365499999999997</v>
          </cell>
          <cell r="AD5115">
            <v>1.0426</v>
          </cell>
          <cell r="AE5115">
            <v>89.111000000000004</v>
          </cell>
          <cell r="AF5115">
            <v>7.2960000000000003</v>
          </cell>
          <cell r="AG5115">
            <v>73.959999999999994</v>
          </cell>
          <cell r="AH5115">
            <v>2621.4</v>
          </cell>
          <cell r="AI5115">
            <v>78699.070000000007</v>
          </cell>
          <cell r="AJ5115">
            <v>23813.4</v>
          </cell>
          <cell r="AK5115">
            <v>42992.21</v>
          </cell>
          <cell r="AL5115">
            <v>21473.01</v>
          </cell>
          <cell r="AM5115">
            <v>20090.46</v>
          </cell>
          <cell r="AN5115">
            <v>3400.1419999999998</v>
          </cell>
          <cell r="AO5115">
            <v>5.48</v>
          </cell>
          <cell r="AP5115">
            <v>1.89</v>
          </cell>
          <cell r="AQ5115">
            <v>-31825</v>
          </cell>
          <cell r="AR5115">
            <v>-0.65</v>
          </cell>
          <cell r="AS5115">
            <v>-5007</v>
          </cell>
          <cell r="AT5115">
            <v>-97</v>
          </cell>
          <cell r="AU5115">
            <v>5.2</v>
          </cell>
          <cell r="AV5115">
            <v>5.36</v>
          </cell>
          <cell r="AW5115">
            <v>212</v>
          </cell>
          <cell r="AX5115">
            <v>211</v>
          </cell>
          <cell r="AY5115">
            <v>5.6</v>
          </cell>
          <cell r="AZ5115">
            <v>4.6253000000000002</v>
          </cell>
          <cell r="BA5115">
            <v>7.42</v>
          </cell>
          <cell r="BB5115">
            <v>7.59</v>
          </cell>
          <cell r="BC5115">
            <v>7.69</v>
          </cell>
          <cell r="BD5115">
            <v>6.7320000000000002</v>
          </cell>
          <cell r="BE5115">
            <v>6.5312999999999999</v>
          </cell>
          <cell r="BF5115">
            <v>6.2912999999999997</v>
          </cell>
          <cell r="BG5115">
            <v>6.2438000000000002</v>
          </cell>
          <cell r="BH5115">
            <v>6.2312000000000003</v>
          </cell>
          <cell r="BI5115">
            <v>7.22</v>
          </cell>
          <cell r="BJ5115">
            <v>7.48</v>
          </cell>
          <cell r="BK5115">
            <v>7.56</v>
          </cell>
          <cell r="BL5115">
            <v>7.56</v>
          </cell>
          <cell r="BM5115">
            <v>7.77</v>
          </cell>
          <cell r="BN5115">
            <v>7.78</v>
          </cell>
          <cell r="BO5115">
            <v>7.78</v>
          </cell>
          <cell r="BP5115">
            <v>7.49</v>
          </cell>
          <cell r="BQ5115">
            <v>8.57</v>
          </cell>
          <cell r="BR5115">
            <v>8.6</v>
          </cell>
          <cell r="BS5115">
            <v>8.56</v>
          </cell>
          <cell r="BT5115">
            <v>8.52</v>
          </cell>
          <cell r="BU5115">
            <v>7.69</v>
          </cell>
          <cell r="BV5115">
            <v>7.59</v>
          </cell>
          <cell r="BW5115">
            <v>7.42</v>
          </cell>
        </row>
        <row r="5116">
          <cell r="A5116">
            <v>45655</v>
          </cell>
          <cell r="B5116">
            <v>6.7850000000000001</v>
          </cell>
          <cell r="C5116">
            <v>6.7460000000000004</v>
          </cell>
          <cell r="D5116">
            <v>6.7460000000000004</v>
          </cell>
          <cell r="E5116">
            <v>6.7320000000000002</v>
          </cell>
          <cell r="F5116">
            <v>6.69</v>
          </cell>
          <cell r="G5116">
            <v>6.69</v>
          </cell>
          <cell r="H5116">
            <v>6.67</v>
          </cell>
          <cell r="I5116">
            <v>6.64</v>
          </cell>
          <cell r="J5116">
            <v>6.69</v>
          </cell>
          <cell r="K5116">
            <v>7.22</v>
          </cell>
          <cell r="L5116">
            <v>7.48</v>
          </cell>
          <cell r="M5116">
            <v>7.56</v>
          </cell>
          <cell r="N5116">
            <v>7.56</v>
          </cell>
          <cell r="O5116">
            <v>6.5312999999999999</v>
          </cell>
          <cell r="P5116">
            <v>6.2912999999999997</v>
          </cell>
          <cell r="Q5116">
            <v>6.2438000000000002</v>
          </cell>
          <cell r="R5116">
            <v>6.2312000000000003</v>
          </cell>
          <cell r="S5116">
            <v>182933.41</v>
          </cell>
          <cell r="T5116">
            <v>7.2453000000000003</v>
          </cell>
          <cell r="U5116">
            <v>7.4916999999999998</v>
          </cell>
          <cell r="V5116">
            <v>7.5132000000000003</v>
          </cell>
          <cell r="W5116">
            <v>7.7119</v>
          </cell>
          <cell r="X5116">
            <v>6.8</v>
          </cell>
          <cell r="Y5116">
            <v>6.5</v>
          </cell>
          <cell r="Z5116">
            <v>3.35</v>
          </cell>
          <cell r="AA5116">
            <v>4.25</v>
          </cell>
          <cell r="AB5116">
            <v>18</v>
          </cell>
          <cell r="AC5116">
            <v>85.365499999999997</v>
          </cell>
          <cell r="AD5116">
            <v>1.0426</v>
          </cell>
          <cell r="AE5116">
            <v>89.111000000000004</v>
          </cell>
          <cell r="AF5116">
            <v>7.2960000000000003</v>
          </cell>
          <cell r="AG5116">
            <v>73.959999999999994</v>
          </cell>
          <cell r="AH5116">
            <v>2621.4</v>
          </cell>
          <cell r="AI5116">
            <v>78699.070000000007</v>
          </cell>
          <cell r="AJ5116">
            <v>23813.4</v>
          </cell>
          <cell r="AK5116">
            <v>42992.21</v>
          </cell>
          <cell r="AL5116">
            <v>21473.01</v>
          </cell>
          <cell r="AM5116">
            <v>20090.46</v>
          </cell>
          <cell r="AN5116">
            <v>3400.1419999999998</v>
          </cell>
          <cell r="AO5116">
            <v>5.48</v>
          </cell>
          <cell r="AP5116">
            <v>1.89</v>
          </cell>
          <cell r="AQ5116">
            <v>-31825</v>
          </cell>
          <cell r="AR5116">
            <v>-0.65</v>
          </cell>
          <cell r="AS5116">
            <v>-5007</v>
          </cell>
          <cell r="AT5116">
            <v>-97</v>
          </cell>
          <cell r="AU5116">
            <v>5.2</v>
          </cell>
          <cell r="AV5116">
            <v>5.36</v>
          </cell>
          <cell r="AW5116">
            <v>212</v>
          </cell>
          <cell r="AX5116">
            <v>211</v>
          </cell>
          <cell r="AY5116">
            <v>5.6</v>
          </cell>
          <cell r="AZ5116">
            <v>4.6253000000000002</v>
          </cell>
          <cell r="BA5116">
            <v>7.42</v>
          </cell>
          <cell r="BB5116">
            <v>7.59</v>
          </cell>
          <cell r="BC5116">
            <v>7.69</v>
          </cell>
          <cell r="BD5116">
            <v>6.7320000000000002</v>
          </cell>
          <cell r="BE5116">
            <v>6.5312999999999999</v>
          </cell>
          <cell r="BF5116">
            <v>6.2912999999999997</v>
          </cell>
          <cell r="BG5116">
            <v>6.2438000000000002</v>
          </cell>
          <cell r="BH5116">
            <v>6.2312000000000003</v>
          </cell>
          <cell r="BI5116">
            <v>7.22</v>
          </cell>
          <cell r="BJ5116">
            <v>7.48</v>
          </cell>
          <cell r="BK5116">
            <v>7.56</v>
          </cell>
          <cell r="BL5116">
            <v>7.56</v>
          </cell>
          <cell r="BM5116">
            <v>7.77</v>
          </cell>
          <cell r="BN5116">
            <v>7.78</v>
          </cell>
          <cell r="BO5116">
            <v>7.78</v>
          </cell>
          <cell r="BP5116">
            <v>7.49</v>
          </cell>
          <cell r="BQ5116">
            <v>8.57</v>
          </cell>
          <cell r="BR5116">
            <v>8.6</v>
          </cell>
          <cell r="BS5116">
            <v>8.56</v>
          </cell>
          <cell r="BT5116">
            <v>8.52</v>
          </cell>
          <cell r="BU5116">
            <v>7.69</v>
          </cell>
          <cell r="BV5116">
            <v>7.59</v>
          </cell>
          <cell r="BW5116">
            <v>7.42</v>
          </cell>
        </row>
        <row r="5117">
          <cell r="A5117">
            <v>45656</v>
          </cell>
          <cell r="B5117">
            <v>6.7729999999999997</v>
          </cell>
          <cell r="C5117">
            <v>6.7380000000000004</v>
          </cell>
          <cell r="D5117">
            <v>6.7409999999999997</v>
          </cell>
          <cell r="E5117">
            <v>6.73</v>
          </cell>
          <cell r="F5117">
            <v>6.62</v>
          </cell>
          <cell r="G5117">
            <v>6.63</v>
          </cell>
          <cell r="H5117">
            <v>6.54</v>
          </cell>
          <cell r="I5117">
            <v>6.57</v>
          </cell>
          <cell r="J5117">
            <v>6.68</v>
          </cell>
          <cell r="K5117">
            <v>7.22</v>
          </cell>
          <cell r="L5117">
            <v>7.48</v>
          </cell>
          <cell r="M5117">
            <v>7.56</v>
          </cell>
          <cell r="N5117">
            <v>7.56</v>
          </cell>
          <cell r="O5117">
            <v>6.52</v>
          </cell>
          <cell r="P5117">
            <v>6.2824999999999998</v>
          </cell>
          <cell r="Q5117">
            <v>6.2337999999999996</v>
          </cell>
          <cell r="R5117">
            <v>6.2213000000000003</v>
          </cell>
          <cell r="S5117">
            <v>205739.41</v>
          </cell>
          <cell r="T5117">
            <v>7.2348999999999997</v>
          </cell>
          <cell r="U5117">
            <v>7.4813999999999998</v>
          </cell>
          <cell r="V5117">
            <v>7.5132000000000003</v>
          </cell>
          <cell r="W5117">
            <v>7.6395999999999997</v>
          </cell>
          <cell r="X5117">
            <v>7.15</v>
          </cell>
          <cell r="Y5117">
            <v>6.5</v>
          </cell>
          <cell r="Z5117">
            <v>3.35</v>
          </cell>
          <cell r="AA5117">
            <v>4</v>
          </cell>
          <cell r="AB5117">
            <v>18</v>
          </cell>
          <cell r="AC5117">
            <v>85.546999999999997</v>
          </cell>
          <cell r="AD5117">
            <v>1.0407</v>
          </cell>
          <cell r="AE5117">
            <v>89.255499999999998</v>
          </cell>
          <cell r="AF5117">
            <v>7.2992999999999997</v>
          </cell>
          <cell r="AG5117">
            <v>73.95</v>
          </cell>
          <cell r="AH5117">
            <v>2606.5</v>
          </cell>
          <cell r="AI5117">
            <v>78248.13</v>
          </cell>
          <cell r="AJ5117">
            <v>23644.9</v>
          </cell>
          <cell r="AK5117">
            <v>42573.73</v>
          </cell>
          <cell r="AL5117">
            <v>21197.09</v>
          </cell>
          <cell r="AM5117">
            <v>20041.419999999998</v>
          </cell>
          <cell r="AN5117">
            <v>3407.326</v>
          </cell>
          <cell r="AO5117">
            <v>5.48</v>
          </cell>
          <cell r="AP5117">
            <v>1.89</v>
          </cell>
          <cell r="AQ5117">
            <v>-31825</v>
          </cell>
          <cell r="AR5117">
            <v>-0.65</v>
          </cell>
          <cell r="AS5117">
            <v>-5007</v>
          </cell>
          <cell r="AT5117">
            <v>-97</v>
          </cell>
          <cell r="AU5117">
            <v>5.2</v>
          </cell>
          <cell r="AV5117">
            <v>5.36</v>
          </cell>
          <cell r="AW5117">
            <v>212</v>
          </cell>
          <cell r="AX5117">
            <v>211</v>
          </cell>
          <cell r="AY5117">
            <v>5.6</v>
          </cell>
          <cell r="AZ5117">
            <v>4.5327000000000002</v>
          </cell>
          <cell r="BA5117">
            <v>7.41</v>
          </cell>
          <cell r="BB5117">
            <v>7.63</v>
          </cell>
          <cell r="BC5117">
            <v>7.67</v>
          </cell>
          <cell r="BD5117">
            <v>6.73</v>
          </cell>
          <cell r="BE5117">
            <v>6.52</v>
          </cell>
          <cell r="BF5117">
            <v>6.2824999999999998</v>
          </cell>
          <cell r="BG5117">
            <v>6.2337999999999996</v>
          </cell>
          <cell r="BH5117">
            <v>6.2213000000000003</v>
          </cell>
          <cell r="BI5117">
            <v>7.22</v>
          </cell>
          <cell r="BJ5117">
            <v>7.48</v>
          </cell>
          <cell r="BK5117">
            <v>7.56</v>
          </cell>
          <cell r="BL5117">
            <v>7.56</v>
          </cell>
          <cell r="BM5117">
            <v>7.73</v>
          </cell>
          <cell r="BN5117">
            <v>7.78</v>
          </cell>
          <cell r="BO5117">
            <v>7.77</v>
          </cell>
          <cell r="BP5117">
            <v>7.47</v>
          </cell>
          <cell r="BQ5117">
            <v>8.5299999999999994</v>
          </cell>
          <cell r="BR5117">
            <v>8.6</v>
          </cell>
          <cell r="BS5117">
            <v>8.5500000000000007</v>
          </cell>
          <cell r="BT5117">
            <v>8.5</v>
          </cell>
          <cell r="BU5117">
            <v>7.67</v>
          </cell>
          <cell r="BV5117">
            <v>7.63</v>
          </cell>
          <cell r="BW5117">
            <v>7.41</v>
          </cell>
        </row>
        <row r="5118">
          <cell r="A5118">
            <v>45657</v>
          </cell>
          <cell r="B5118">
            <v>6.76</v>
          </cell>
          <cell r="C5118">
            <v>6.7240000000000002</v>
          </cell>
          <cell r="D5118">
            <v>6.7169999999999996</v>
          </cell>
          <cell r="E5118">
            <v>6.72</v>
          </cell>
          <cell r="F5118">
            <v>6.68</v>
          </cell>
          <cell r="G5118">
            <v>6.68</v>
          </cell>
          <cell r="H5118">
            <v>6.54</v>
          </cell>
          <cell r="I5118">
            <v>6.45</v>
          </cell>
          <cell r="J5118">
            <v>6.4</v>
          </cell>
          <cell r="K5118">
            <v>7.2</v>
          </cell>
          <cell r="L5118">
            <v>7.48</v>
          </cell>
          <cell r="M5118">
            <v>7.56</v>
          </cell>
          <cell r="N5118">
            <v>7.56</v>
          </cell>
          <cell r="O5118">
            <v>6.51</v>
          </cell>
          <cell r="P5118">
            <v>6.2675000000000001</v>
          </cell>
          <cell r="Q5118">
            <v>6.2237999999999998</v>
          </cell>
          <cell r="R5118">
            <v>6.2039999999999997</v>
          </cell>
          <cell r="S5118">
            <v>132318.41</v>
          </cell>
          <cell r="T5118">
            <v>7.2141999999999999</v>
          </cell>
          <cell r="U5118">
            <v>7.4607000000000001</v>
          </cell>
          <cell r="V5118">
            <v>7.5029000000000003</v>
          </cell>
          <cell r="W5118">
            <v>7.7016</v>
          </cell>
          <cell r="X5118">
            <v>6</v>
          </cell>
          <cell r="Y5118">
            <v>6.5</v>
          </cell>
          <cell r="Z5118">
            <v>3.35</v>
          </cell>
          <cell r="AA5118">
            <v>4</v>
          </cell>
          <cell r="AB5118">
            <v>18</v>
          </cell>
          <cell r="AC5118">
            <v>85.601100000000002</v>
          </cell>
          <cell r="AD5118">
            <v>1.0353000000000001</v>
          </cell>
          <cell r="AE5118">
            <v>89.200500000000005</v>
          </cell>
          <cell r="AF5118">
            <v>7.2992999999999997</v>
          </cell>
          <cell r="AG5118">
            <v>74.105000000000004</v>
          </cell>
          <cell r="AH5118">
            <v>2624.5</v>
          </cell>
          <cell r="AI5118">
            <v>78139.009999999995</v>
          </cell>
          <cell r="AJ5118">
            <v>23644.799999999999</v>
          </cell>
          <cell r="AK5118">
            <v>42544.22</v>
          </cell>
          <cell r="AL5118">
            <v>21012.17</v>
          </cell>
          <cell r="AM5118">
            <v>20059.95</v>
          </cell>
          <cell r="AN5118">
            <v>3351.7629999999999</v>
          </cell>
          <cell r="AO5118">
            <v>5.22</v>
          </cell>
          <cell r="AP5118">
            <v>2.37</v>
          </cell>
          <cell r="AQ5118">
            <v>-21937.48</v>
          </cell>
          <cell r="AR5118">
            <v>-0.65</v>
          </cell>
          <cell r="AS5118">
            <v>-5007</v>
          </cell>
          <cell r="AT5118">
            <v>-97</v>
          </cell>
          <cell r="AU5118">
            <v>5.2</v>
          </cell>
          <cell r="AV5118">
            <v>5.36</v>
          </cell>
          <cell r="AW5118">
            <v>256</v>
          </cell>
          <cell r="AX5118">
            <v>211</v>
          </cell>
          <cell r="AY5118">
            <v>5.6</v>
          </cell>
          <cell r="AZ5118">
            <v>4.569</v>
          </cell>
          <cell r="BA5118">
            <v>7.26</v>
          </cell>
          <cell r="BB5118">
            <v>7.51</v>
          </cell>
          <cell r="BC5118">
            <v>7.63</v>
          </cell>
          <cell r="BD5118">
            <v>6.72</v>
          </cell>
          <cell r="BE5118">
            <v>6.51</v>
          </cell>
          <cell r="BF5118">
            <v>6.2675000000000001</v>
          </cell>
          <cell r="BG5118">
            <v>6.2237999999999998</v>
          </cell>
          <cell r="BH5118">
            <v>6.2039999999999997</v>
          </cell>
          <cell r="BI5118">
            <v>7.2</v>
          </cell>
          <cell r="BJ5118">
            <v>7.48</v>
          </cell>
          <cell r="BK5118">
            <v>7.56</v>
          </cell>
          <cell r="BL5118">
            <v>7.56</v>
          </cell>
          <cell r="BM5118">
            <v>7.71</v>
          </cell>
          <cell r="BN5118">
            <v>7.77</v>
          </cell>
          <cell r="BO5118">
            <v>7.75</v>
          </cell>
          <cell r="BP5118">
            <v>7.45</v>
          </cell>
          <cell r="BQ5118">
            <v>8.51</v>
          </cell>
          <cell r="BR5118">
            <v>8.59</v>
          </cell>
          <cell r="BS5118">
            <v>8.5299999999999994</v>
          </cell>
          <cell r="BT5118">
            <v>8.48</v>
          </cell>
          <cell r="BU5118">
            <v>7.63</v>
          </cell>
          <cell r="BV5118">
            <v>7.51</v>
          </cell>
          <cell r="BW5118">
            <v>7.26</v>
          </cell>
        </row>
        <row r="5119">
          <cell r="A5119">
            <v>45658</v>
          </cell>
          <cell r="B5119">
            <v>6.7809999999999997</v>
          </cell>
          <cell r="C5119">
            <v>6.7270000000000003</v>
          </cell>
          <cell r="D5119">
            <v>6.73</v>
          </cell>
          <cell r="E5119">
            <v>6.7130000000000001</v>
          </cell>
          <cell r="F5119">
            <v>6.69</v>
          </cell>
          <cell r="G5119">
            <v>6.71</v>
          </cell>
          <cell r="H5119">
            <v>6.55</v>
          </cell>
          <cell r="I5119">
            <v>6.49</v>
          </cell>
          <cell r="J5119">
            <v>6.45</v>
          </cell>
          <cell r="K5119">
            <v>7.25</v>
          </cell>
          <cell r="L5119">
            <v>7.48</v>
          </cell>
          <cell r="M5119">
            <v>7.51</v>
          </cell>
          <cell r="N5119">
            <v>7.51</v>
          </cell>
          <cell r="O5119">
            <v>6.5175000000000001</v>
          </cell>
          <cell r="P5119">
            <v>6.29</v>
          </cell>
          <cell r="Q5119">
            <v>6.24</v>
          </cell>
          <cell r="R5119">
            <v>6.23</v>
          </cell>
          <cell r="S5119">
            <v>104974.41</v>
          </cell>
          <cell r="T5119">
            <v>7.3349000000000002</v>
          </cell>
          <cell r="U5119">
            <v>7.4511000000000003</v>
          </cell>
          <cell r="V5119">
            <v>7.4631999999999996</v>
          </cell>
          <cell r="W5119">
            <v>7.4318999999999997</v>
          </cell>
          <cell r="X5119">
            <v>6</v>
          </cell>
          <cell r="Y5119">
            <v>6.5</v>
          </cell>
          <cell r="Z5119">
            <v>3.35</v>
          </cell>
          <cell r="AA5119">
            <v>4</v>
          </cell>
          <cell r="AB5119">
            <v>18</v>
          </cell>
          <cell r="AC5119">
            <v>85.596999999999994</v>
          </cell>
          <cell r="AD5119">
            <v>1.0356000000000001</v>
          </cell>
          <cell r="AE5119">
            <v>88.700500000000005</v>
          </cell>
          <cell r="AF5119">
            <v>7.2992999999999997</v>
          </cell>
          <cell r="AG5119">
            <v>74.105000000000004</v>
          </cell>
          <cell r="AH5119">
            <v>2624.5</v>
          </cell>
          <cell r="AI5119">
            <v>78507.41</v>
          </cell>
          <cell r="AJ5119">
            <v>23742.9</v>
          </cell>
          <cell r="AK5119">
            <v>42544.22</v>
          </cell>
          <cell r="AL5119">
            <v>21012.17</v>
          </cell>
          <cell r="AM5119">
            <v>20059.95</v>
          </cell>
          <cell r="AN5119">
            <v>3351.7629999999999</v>
          </cell>
          <cell r="AO5119">
            <v>5.22</v>
          </cell>
          <cell r="AP5119">
            <v>2.37</v>
          </cell>
          <cell r="AQ5119">
            <v>-21937.48</v>
          </cell>
          <cell r="AR5119">
            <v>-0.65</v>
          </cell>
          <cell r="AS5119">
            <v>-5007</v>
          </cell>
          <cell r="AT5119">
            <v>-97</v>
          </cell>
          <cell r="AU5119">
            <v>5.2</v>
          </cell>
          <cell r="AV5119">
            <v>5.36</v>
          </cell>
          <cell r="AW5119">
            <v>256</v>
          </cell>
          <cell r="AX5119">
            <v>211</v>
          </cell>
          <cell r="AY5119">
            <v>5.6</v>
          </cell>
          <cell r="AZ5119">
            <v>4.569</v>
          </cell>
          <cell r="BA5119">
            <v>7.17</v>
          </cell>
          <cell r="BB5119">
            <v>7.41</v>
          </cell>
          <cell r="BC5119">
            <v>7.58</v>
          </cell>
          <cell r="BD5119">
            <v>6.7130000000000001</v>
          </cell>
          <cell r="BE5119">
            <v>6.5175000000000001</v>
          </cell>
          <cell r="BF5119">
            <v>6.29</v>
          </cell>
          <cell r="BG5119">
            <v>6.24</v>
          </cell>
          <cell r="BH5119">
            <v>6.23</v>
          </cell>
          <cell r="BI5119">
            <v>7.25</v>
          </cell>
          <cell r="BJ5119">
            <v>7.48</v>
          </cell>
          <cell r="BK5119">
            <v>7.51</v>
          </cell>
          <cell r="BL5119">
            <v>7.51</v>
          </cell>
          <cell r="BM5119">
            <v>7.66</v>
          </cell>
          <cell r="BN5119">
            <v>7.63</v>
          </cell>
          <cell r="BO5119">
            <v>7.6</v>
          </cell>
          <cell r="BP5119">
            <v>7.39</v>
          </cell>
          <cell r="BQ5119">
            <v>8.3000000000000007</v>
          </cell>
          <cell r="BR5119">
            <v>8.31</v>
          </cell>
          <cell r="BS5119">
            <v>8.2799999999999994</v>
          </cell>
          <cell r="BT5119">
            <v>8.1300000000000008</v>
          </cell>
          <cell r="BU5119">
            <v>7.58</v>
          </cell>
          <cell r="BV5119">
            <v>7.41</v>
          </cell>
          <cell r="BW5119">
            <v>7.17</v>
          </cell>
        </row>
        <row r="5120">
          <cell r="A5120">
            <v>45659</v>
          </cell>
          <cell r="B5120">
            <v>6.7889999999999997</v>
          </cell>
          <cell r="C5120">
            <v>6.7290000000000001</v>
          </cell>
          <cell r="D5120">
            <v>6.7279999999999998</v>
          </cell>
          <cell r="E5120">
            <v>6.7160000000000002</v>
          </cell>
          <cell r="F5120">
            <v>6.67</v>
          </cell>
          <cell r="G5120">
            <v>6.67</v>
          </cell>
          <cell r="H5120">
            <v>6.58</v>
          </cell>
          <cell r="I5120">
            <v>6.43</v>
          </cell>
          <cell r="J5120">
            <v>6.45</v>
          </cell>
          <cell r="K5120">
            <v>7.23</v>
          </cell>
          <cell r="L5120">
            <v>7.48</v>
          </cell>
          <cell r="M5120">
            <v>7.52</v>
          </cell>
          <cell r="N5120">
            <v>7.52</v>
          </cell>
          <cell r="O5120">
            <v>6.52</v>
          </cell>
          <cell r="P5120">
            <v>6.2824999999999998</v>
          </cell>
          <cell r="Q5120">
            <v>6.24</v>
          </cell>
          <cell r="R5120">
            <v>6.2324999999999999</v>
          </cell>
          <cell r="S5120">
            <v>67444.58</v>
          </cell>
          <cell r="T5120">
            <v>7.2252999999999998</v>
          </cell>
          <cell r="U5120">
            <v>7.4931999999999999</v>
          </cell>
          <cell r="V5120">
            <v>7.5031999999999996</v>
          </cell>
          <cell r="W5120">
            <v>7.6412000000000004</v>
          </cell>
          <cell r="X5120">
            <v>6</v>
          </cell>
          <cell r="Y5120">
            <v>6.5</v>
          </cell>
          <cell r="Z5120">
            <v>3.35</v>
          </cell>
          <cell r="AA5120">
            <v>4</v>
          </cell>
          <cell r="AB5120">
            <v>18</v>
          </cell>
          <cell r="AC5120">
            <v>85.793000000000006</v>
          </cell>
          <cell r="AD5120">
            <v>1.0265</v>
          </cell>
          <cell r="AE5120">
            <v>88.772999999999996</v>
          </cell>
          <cell r="AF5120">
            <v>7.2994000000000003</v>
          </cell>
          <cell r="AG5120">
            <v>76.344999999999999</v>
          </cell>
          <cell r="AH5120">
            <v>2657.9</v>
          </cell>
          <cell r="AI5120">
            <v>79943.710000000006</v>
          </cell>
          <cell r="AJ5120">
            <v>24188.65</v>
          </cell>
          <cell r="AK5120">
            <v>42392.27</v>
          </cell>
          <cell r="AL5120">
            <v>20975.62</v>
          </cell>
          <cell r="AM5120">
            <v>19623.32</v>
          </cell>
          <cell r="AN5120">
            <v>3262.5610000000001</v>
          </cell>
          <cell r="AO5120">
            <v>5.22</v>
          </cell>
          <cell r="AP5120">
            <v>2.37</v>
          </cell>
          <cell r="AQ5120">
            <v>-21937.48</v>
          </cell>
          <cell r="AR5120">
            <v>-0.65</v>
          </cell>
          <cell r="AS5120">
            <v>-5007</v>
          </cell>
          <cell r="AT5120">
            <v>-97</v>
          </cell>
          <cell r="AU5120">
            <v>5.2</v>
          </cell>
          <cell r="AV5120">
            <v>5.36</v>
          </cell>
          <cell r="AW5120">
            <v>256</v>
          </cell>
          <cell r="AX5120">
            <v>211</v>
          </cell>
          <cell r="AY5120">
            <v>5.6</v>
          </cell>
          <cell r="AZ5120">
            <v>4.5590000000000002</v>
          </cell>
          <cell r="BA5120">
            <v>7.15</v>
          </cell>
          <cell r="BB5120">
            <v>7.42</v>
          </cell>
          <cell r="BC5120">
            <v>7.56</v>
          </cell>
          <cell r="BD5120">
            <v>6.7160000000000002</v>
          </cell>
          <cell r="BE5120">
            <v>6.52</v>
          </cell>
          <cell r="BF5120">
            <v>6.2824999999999998</v>
          </cell>
          <cell r="BG5120">
            <v>6.24</v>
          </cell>
          <cell r="BH5120">
            <v>6.2324999999999999</v>
          </cell>
          <cell r="BI5120">
            <v>7.23</v>
          </cell>
          <cell r="BJ5120">
            <v>7.48</v>
          </cell>
          <cell r="BK5120">
            <v>7.52</v>
          </cell>
          <cell r="BL5120">
            <v>7.52</v>
          </cell>
          <cell r="BM5120">
            <v>7.68</v>
          </cell>
          <cell r="BN5120">
            <v>7.87</v>
          </cell>
          <cell r="BO5120">
            <v>7.77</v>
          </cell>
          <cell r="BP5120">
            <v>7.57</v>
          </cell>
          <cell r="BQ5120">
            <v>8.5500000000000007</v>
          </cell>
          <cell r="BR5120">
            <v>8.58</v>
          </cell>
          <cell r="BS5120">
            <v>8.6</v>
          </cell>
          <cell r="BT5120">
            <v>8.59</v>
          </cell>
          <cell r="BU5120">
            <v>7.56</v>
          </cell>
          <cell r="BV5120">
            <v>7.42</v>
          </cell>
          <cell r="BW5120">
            <v>7.15</v>
          </cell>
        </row>
        <row r="5121">
          <cell r="A5121">
            <v>45660</v>
          </cell>
          <cell r="B5121">
            <v>6.7779999999999996</v>
          </cell>
          <cell r="C5121">
            <v>6.7210000000000001</v>
          </cell>
          <cell r="D5121">
            <v>6.7220000000000004</v>
          </cell>
          <cell r="E5121">
            <v>6.7050000000000001</v>
          </cell>
          <cell r="F5121">
            <v>6.64</v>
          </cell>
          <cell r="G5121">
            <v>6.67</v>
          </cell>
          <cell r="H5121">
            <v>6.52</v>
          </cell>
          <cell r="I5121">
            <v>6.47</v>
          </cell>
          <cell r="J5121">
            <v>6.49</v>
          </cell>
          <cell r="K5121">
            <v>7.22</v>
          </cell>
          <cell r="L5121">
            <v>7.48</v>
          </cell>
          <cell r="M5121">
            <v>7.52</v>
          </cell>
          <cell r="N5121">
            <v>7.52</v>
          </cell>
          <cell r="O5121">
            <v>6.51</v>
          </cell>
          <cell r="P5121">
            <v>6.26</v>
          </cell>
          <cell r="Q5121">
            <v>6.23</v>
          </cell>
          <cell r="R5121">
            <v>6.2149999999999999</v>
          </cell>
          <cell r="S5121">
            <v>38613.58</v>
          </cell>
          <cell r="T5121">
            <v>7.2149000000000001</v>
          </cell>
          <cell r="U5121">
            <v>7.4931999999999999</v>
          </cell>
          <cell r="V5121">
            <v>7.4928999999999997</v>
          </cell>
          <cell r="W5121">
            <v>7.6101999999999999</v>
          </cell>
          <cell r="X5121">
            <v>6</v>
          </cell>
          <cell r="Y5121">
            <v>6.5</v>
          </cell>
          <cell r="Z5121">
            <v>3.35</v>
          </cell>
          <cell r="AA5121">
            <v>4</v>
          </cell>
          <cell r="AB5121">
            <v>18</v>
          </cell>
          <cell r="AC5121">
            <v>85.766400000000004</v>
          </cell>
          <cell r="AD5121">
            <v>1.0307999999999999</v>
          </cell>
          <cell r="AE5121">
            <v>88.2577</v>
          </cell>
          <cell r="AF5121">
            <v>7.3215000000000003</v>
          </cell>
          <cell r="AG5121">
            <v>76.650000000000006</v>
          </cell>
          <cell r="AH5121">
            <v>2640.22</v>
          </cell>
          <cell r="AI5121">
            <v>79223.11</v>
          </cell>
          <cell r="AJ5121">
            <v>24004.75</v>
          </cell>
          <cell r="AK5121">
            <v>42732.13</v>
          </cell>
          <cell r="AL5121">
            <v>21326.16</v>
          </cell>
          <cell r="AM5121">
            <v>19760.27</v>
          </cell>
          <cell r="AN5121">
            <v>3211.43</v>
          </cell>
          <cell r="AO5121">
            <v>5.22</v>
          </cell>
          <cell r="AP5121">
            <v>2.37</v>
          </cell>
          <cell r="AQ5121">
            <v>-21937.48</v>
          </cell>
          <cell r="AR5121">
            <v>-0.65</v>
          </cell>
          <cell r="AS5121">
            <v>-5007</v>
          </cell>
          <cell r="AT5121">
            <v>-97</v>
          </cell>
          <cell r="AU5121">
            <v>5.2</v>
          </cell>
          <cell r="AV5121">
            <v>5.36</v>
          </cell>
          <cell r="AW5121">
            <v>256</v>
          </cell>
          <cell r="AX5121">
            <v>203</v>
          </cell>
          <cell r="AY5121">
            <v>5.6</v>
          </cell>
          <cell r="AZ5121">
            <v>4.5975000000000001</v>
          </cell>
          <cell r="BA5121">
            <v>7.16</v>
          </cell>
          <cell r="BB5121">
            <v>7.45</v>
          </cell>
          <cell r="BC5121">
            <v>7.57</v>
          </cell>
          <cell r="BD5121">
            <v>6.7050000000000001</v>
          </cell>
          <cell r="BE5121">
            <v>6.51</v>
          </cell>
          <cell r="BF5121">
            <v>6.26</v>
          </cell>
          <cell r="BG5121">
            <v>6.23</v>
          </cell>
          <cell r="BH5121">
            <v>6.2149999999999999</v>
          </cell>
          <cell r="BI5121">
            <v>7.22</v>
          </cell>
          <cell r="BJ5121">
            <v>7.48</v>
          </cell>
          <cell r="BK5121">
            <v>7.52</v>
          </cell>
          <cell r="BL5121">
            <v>7.52</v>
          </cell>
          <cell r="BM5121">
            <v>7.66</v>
          </cell>
          <cell r="BN5121">
            <v>7.86</v>
          </cell>
          <cell r="BO5121">
            <v>7.77</v>
          </cell>
          <cell r="BP5121">
            <v>7.55</v>
          </cell>
          <cell r="BQ5121">
            <v>8.5299999999999994</v>
          </cell>
          <cell r="BR5121">
            <v>8.57</v>
          </cell>
          <cell r="BS5121">
            <v>8.6</v>
          </cell>
          <cell r="BT5121">
            <v>8.57</v>
          </cell>
          <cell r="BU5121">
            <v>7.57</v>
          </cell>
          <cell r="BV5121">
            <v>7.45</v>
          </cell>
          <cell r="BW5121">
            <v>7.16</v>
          </cell>
        </row>
        <row r="5122">
          <cell r="A5122">
            <v>45661</v>
          </cell>
          <cell r="B5122">
            <v>6.7779999999999996</v>
          </cell>
          <cell r="C5122">
            <v>6.7210000000000001</v>
          </cell>
          <cell r="D5122">
            <v>6.7220000000000004</v>
          </cell>
          <cell r="E5122">
            <v>6.7050000000000001</v>
          </cell>
          <cell r="F5122">
            <v>6.64</v>
          </cell>
          <cell r="G5122">
            <v>6.67</v>
          </cell>
          <cell r="H5122">
            <v>6.52</v>
          </cell>
          <cell r="I5122">
            <v>6.47</v>
          </cell>
          <cell r="J5122">
            <v>6.49</v>
          </cell>
          <cell r="K5122">
            <v>7.22</v>
          </cell>
          <cell r="L5122">
            <v>7.48</v>
          </cell>
          <cell r="M5122">
            <v>7.52</v>
          </cell>
          <cell r="N5122">
            <v>7.52</v>
          </cell>
          <cell r="O5122">
            <v>6.51</v>
          </cell>
          <cell r="P5122">
            <v>6.26</v>
          </cell>
          <cell r="Q5122">
            <v>6.23</v>
          </cell>
          <cell r="R5122">
            <v>6.2149999999999999</v>
          </cell>
          <cell r="S5122">
            <v>40110.58</v>
          </cell>
          <cell r="T5122">
            <v>7.2149000000000001</v>
          </cell>
          <cell r="U5122">
            <v>7.4931999999999999</v>
          </cell>
          <cell r="V5122">
            <v>7.4928999999999997</v>
          </cell>
          <cell r="W5122">
            <v>7.6101999999999999</v>
          </cell>
          <cell r="X5122">
            <v>6</v>
          </cell>
          <cell r="Y5122">
            <v>6.5</v>
          </cell>
          <cell r="Z5122">
            <v>3.35</v>
          </cell>
          <cell r="AA5122">
            <v>4</v>
          </cell>
          <cell r="AB5122">
            <v>18</v>
          </cell>
          <cell r="AC5122">
            <v>85.766400000000004</v>
          </cell>
          <cell r="AD5122">
            <v>1.0307999999999999</v>
          </cell>
          <cell r="AE5122">
            <v>88.2577</v>
          </cell>
          <cell r="AF5122">
            <v>7.3215000000000003</v>
          </cell>
          <cell r="AG5122">
            <v>76.650000000000006</v>
          </cell>
          <cell r="AH5122">
            <v>2640.22</v>
          </cell>
          <cell r="AI5122">
            <v>79223.11</v>
          </cell>
          <cell r="AJ5122">
            <v>24004.75</v>
          </cell>
          <cell r="AK5122">
            <v>42732.13</v>
          </cell>
          <cell r="AL5122">
            <v>21326.16</v>
          </cell>
          <cell r="AM5122">
            <v>19760.27</v>
          </cell>
          <cell r="AN5122">
            <v>3211.43</v>
          </cell>
          <cell r="AO5122">
            <v>5.22</v>
          </cell>
          <cell r="AP5122">
            <v>2.37</v>
          </cell>
          <cell r="AQ5122">
            <v>-21937.48</v>
          </cell>
          <cell r="AR5122">
            <v>-0.65</v>
          </cell>
          <cell r="AS5122">
            <v>-5007</v>
          </cell>
          <cell r="AT5122">
            <v>-97</v>
          </cell>
          <cell r="AU5122">
            <v>5.2</v>
          </cell>
          <cell r="AV5122">
            <v>5.36</v>
          </cell>
          <cell r="AW5122">
            <v>256</v>
          </cell>
          <cell r="AX5122">
            <v>203</v>
          </cell>
          <cell r="AY5122">
            <v>5.6</v>
          </cell>
          <cell r="AZ5122">
            <v>4.5975000000000001</v>
          </cell>
          <cell r="BA5122">
            <v>7.16</v>
          </cell>
          <cell r="BB5122">
            <v>7.45</v>
          </cell>
          <cell r="BC5122">
            <v>7.57</v>
          </cell>
          <cell r="BD5122">
            <v>6.7050000000000001</v>
          </cell>
          <cell r="BE5122">
            <v>6.51</v>
          </cell>
          <cell r="BF5122">
            <v>6.26</v>
          </cell>
          <cell r="BG5122">
            <v>6.23</v>
          </cell>
          <cell r="BH5122">
            <v>6.2149999999999999</v>
          </cell>
          <cell r="BI5122">
            <v>7.22</v>
          </cell>
          <cell r="BJ5122">
            <v>7.48</v>
          </cell>
          <cell r="BK5122">
            <v>7.52</v>
          </cell>
          <cell r="BL5122">
            <v>7.52</v>
          </cell>
          <cell r="BM5122">
            <v>7.66</v>
          </cell>
          <cell r="BN5122">
            <v>7.86</v>
          </cell>
          <cell r="BO5122">
            <v>7.77</v>
          </cell>
          <cell r="BP5122">
            <v>7.55</v>
          </cell>
          <cell r="BQ5122">
            <v>8.5299999999999994</v>
          </cell>
          <cell r="BR5122">
            <v>8.57</v>
          </cell>
          <cell r="BS5122">
            <v>8.6</v>
          </cell>
          <cell r="BT5122">
            <v>8.57</v>
          </cell>
          <cell r="BU5122">
            <v>7.57</v>
          </cell>
          <cell r="BV5122">
            <v>7.45</v>
          </cell>
          <cell r="BW5122">
            <v>7.16</v>
          </cell>
        </row>
        <row r="5123">
          <cell r="A5123">
            <v>45662</v>
          </cell>
          <cell r="B5123">
            <v>6.7779999999999996</v>
          </cell>
          <cell r="C5123">
            <v>6.7210000000000001</v>
          </cell>
          <cell r="D5123">
            <v>6.7220000000000004</v>
          </cell>
          <cell r="E5123">
            <v>6.7050000000000001</v>
          </cell>
          <cell r="F5123">
            <v>6.64</v>
          </cell>
          <cell r="G5123">
            <v>6.67</v>
          </cell>
          <cell r="H5123">
            <v>6.52</v>
          </cell>
          <cell r="I5123">
            <v>6.47</v>
          </cell>
          <cell r="J5123">
            <v>6.49</v>
          </cell>
          <cell r="K5123">
            <v>7.22</v>
          </cell>
          <cell r="L5123">
            <v>7.48</v>
          </cell>
          <cell r="M5123">
            <v>7.52</v>
          </cell>
          <cell r="N5123">
            <v>7.52</v>
          </cell>
          <cell r="O5123">
            <v>6.51</v>
          </cell>
          <cell r="P5123">
            <v>6.26</v>
          </cell>
          <cell r="Q5123">
            <v>6.23</v>
          </cell>
          <cell r="R5123">
            <v>6.2149999999999999</v>
          </cell>
          <cell r="S5123">
            <v>28957.58</v>
          </cell>
          <cell r="T5123">
            <v>7.2149000000000001</v>
          </cell>
          <cell r="U5123">
            <v>7.4931999999999999</v>
          </cell>
          <cell r="V5123">
            <v>7.4928999999999997</v>
          </cell>
          <cell r="W5123">
            <v>7.6101999999999999</v>
          </cell>
          <cell r="X5123">
            <v>6</v>
          </cell>
          <cell r="Y5123">
            <v>6.5</v>
          </cell>
          <cell r="Z5123">
            <v>3.35</v>
          </cell>
          <cell r="AA5123">
            <v>4</v>
          </cell>
          <cell r="AB5123">
            <v>18</v>
          </cell>
          <cell r="AC5123">
            <v>85.766400000000004</v>
          </cell>
          <cell r="AD5123">
            <v>1.0307999999999999</v>
          </cell>
          <cell r="AE5123">
            <v>88.2577</v>
          </cell>
          <cell r="AF5123">
            <v>7.3215000000000003</v>
          </cell>
          <cell r="AG5123">
            <v>76.650000000000006</v>
          </cell>
          <cell r="AH5123">
            <v>2640.22</v>
          </cell>
          <cell r="AI5123">
            <v>79223.11</v>
          </cell>
          <cell r="AJ5123">
            <v>24004.75</v>
          </cell>
          <cell r="AK5123">
            <v>42732.13</v>
          </cell>
          <cell r="AL5123">
            <v>21326.16</v>
          </cell>
          <cell r="AM5123">
            <v>19760.27</v>
          </cell>
          <cell r="AN5123">
            <v>3211.43</v>
          </cell>
          <cell r="AO5123">
            <v>5.22</v>
          </cell>
          <cell r="AP5123">
            <v>2.37</v>
          </cell>
          <cell r="AQ5123">
            <v>-21937.48</v>
          </cell>
          <cell r="AR5123">
            <v>-0.65</v>
          </cell>
          <cell r="AS5123">
            <v>-5007</v>
          </cell>
          <cell r="AT5123">
            <v>-97</v>
          </cell>
          <cell r="AU5123">
            <v>5.2</v>
          </cell>
          <cell r="AV5123">
            <v>5.36</v>
          </cell>
          <cell r="AW5123">
            <v>256</v>
          </cell>
          <cell r="AX5123">
            <v>203</v>
          </cell>
          <cell r="AY5123">
            <v>5.6</v>
          </cell>
          <cell r="AZ5123">
            <v>4.5975000000000001</v>
          </cell>
          <cell r="BA5123">
            <v>7.16</v>
          </cell>
          <cell r="BB5123">
            <v>7.45</v>
          </cell>
          <cell r="BC5123">
            <v>7.57</v>
          </cell>
          <cell r="BD5123">
            <v>6.7050000000000001</v>
          </cell>
          <cell r="BE5123">
            <v>6.51</v>
          </cell>
          <cell r="BF5123">
            <v>6.26</v>
          </cell>
          <cell r="BG5123">
            <v>6.23</v>
          </cell>
          <cell r="BH5123">
            <v>6.2149999999999999</v>
          </cell>
          <cell r="BI5123">
            <v>7.22</v>
          </cell>
          <cell r="BJ5123">
            <v>7.48</v>
          </cell>
          <cell r="BK5123">
            <v>7.52</v>
          </cell>
          <cell r="BL5123">
            <v>7.52</v>
          </cell>
          <cell r="BM5123">
            <v>7.66</v>
          </cell>
          <cell r="BN5123">
            <v>7.86</v>
          </cell>
          <cell r="BO5123">
            <v>7.77</v>
          </cell>
          <cell r="BP5123">
            <v>7.55</v>
          </cell>
          <cell r="BQ5123">
            <v>8.5299999999999994</v>
          </cell>
          <cell r="BR5123">
            <v>8.57</v>
          </cell>
          <cell r="BS5123">
            <v>8.6</v>
          </cell>
          <cell r="BT5123">
            <v>8.57</v>
          </cell>
          <cell r="BU5123">
            <v>7.57</v>
          </cell>
          <cell r="BV5123">
            <v>7.45</v>
          </cell>
          <cell r="BW5123">
            <v>7.16</v>
          </cell>
        </row>
        <row r="5124">
          <cell r="A5124">
            <v>45663</v>
          </cell>
          <cell r="B5124">
            <v>6.7480000000000002</v>
          </cell>
          <cell r="C5124">
            <v>6.6950000000000003</v>
          </cell>
          <cell r="D5124">
            <v>6.6879999999999997</v>
          </cell>
          <cell r="E5124">
            <v>6.6689999999999996</v>
          </cell>
          <cell r="F5124">
            <v>6.65</v>
          </cell>
          <cell r="G5124">
            <v>6.64</v>
          </cell>
          <cell r="H5124">
            <v>6.46</v>
          </cell>
          <cell r="I5124">
            <v>6.44</v>
          </cell>
          <cell r="J5124">
            <v>6.44</v>
          </cell>
          <cell r="K5124">
            <v>7.25</v>
          </cell>
          <cell r="L5124">
            <v>7.47</v>
          </cell>
          <cell r="M5124">
            <v>7.52</v>
          </cell>
          <cell r="N5124">
            <v>7.52</v>
          </cell>
          <cell r="O5124">
            <v>6.49</v>
          </cell>
          <cell r="P5124">
            <v>6.24</v>
          </cell>
          <cell r="Q5124">
            <v>6.21</v>
          </cell>
          <cell r="R5124">
            <v>6.2</v>
          </cell>
          <cell r="S5124">
            <v>97825.58</v>
          </cell>
          <cell r="T5124">
            <v>7.2046000000000001</v>
          </cell>
          <cell r="U5124">
            <v>7.4725999999999999</v>
          </cell>
          <cell r="V5124">
            <v>7.4619</v>
          </cell>
          <cell r="W5124">
            <v>7.6205999999999996</v>
          </cell>
          <cell r="X5124">
            <v>6</v>
          </cell>
          <cell r="Y5124">
            <v>6.5</v>
          </cell>
          <cell r="Z5124">
            <v>3.35</v>
          </cell>
          <cell r="AA5124">
            <v>4</v>
          </cell>
          <cell r="AB5124">
            <v>18</v>
          </cell>
          <cell r="AC5124">
            <v>85.735500000000002</v>
          </cell>
          <cell r="AD5124">
            <v>1.0389999999999999</v>
          </cell>
          <cell r="AE5124">
            <v>88.878</v>
          </cell>
          <cell r="AF5124">
            <v>7.3281000000000001</v>
          </cell>
          <cell r="AG5124">
            <v>77.510000000000005</v>
          </cell>
          <cell r="AH5124">
            <v>2636.47</v>
          </cell>
          <cell r="AI5124">
            <v>77964.990000000005</v>
          </cell>
          <cell r="AJ5124">
            <v>23616.05</v>
          </cell>
          <cell r="AK5124">
            <v>42706.559999999998</v>
          </cell>
          <cell r="AL5124">
            <v>21559.5</v>
          </cell>
          <cell r="AM5124">
            <v>19688.29</v>
          </cell>
          <cell r="AN5124">
            <v>3206.9229999999998</v>
          </cell>
          <cell r="AO5124">
            <v>5.22</v>
          </cell>
          <cell r="AP5124">
            <v>2.37</v>
          </cell>
          <cell r="AQ5124">
            <v>-21937.48</v>
          </cell>
          <cell r="AR5124">
            <v>-0.65</v>
          </cell>
          <cell r="AS5124">
            <v>-5007</v>
          </cell>
          <cell r="AT5124">
            <v>-97</v>
          </cell>
          <cell r="AU5124">
            <v>5.2</v>
          </cell>
          <cell r="AV5124">
            <v>5.36</v>
          </cell>
          <cell r="AW5124">
            <v>256</v>
          </cell>
          <cell r="AX5124">
            <v>203</v>
          </cell>
          <cell r="AY5124">
            <v>5.6</v>
          </cell>
          <cell r="AZ5124">
            <v>4.63</v>
          </cell>
          <cell r="BA5124">
            <v>7.15</v>
          </cell>
          <cell r="BB5124">
            <v>7.45</v>
          </cell>
          <cell r="BC5124">
            <v>7.58</v>
          </cell>
          <cell r="BD5124">
            <v>6.6689999999999996</v>
          </cell>
          <cell r="BE5124">
            <v>6.49</v>
          </cell>
          <cell r="BF5124">
            <v>6.24</v>
          </cell>
          <cell r="BG5124">
            <v>6.21</v>
          </cell>
          <cell r="BH5124">
            <v>6.2</v>
          </cell>
          <cell r="BI5124">
            <v>7.25</v>
          </cell>
          <cell r="BJ5124">
            <v>7.47</v>
          </cell>
          <cell r="BK5124">
            <v>7.52</v>
          </cell>
          <cell r="BL5124">
            <v>7.52</v>
          </cell>
          <cell r="BM5124">
            <v>7.63</v>
          </cell>
          <cell r="BN5124">
            <v>7.83</v>
          </cell>
          <cell r="BO5124">
            <v>7.75</v>
          </cell>
          <cell r="BP5124">
            <v>7.54</v>
          </cell>
          <cell r="BQ5124">
            <v>8.5</v>
          </cell>
          <cell r="BR5124">
            <v>8.5399999999999991</v>
          </cell>
          <cell r="BS5124">
            <v>8.58</v>
          </cell>
          <cell r="BT5124">
            <v>8.56</v>
          </cell>
          <cell r="BU5124">
            <v>7.58</v>
          </cell>
          <cell r="BV5124">
            <v>7.45</v>
          </cell>
          <cell r="BW5124">
            <v>7.15</v>
          </cell>
        </row>
        <row r="5125">
          <cell r="A5125">
            <v>45664</v>
          </cell>
          <cell r="B5125">
            <v>6.7480000000000002</v>
          </cell>
          <cell r="C5125">
            <v>6.6879999999999997</v>
          </cell>
          <cell r="D5125">
            <v>6.673</v>
          </cell>
          <cell r="E5125">
            <v>6.6680000000000001</v>
          </cell>
          <cell r="F5125">
            <v>6.64</v>
          </cell>
          <cell r="G5125">
            <v>6.6</v>
          </cell>
          <cell r="H5125">
            <v>6.52</v>
          </cell>
          <cell r="I5125">
            <v>6.43</v>
          </cell>
          <cell r="J5125">
            <v>6.4</v>
          </cell>
          <cell r="K5125">
            <v>7.22</v>
          </cell>
          <cell r="L5125">
            <v>7.45</v>
          </cell>
          <cell r="M5125">
            <v>7.52</v>
          </cell>
          <cell r="N5125">
            <v>7.52</v>
          </cell>
          <cell r="O5125">
            <v>6.47</v>
          </cell>
          <cell r="P5125">
            <v>6.1924999999999999</v>
          </cell>
          <cell r="Q5125">
            <v>6.1637000000000004</v>
          </cell>
          <cell r="R5125">
            <v>6.1562999999999999</v>
          </cell>
          <cell r="S5125">
            <v>144349.54</v>
          </cell>
          <cell r="T5125">
            <v>7.1839000000000004</v>
          </cell>
          <cell r="U5125">
            <v>7.4622000000000002</v>
          </cell>
          <cell r="V5125">
            <v>7.4516</v>
          </cell>
          <cell r="W5125">
            <v>7.6101999999999999</v>
          </cell>
          <cell r="X5125">
            <v>6</v>
          </cell>
          <cell r="Y5125">
            <v>6.5</v>
          </cell>
          <cell r="Z5125">
            <v>3.35</v>
          </cell>
          <cell r="AA5125">
            <v>4</v>
          </cell>
          <cell r="AB5125">
            <v>18</v>
          </cell>
          <cell r="AC5125">
            <v>85.774000000000001</v>
          </cell>
          <cell r="AD5125">
            <v>1.034</v>
          </cell>
          <cell r="AE5125">
            <v>89.403999999999996</v>
          </cell>
          <cell r="AF5125">
            <v>7.3280000000000003</v>
          </cell>
          <cell r="AG5125">
            <v>77.84</v>
          </cell>
          <cell r="AH5125">
            <v>2648.59</v>
          </cell>
          <cell r="AI5125">
            <v>78199.11</v>
          </cell>
          <cell r="AJ5125">
            <v>23707.9</v>
          </cell>
          <cell r="AK5125">
            <v>42528.36</v>
          </cell>
          <cell r="AL5125">
            <v>21173.040000000001</v>
          </cell>
          <cell r="AM5125">
            <v>19447.580000000002</v>
          </cell>
          <cell r="AN5125">
            <v>3229.6439999999998</v>
          </cell>
          <cell r="AO5125">
            <v>5.22</v>
          </cell>
          <cell r="AP5125">
            <v>2.37</v>
          </cell>
          <cell r="AQ5125">
            <v>-21937.48</v>
          </cell>
          <cell r="AR5125">
            <v>-0.65</v>
          </cell>
          <cell r="AS5125">
            <v>-5007</v>
          </cell>
          <cell r="AT5125">
            <v>-97</v>
          </cell>
          <cell r="AU5125">
            <v>5.2</v>
          </cell>
          <cell r="AV5125">
            <v>5.36</v>
          </cell>
          <cell r="AW5125">
            <v>256</v>
          </cell>
          <cell r="AX5125">
            <v>203</v>
          </cell>
          <cell r="AY5125">
            <v>5.6</v>
          </cell>
          <cell r="AZ5125">
            <v>4.6849999999999996</v>
          </cell>
          <cell r="BA5125">
            <v>7.45</v>
          </cell>
          <cell r="BB5125">
            <v>7.61</v>
          </cell>
          <cell r="BC5125">
            <v>7.62</v>
          </cell>
          <cell r="BD5125">
            <v>6.6680000000000001</v>
          </cell>
          <cell r="BE5125">
            <v>6.47</v>
          </cell>
          <cell r="BF5125">
            <v>6.1924999999999999</v>
          </cell>
          <cell r="BG5125">
            <v>6.1637000000000004</v>
          </cell>
          <cell r="BH5125">
            <v>6.1562999999999999</v>
          </cell>
          <cell r="BI5125">
            <v>7.22</v>
          </cell>
          <cell r="BJ5125">
            <v>7.45</v>
          </cell>
          <cell r="BK5125">
            <v>7.52</v>
          </cell>
          <cell r="BL5125">
            <v>7.52</v>
          </cell>
          <cell r="BM5125">
            <v>7.65</v>
          </cell>
          <cell r="BN5125">
            <v>7.82</v>
          </cell>
          <cell r="BO5125">
            <v>7.74</v>
          </cell>
          <cell r="BP5125">
            <v>7.52</v>
          </cell>
          <cell r="BQ5125">
            <v>8.52</v>
          </cell>
          <cell r="BR5125">
            <v>8.5299999999999994</v>
          </cell>
          <cell r="BS5125">
            <v>8.57</v>
          </cell>
          <cell r="BT5125">
            <v>8.5399999999999991</v>
          </cell>
          <cell r="BU5125">
            <v>7.62</v>
          </cell>
          <cell r="BV5125">
            <v>7.61</v>
          </cell>
          <cell r="BW5125">
            <v>7.45</v>
          </cell>
        </row>
        <row r="5126">
          <cell r="A5126">
            <v>45665</v>
          </cell>
          <cell r="B5126">
            <v>6.7679999999999998</v>
          </cell>
          <cell r="C5126">
            <v>6.7169999999999996</v>
          </cell>
          <cell r="D5126">
            <v>6.6929999999999996</v>
          </cell>
          <cell r="E5126">
            <v>6.68</v>
          </cell>
          <cell r="F5126">
            <v>6.68</v>
          </cell>
          <cell r="G5126">
            <v>6.69</v>
          </cell>
          <cell r="H5126">
            <v>6.57</v>
          </cell>
          <cell r="I5126">
            <v>6.48</v>
          </cell>
          <cell r="J5126">
            <v>6.45</v>
          </cell>
          <cell r="K5126">
            <v>7.24</v>
          </cell>
          <cell r="L5126">
            <v>7.45</v>
          </cell>
          <cell r="M5126">
            <v>7.52</v>
          </cell>
          <cell r="N5126">
            <v>7.52</v>
          </cell>
          <cell r="O5126">
            <v>6.48</v>
          </cell>
          <cell r="P5126">
            <v>6.21</v>
          </cell>
          <cell r="Q5126">
            <v>6.18</v>
          </cell>
          <cell r="R5126">
            <v>6.1890000000000001</v>
          </cell>
          <cell r="S5126">
            <v>181607.26</v>
          </cell>
          <cell r="T5126">
            <v>7.2046000000000001</v>
          </cell>
          <cell r="U5126">
            <v>7.4828999999999999</v>
          </cell>
          <cell r="V5126">
            <v>7.4412000000000003</v>
          </cell>
          <cell r="W5126">
            <v>7.6516000000000002</v>
          </cell>
          <cell r="X5126">
            <v>6</v>
          </cell>
          <cell r="Y5126">
            <v>6.5</v>
          </cell>
          <cell r="Z5126">
            <v>3.35</v>
          </cell>
          <cell r="AA5126">
            <v>4</v>
          </cell>
          <cell r="AB5126">
            <v>18</v>
          </cell>
          <cell r="AC5126">
            <v>85.922399999999996</v>
          </cell>
          <cell r="AD5126">
            <v>1.0318000000000001</v>
          </cell>
          <cell r="AE5126">
            <v>88.615300000000005</v>
          </cell>
          <cell r="AF5126">
            <v>7.3315999999999999</v>
          </cell>
          <cell r="AG5126">
            <v>77.094999999999999</v>
          </cell>
          <cell r="AH5126">
            <v>2661.94</v>
          </cell>
          <cell r="AI5126">
            <v>78148.490000000005</v>
          </cell>
          <cell r="AJ5126">
            <v>23688.95</v>
          </cell>
          <cell r="AK5126">
            <v>42635.199999999997</v>
          </cell>
          <cell r="AL5126">
            <v>21180.959999999999</v>
          </cell>
          <cell r="AM5126">
            <v>19279.84</v>
          </cell>
          <cell r="AN5126">
            <v>3230.1680000000001</v>
          </cell>
          <cell r="AO5126">
            <v>5.22</v>
          </cell>
          <cell r="AP5126">
            <v>2.37</v>
          </cell>
          <cell r="AQ5126">
            <v>-21937.48</v>
          </cell>
          <cell r="AR5126">
            <v>-0.65</v>
          </cell>
          <cell r="AS5126">
            <v>-5007</v>
          </cell>
          <cell r="AT5126">
            <v>-97</v>
          </cell>
          <cell r="AU5126">
            <v>5.2</v>
          </cell>
          <cell r="AV5126">
            <v>5.36</v>
          </cell>
          <cell r="AW5126">
            <v>256</v>
          </cell>
          <cell r="AX5126">
            <v>203</v>
          </cell>
          <cell r="AY5126">
            <v>5.6</v>
          </cell>
          <cell r="AZ5126">
            <v>4.6891999999999996</v>
          </cell>
          <cell r="BA5126">
            <v>7.48</v>
          </cell>
          <cell r="BB5126">
            <v>7.56</v>
          </cell>
          <cell r="BC5126">
            <v>7.65</v>
          </cell>
          <cell r="BD5126">
            <v>6.68</v>
          </cell>
          <cell r="BE5126">
            <v>6.48</v>
          </cell>
          <cell r="BF5126">
            <v>6.21</v>
          </cell>
          <cell r="BG5126">
            <v>6.18</v>
          </cell>
          <cell r="BH5126">
            <v>6.1890000000000001</v>
          </cell>
          <cell r="BI5126">
            <v>7.24</v>
          </cell>
          <cell r="BJ5126">
            <v>7.45</v>
          </cell>
          <cell r="BK5126">
            <v>7.52</v>
          </cell>
          <cell r="BL5126">
            <v>7.52</v>
          </cell>
          <cell r="BM5126">
            <v>7.65</v>
          </cell>
          <cell r="BN5126">
            <v>7.81</v>
          </cell>
          <cell r="BO5126">
            <v>7.76</v>
          </cell>
          <cell r="BP5126">
            <v>7.54</v>
          </cell>
          <cell r="BQ5126">
            <v>8.52</v>
          </cell>
          <cell r="BR5126">
            <v>8.52</v>
          </cell>
          <cell r="BS5126">
            <v>8.59</v>
          </cell>
          <cell r="BT5126">
            <v>8.56</v>
          </cell>
          <cell r="BU5126">
            <v>7.65</v>
          </cell>
          <cell r="BV5126">
            <v>7.56</v>
          </cell>
          <cell r="BW5126">
            <v>7.48</v>
          </cell>
        </row>
        <row r="5127">
          <cell r="A5127">
            <v>45666</v>
          </cell>
          <cell r="B5127">
            <v>6.7649999999999997</v>
          </cell>
          <cell r="C5127">
            <v>6.7169999999999996</v>
          </cell>
          <cell r="D5127">
            <v>6.7060000000000004</v>
          </cell>
          <cell r="E5127">
            <v>6.6879999999999997</v>
          </cell>
          <cell r="F5127">
            <v>6.69</v>
          </cell>
          <cell r="G5127">
            <v>6.69</v>
          </cell>
          <cell r="H5127">
            <v>6.59</v>
          </cell>
          <cell r="I5127">
            <v>6.57</v>
          </cell>
          <cell r="J5127">
            <v>6.49</v>
          </cell>
          <cell r="K5127">
            <v>7.23</v>
          </cell>
          <cell r="L5127">
            <v>7.46</v>
          </cell>
          <cell r="M5127">
            <v>7.54</v>
          </cell>
          <cell r="N5127">
            <v>7.54</v>
          </cell>
          <cell r="O5127">
            <v>6.5</v>
          </cell>
          <cell r="P5127">
            <v>6.2137000000000002</v>
          </cell>
          <cell r="Q5127">
            <v>6.2</v>
          </cell>
          <cell r="R5127">
            <v>6.1962000000000002</v>
          </cell>
          <cell r="S5127">
            <v>200937.7</v>
          </cell>
          <cell r="T5127">
            <v>7.2046000000000001</v>
          </cell>
          <cell r="U5127">
            <v>7.4828999999999999</v>
          </cell>
          <cell r="V5127">
            <v>7.4722</v>
          </cell>
          <cell r="W5127">
            <v>7.6619000000000002</v>
          </cell>
          <cell r="X5127">
            <v>6.95</v>
          </cell>
          <cell r="Y5127">
            <v>6.5</v>
          </cell>
          <cell r="Z5127">
            <v>3.35</v>
          </cell>
          <cell r="AA5127">
            <v>4</v>
          </cell>
          <cell r="AB5127">
            <v>18</v>
          </cell>
          <cell r="AC5127">
            <v>85.908100000000005</v>
          </cell>
          <cell r="AD5127">
            <v>1.03</v>
          </cell>
          <cell r="AE5127">
            <v>88.494299999999996</v>
          </cell>
          <cell r="AF5127">
            <v>7.3320999999999996</v>
          </cell>
          <cell r="AG5127">
            <v>78.025000000000006</v>
          </cell>
          <cell r="AH5127">
            <v>2667.25</v>
          </cell>
          <cell r="AI5127">
            <v>77620.210000000006</v>
          </cell>
          <cell r="AJ5127">
            <v>23526.5</v>
          </cell>
          <cell r="AK5127">
            <v>42635.199999999997</v>
          </cell>
          <cell r="AL5127">
            <v>21180.959999999999</v>
          </cell>
          <cell r="AM5127">
            <v>19240.89</v>
          </cell>
          <cell r="AN5127">
            <v>3211.393</v>
          </cell>
          <cell r="AO5127">
            <v>5.22</v>
          </cell>
          <cell r="AP5127">
            <v>2.37</v>
          </cell>
          <cell r="AQ5127">
            <v>-21937.48</v>
          </cell>
          <cell r="AR5127">
            <v>-0.65</v>
          </cell>
          <cell r="AS5127">
            <v>-5007</v>
          </cell>
          <cell r="AT5127">
            <v>-97</v>
          </cell>
          <cell r="AU5127">
            <v>5.2</v>
          </cell>
          <cell r="AV5127">
            <v>5.36</v>
          </cell>
          <cell r="AW5127">
            <v>256</v>
          </cell>
          <cell r="AX5127">
            <v>203</v>
          </cell>
          <cell r="AY5127">
            <v>5.6</v>
          </cell>
          <cell r="AZ5127">
            <v>4.6893000000000002</v>
          </cell>
          <cell r="BA5127">
            <v>7.53</v>
          </cell>
          <cell r="BB5127">
            <v>7.62</v>
          </cell>
          <cell r="BC5127">
            <v>7.69</v>
          </cell>
          <cell r="BD5127">
            <v>6.6879999999999997</v>
          </cell>
          <cell r="BE5127">
            <v>6.5</v>
          </cell>
          <cell r="BF5127">
            <v>6.2137000000000002</v>
          </cell>
          <cell r="BG5127">
            <v>6.2</v>
          </cell>
          <cell r="BH5127">
            <v>6.1962000000000002</v>
          </cell>
          <cell r="BI5127">
            <v>7.23</v>
          </cell>
          <cell r="BJ5127">
            <v>7.46</v>
          </cell>
          <cell r="BK5127">
            <v>7.54</v>
          </cell>
          <cell r="BL5127">
            <v>7.54</v>
          </cell>
          <cell r="BM5127">
            <v>7.65</v>
          </cell>
          <cell r="BN5127">
            <v>7.84</v>
          </cell>
          <cell r="BO5127">
            <v>7.76</v>
          </cell>
          <cell r="BP5127">
            <v>7.54</v>
          </cell>
          <cell r="BQ5127">
            <v>8.52</v>
          </cell>
          <cell r="BR5127">
            <v>8.5500000000000007</v>
          </cell>
          <cell r="BS5127">
            <v>8.59</v>
          </cell>
          <cell r="BT5127">
            <v>8.56</v>
          </cell>
          <cell r="BU5127">
            <v>7.69</v>
          </cell>
          <cell r="BV5127">
            <v>7.62</v>
          </cell>
          <cell r="BW5127">
            <v>7.53</v>
          </cell>
        </row>
        <row r="5128">
          <cell r="A5128">
            <v>45667</v>
          </cell>
          <cell r="B5128">
            <v>6.7720000000000002</v>
          </cell>
          <cell r="C5128">
            <v>6.72</v>
          </cell>
          <cell r="D5128">
            <v>6.7069999999999999</v>
          </cell>
          <cell r="E5128">
            <v>6.6989999999999998</v>
          </cell>
          <cell r="F5128">
            <v>6.63</v>
          </cell>
          <cell r="G5128">
            <v>6.64</v>
          </cell>
          <cell r="H5128">
            <v>6.59</v>
          </cell>
          <cell r="I5128">
            <v>6.62</v>
          </cell>
          <cell r="J5128">
            <v>6.59</v>
          </cell>
          <cell r="K5128">
            <v>7.23</v>
          </cell>
          <cell r="L5128">
            <v>7.46</v>
          </cell>
          <cell r="M5128">
            <v>7.54</v>
          </cell>
          <cell r="N5128">
            <v>7.54</v>
          </cell>
          <cell r="O5128">
            <v>6.5137999999999998</v>
          </cell>
          <cell r="P5128">
            <v>6.24</v>
          </cell>
          <cell r="Q5128">
            <v>6.22</v>
          </cell>
          <cell r="R5128">
            <v>6.22</v>
          </cell>
          <cell r="S5128">
            <v>225016.7</v>
          </cell>
          <cell r="T5128">
            <v>7.2046000000000001</v>
          </cell>
          <cell r="U5128">
            <v>7.4931999999999999</v>
          </cell>
          <cell r="V5128">
            <v>7.4619</v>
          </cell>
          <cell r="W5128">
            <v>7.5998999999999999</v>
          </cell>
          <cell r="X5128">
            <v>6.7</v>
          </cell>
          <cell r="Y5128">
            <v>6.5</v>
          </cell>
          <cell r="Z5128">
            <v>3.35</v>
          </cell>
          <cell r="AA5128">
            <v>4</v>
          </cell>
          <cell r="AB5128">
            <v>18</v>
          </cell>
          <cell r="AC5128">
            <v>86.197999999999993</v>
          </cell>
          <cell r="AD5128">
            <v>1.0244</v>
          </cell>
          <cell r="AE5128">
            <v>88.558999999999997</v>
          </cell>
          <cell r="AF5128">
            <v>7.3326000000000002</v>
          </cell>
          <cell r="AG5128">
            <v>80.349999999999994</v>
          </cell>
          <cell r="AH5128">
            <v>2689.76</v>
          </cell>
          <cell r="AI5128">
            <v>77378.91</v>
          </cell>
          <cell r="AJ5128">
            <v>23431.5</v>
          </cell>
          <cell r="AK5128">
            <v>41938.449999999997</v>
          </cell>
          <cell r="AL5128">
            <v>20847.580000000002</v>
          </cell>
          <cell r="AM5128">
            <v>19064.29</v>
          </cell>
          <cell r="AN5128">
            <v>3168.5239999999999</v>
          </cell>
          <cell r="AO5128">
            <v>5.22</v>
          </cell>
          <cell r="AP5128">
            <v>2.37</v>
          </cell>
          <cell r="AQ5128">
            <v>-21937.48</v>
          </cell>
          <cell r="AR5128">
            <v>-0.65</v>
          </cell>
          <cell r="AS5128">
            <v>-5007</v>
          </cell>
          <cell r="AT5128">
            <v>-97</v>
          </cell>
          <cell r="AU5128">
            <v>5.2</v>
          </cell>
          <cell r="AV5128">
            <v>5.36</v>
          </cell>
          <cell r="AW5128">
            <v>256</v>
          </cell>
          <cell r="AX5128">
            <v>217</v>
          </cell>
          <cell r="AY5128">
            <v>5.6</v>
          </cell>
          <cell r="AZ5128">
            <v>4.7591999999999999</v>
          </cell>
          <cell r="BA5128">
            <v>7.54</v>
          </cell>
          <cell r="BB5128">
            <v>7.64</v>
          </cell>
          <cell r="BC5128">
            <v>7.64</v>
          </cell>
          <cell r="BD5128">
            <v>6.6989999999999998</v>
          </cell>
          <cell r="BE5128">
            <v>6.5137999999999998</v>
          </cell>
          <cell r="BF5128">
            <v>6.24</v>
          </cell>
          <cell r="BG5128">
            <v>6.22</v>
          </cell>
          <cell r="BH5128">
            <v>6.22</v>
          </cell>
          <cell r="BI5128">
            <v>7.23</v>
          </cell>
          <cell r="BJ5128">
            <v>7.46</v>
          </cell>
          <cell r="BK5128">
            <v>7.54</v>
          </cell>
          <cell r="BL5128">
            <v>7.54</v>
          </cell>
          <cell r="BM5128">
            <v>7.68</v>
          </cell>
          <cell r="BN5128">
            <v>7.83</v>
          </cell>
          <cell r="BO5128">
            <v>7.77</v>
          </cell>
          <cell r="BP5128">
            <v>7.54</v>
          </cell>
          <cell r="BQ5128">
            <v>8.5500000000000007</v>
          </cell>
          <cell r="BR5128">
            <v>8.5399999999999991</v>
          </cell>
          <cell r="BS5128">
            <v>8.6</v>
          </cell>
          <cell r="BT5128">
            <v>8.56</v>
          </cell>
          <cell r="BU5128">
            <v>7.64</v>
          </cell>
          <cell r="BV5128">
            <v>7.64</v>
          </cell>
          <cell r="BW5128">
            <v>7.54</v>
          </cell>
        </row>
        <row r="5129">
          <cell r="A5129">
            <v>45668</v>
          </cell>
          <cell r="B5129">
            <v>6.7720000000000002</v>
          </cell>
          <cell r="C5129">
            <v>6.72</v>
          </cell>
          <cell r="D5129">
            <v>6.7069999999999999</v>
          </cell>
          <cell r="E5129">
            <v>6.6989999999999998</v>
          </cell>
          <cell r="F5129">
            <v>6.63</v>
          </cell>
          <cell r="G5129">
            <v>6.64</v>
          </cell>
          <cell r="H5129">
            <v>6.59</v>
          </cell>
          <cell r="I5129">
            <v>6.62</v>
          </cell>
          <cell r="J5129">
            <v>6.59</v>
          </cell>
          <cell r="K5129">
            <v>7.23</v>
          </cell>
          <cell r="L5129">
            <v>7.46</v>
          </cell>
          <cell r="M5129">
            <v>7.54</v>
          </cell>
          <cell r="N5129">
            <v>7.54</v>
          </cell>
          <cell r="O5129">
            <v>6.5137999999999998</v>
          </cell>
          <cell r="P5129">
            <v>6.24</v>
          </cell>
          <cell r="Q5129">
            <v>6.22</v>
          </cell>
          <cell r="R5129">
            <v>6.22</v>
          </cell>
          <cell r="S5129">
            <v>223556.7</v>
          </cell>
          <cell r="T5129">
            <v>7.2046000000000001</v>
          </cell>
          <cell r="U5129">
            <v>7.4931999999999999</v>
          </cell>
          <cell r="V5129">
            <v>7.4619</v>
          </cell>
          <cell r="W5129">
            <v>7.5998999999999999</v>
          </cell>
          <cell r="X5129">
            <v>6.7</v>
          </cell>
          <cell r="Y5129">
            <v>6.5</v>
          </cell>
          <cell r="Z5129">
            <v>3.35</v>
          </cell>
          <cell r="AA5129">
            <v>4</v>
          </cell>
          <cell r="AB5129">
            <v>18</v>
          </cell>
          <cell r="AC5129">
            <v>86.197999999999993</v>
          </cell>
          <cell r="AD5129">
            <v>1.0244</v>
          </cell>
          <cell r="AE5129">
            <v>88.558999999999997</v>
          </cell>
          <cell r="AF5129">
            <v>7.3326000000000002</v>
          </cell>
          <cell r="AG5129">
            <v>80.349999999999994</v>
          </cell>
          <cell r="AH5129">
            <v>2689.76</v>
          </cell>
          <cell r="AI5129">
            <v>77378.91</v>
          </cell>
          <cell r="AJ5129">
            <v>23431.5</v>
          </cell>
          <cell r="AK5129">
            <v>41938.449999999997</v>
          </cell>
          <cell r="AL5129">
            <v>20847.580000000002</v>
          </cell>
          <cell r="AM5129">
            <v>19064.29</v>
          </cell>
          <cell r="AN5129">
            <v>3168.5239999999999</v>
          </cell>
          <cell r="AO5129">
            <v>5.22</v>
          </cell>
          <cell r="AP5129">
            <v>2.37</v>
          </cell>
          <cell r="AQ5129">
            <v>-21937.48</v>
          </cell>
          <cell r="AR5129">
            <v>-0.65</v>
          </cell>
          <cell r="AS5129">
            <v>-5007</v>
          </cell>
          <cell r="AT5129">
            <v>-97</v>
          </cell>
          <cell r="AU5129">
            <v>5.2</v>
          </cell>
          <cell r="AV5129">
            <v>5.36</v>
          </cell>
          <cell r="AW5129">
            <v>256</v>
          </cell>
          <cell r="AX5129">
            <v>217</v>
          </cell>
          <cell r="AY5129">
            <v>5.6</v>
          </cell>
          <cell r="AZ5129">
            <v>4.7591999999999999</v>
          </cell>
          <cell r="BA5129">
            <v>7.54</v>
          </cell>
          <cell r="BB5129">
            <v>7.64</v>
          </cell>
          <cell r="BC5129">
            <v>7.64</v>
          </cell>
          <cell r="BD5129">
            <v>6.6989999999999998</v>
          </cell>
          <cell r="BE5129">
            <v>6.5137999999999998</v>
          </cell>
          <cell r="BF5129">
            <v>6.24</v>
          </cell>
          <cell r="BG5129">
            <v>6.22</v>
          </cell>
          <cell r="BH5129">
            <v>6.22</v>
          </cell>
          <cell r="BI5129">
            <v>7.23</v>
          </cell>
          <cell r="BJ5129">
            <v>7.46</v>
          </cell>
          <cell r="BK5129">
            <v>7.54</v>
          </cell>
          <cell r="BL5129">
            <v>7.54</v>
          </cell>
          <cell r="BM5129">
            <v>7.68</v>
          </cell>
          <cell r="BN5129">
            <v>7.83</v>
          </cell>
          <cell r="BO5129">
            <v>7.77</v>
          </cell>
          <cell r="BP5129">
            <v>7.54</v>
          </cell>
          <cell r="BQ5129">
            <v>8.5500000000000007</v>
          </cell>
          <cell r="BR5129">
            <v>8.5399999999999991</v>
          </cell>
          <cell r="BS5129">
            <v>8.6</v>
          </cell>
          <cell r="BT5129">
            <v>8.56</v>
          </cell>
          <cell r="BU5129">
            <v>7.64</v>
          </cell>
          <cell r="BV5129">
            <v>7.64</v>
          </cell>
          <cell r="BW5129">
            <v>7.54</v>
          </cell>
        </row>
        <row r="5130">
          <cell r="A5130">
            <v>45669</v>
          </cell>
          <cell r="B5130">
            <v>6.7720000000000002</v>
          </cell>
          <cell r="C5130">
            <v>6.72</v>
          </cell>
          <cell r="D5130">
            <v>6.7069999999999999</v>
          </cell>
          <cell r="E5130">
            <v>6.6989999999999998</v>
          </cell>
          <cell r="F5130">
            <v>6.63</v>
          </cell>
          <cell r="G5130">
            <v>6.64</v>
          </cell>
          <cell r="H5130">
            <v>6.59</v>
          </cell>
          <cell r="I5130">
            <v>6.62</v>
          </cell>
          <cell r="J5130">
            <v>6.59</v>
          </cell>
          <cell r="K5130">
            <v>7.23</v>
          </cell>
          <cell r="L5130">
            <v>7.46</v>
          </cell>
          <cell r="M5130">
            <v>7.54</v>
          </cell>
          <cell r="N5130">
            <v>7.54</v>
          </cell>
          <cell r="O5130">
            <v>6.5137999999999998</v>
          </cell>
          <cell r="P5130">
            <v>6.24</v>
          </cell>
          <cell r="Q5130">
            <v>6.22</v>
          </cell>
          <cell r="R5130">
            <v>6.22</v>
          </cell>
          <cell r="S5130">
            <v>220514.7</v>
          </cell>
          <cell r="T5130">
            <v>7.2046000000000001</v>
          </cell>
          <cell r="U5130">
            <v>7.4931999999999999</v>
          </cell>
          <cell r="V5130">
            <v>7.4619</v>
          </cell>
          <cell r="W5130">
            <v>7.5998999999999999</v>
          </cell>
          <cell r="X5130">
            <v>6.7</v>
          </cell>
          <cell r="Y5130">
            <v>6.5</v>
          </cell>
          <cell r="Z5130">
            <v>3.35</v>
          </cell>
          <cell r="AA5130">
            <v>4</v>
          </cell>
          <cell r="AB5130">
            <v>18</v>
          </cell>
          <cell r="AC5130">
            <v>86.197999999999993</v>
          </cell>
          <cell r="AD5130">
            <v>1.0244</v>
          </cell>
          <cell r="AE5130">
            <v>88.558999999999997</v>
          </cell>
          <cell r="AF5130">
            <v>7.3326000000000002</v>
          </cell>
          <cell r="AG5130">
            <v>80.349999999999994</v>
          </cell>
          <cell r="AH5130">
            <v>2689.76</v>
          </cell>
          <cell r="AI5130">
            <v>77378.91</v>
          </cell>
          <cell r="AJ5130">
            <v>23431.5</v>
          </cell>
          <cell r="AK5130">
            <v>41938.449999999997</v>
          </cell>
          <cell r="AL5130">
            <v>20847.580000000002</v>
          </cell>
          <cell r="AM5130">
            <v>19064.29</v>
          </cell>
          <cell r="AN5130">
            <v>3168.5239999999999</v>
          </cell>
          <cell r="AO5130">
            <v>5.22</v>
          </cell>
          <cell r="AP5130">
            <v>2.37</v>
          </cell>
          <cell r="AQ5130">
            <v>-21937.48</v>
          </cell>
          <cell r="AR5130">
            <v>-0.65</v>
          </cell>
          <cell r="AS5130">
            <v>-5007</v>
          </cell>
          <cell r="AT5130">
            <v>-97</v>
          </cell>
          <cell r="AU5130">
            <v>5.2</v>
          </cell>
          <cell r="AV5130">
            <v>5.36</v>
          </cell>
          <cell r="AW5130">
            <v>256</v>
          </cell>
          <cell r="AX5130">
            <v>217</v>
          </cell>
          <cell r="AY5130">
            <v>5.6</v>
          </cell>
          <cell r="AZ5130">
            <v>4.7591999999999999</v>
          </cell>
          <cell r="BA5130">
            <v>7.54</v>
          </cell>
          <cell r="BB5130">
            <v>7.64</v>
          </cell>
          <cell r="BC5130">
            <v>7.64</v>
          </cell>
          <cell r="BD5130">
            <v>6.6989999999999998</v>
          </cell>
          <cell r="BE5130">
            <v>6.5137999999999998</v>
          </cell>
          <cell r="BF5130">
            <v>6.24</v>
          </cell>
          <cell r="BG5130">
            <v>6.22</v>
          </cell>
          <cell r="BH5130">
            <v>6.22</v>
          </cell>
          <cell r="BI5130">
            <v>7.23</v>
          </cell>
          <cell r="BJ5130">
            <v>7.46</v>
          </cell>
          <cell r="BK5130">
            <v>7.54</v>
          </cell>
          <cell r="BL5130">
            <v>7.54</v>
          </cell>
          <cell r="BM5130">
            <v>7.68</v>
          </cell>
          <cell r="BN5130">
            <v>7.83</v>
          </cell>
          <cell r="BO5130">
            <v>7.77</v>
          </cell>
          <cell r="BP5130">
            <v>7.54</v>
          </cell>
          <cell r="BQ5130">
            <v>8.5500000000000007</v>
          </cell>
          <cell r="BR5130">
            <v>8.5399999999999991</v>
          </cell>
          <cell r="BS5130">
            <v>8.6</v>
          </cell>
          <cell r="BT5130">
            <v>8.56</v>
          </cell>
          <cell r="BU5130">
            <v>7.64</v>
          </cell>
          <cell r="BV5130">
            <v>7.64</v>
          </cell>
          <cell r="BW5130">
            <v>7.54</v>
          </cell>
        </row>
        <row r="5131">
          <cell r="A5131">
            <v>45670</v>
          </cell>
          <cell r="B5131">
            <v>6.85</v>
          </cell>
          <cell r="C5131">
            <v>6.72</v>
          </cell>
          <cell r="D5131">
            <v>6.7830000000000004</v>
          </cell>
          <cell r="E5131">
            <v>6.6989999999999998</v>
          </cell>
          <cell r="F5131">
            <v>6.69</v>
          </cell>
          <cell r="G5131">
            <v>6.67</v>
          </cell>
          <cell r="H5131">
            <v>6.59</v>
          </cell>
          <cell r="I5131">
            <v>6.49</v>
          </cell>
          <cell r="J5131">
            <v>6.6</v>
          </cell>
          <cell r="K5131">
            <v>7.24</v>
          </cell>
          <cell r="L5131">
            <v>7.51</v>
          </cell>
          <cell r="M5131">
            <v>7.59</v>
          </cell>
          <cell r="N5131">
            <v>7.59</v>
          </cell>
          <cell r="O5131">
            <v>6.6124999999999998</v>
          </cell>
          <cell r="P5131">
            <v>6.37</v>
          </cell>
          <cell r="Q5131">
            <v>6.3449999999999998</v>
          </cell>
          <cell r="R5131">
            <v>6.35</v>
          </cell>
          <cell r="S5131">
            <v>250061.7</v>
          </cell>
          <cell r="T5131">
            <v>7.2976999999999999</v>
          </cell>
          <cell r="U5131">
            <v>7.5965999999999996</v>
          </cell>
          <cell r="V5131">
            <v>7.5031999999999996</v>
          </cell>
          <cell r="W5131">
            <v>7.6619000000000002</v>
          </cell>
          <cell r="X5131">
            <v>6.6</v>
          </cell>
          <cell r="Y5131">
            <v>6.5</v>
          </cell>
          <cell r="Z5131">
            <v>3.35</v>
          </cell>
          <cell r="AA5131">
            <v>4</v>
          </cell>
          <cell r="AB5131">
            <v>18</v>
          </cell>
          <cell r="AC5131">
            <v>86.650700000000001</v>
          </cell>
          <cell r="AD5131">
            <v>1.0245</v>
          </cell>
          <cell r="AE5131">
            <v>88.264799999999994</v>
          </cell>
          <cell r="AF5131">
            <v>7.3319000000000001</v>
          </cell>
          <cell r="AG5131">
            <v>82.915000000000006</v>
          </cell>
          <cell r="AH5131">
            <v>2663.16</v>
          </cell>
          <cell r="AI5131">
            <v>76330.009999999995</v>
          </cell>
          <cell r="AJ5131">
            <v>23085.95</v>
          </cell>
          <cell r="AK5131">
            <v>42297.120000000003</v>
          </cell>
          <cell r="AL5131">
            <v>20784.72</v>
          </cell>
          <cell r="AM5131">
            <v>18874.14</v>
          </cell>
          <cell r="AN5131">
            <v>3160.7550000000001</v>
          </cell>
          <cell r="AO5131">
            <v>5.22</v>
          </cell>
          <cell r="AP5131">
            <v>2.37</v>
          </cell>
          <cell r="AQ5131">
            <v>-21937.48</v>
          </cell>
          <cell r="AR5131">
            <v>-0.65</v>
          </cell>
          <cell r="AS5131">
            <v>-5007</v>
          </cell>
          <cell r="AT5131">
            <v>-97</v>
          </cell>
          <cell r="AU5131">
            <v>5.2</v>
          </cell>
          <cell r="AV5131">
            <v>5.36</v>
          </cell>
          <cell r="AW5131">
            <v>256</v>
          </cell>
          <cell r="AX5131">
            <v>217</v>
          </cell>
          <cell r="AY5131">
            <v>5.6</v>
          </cell>
          <cell r="AZ5131">
            <v>4.7778999999999998</v>
          </cell>
          <cell r="BA5131">
            <v>7.49</v>
          </cell>
          <cell r="BB5131">
            <v>7.56</v>
          </cell>
          <cell r="BC5131">
            <v>7.7</v>
          </cell>
          <cell r="BD5131">
            <v>6.6989999999999998</v>
          </cell>
          <cell r="BE5131">
            <v>6.6124999999999998</v>
          </cell>
          <cell r="BF5131">
            <v>6.37</v>
          </cell>
          <cell r="BG5131">
            <v>6.3449999999999998</v>
          </cell>
          <cell r="BH5131">
            <v>6.35</v>
          </cell>
          <cell r="BI5131">
            <v>7.24</v>
          </cell>
          <cell r="BJ5131">
            <v>7.51</v>
          </cell>
          <cell r="BK5131">
            <v>7.59</v>
          </cell>
          <cell r="BL5131">
            <v>7.59</v>
          </cell>
          <cell r="BM5131">
            <v>7.74</v>
          </cell>
          <cell r="BN5131">
            <v>7.87</v>
          </cell>
          <cell r="BO5131">
            <v>7.88</v>
          </cell>
          <cell r="BP5131">
            <v>7.64</v>
          </cell>
          <cell r="BQ5131">
            <v>8.61</v>
          </cell>
          <cell r="BR5131">
            <v>8.58</v>
          </cell>
          <cell r="BS5131">
            <v>8.7100000000000009</v>
          </cell>
          <cell r="BT5131">
            <v>8.66</v>
          </cell>
          <cell r="BU5131">
            <v>7.7</v>
          </cell>
          <cell r="BV5131">
            <v>7.56</v>
          </cell>
          <cell r="BW5131">
            <v>7.49</v>
          </cell>
        </row>
        <row r="5132">
          <cell r="A5132">
            <v>45671</v>
          </cell>
          <cell r="B5132">
            <v>6.8220000000000001</v>
          </cell>
          <cell r="C5132">
            <v>6.7850000000000001</v>
          </cell>
          <cell r="D5132">
            <v>6.7789999999999999</v>
          </cell>
          <cell r="E5132">
            <v>6.7430000000000003</v>
          </cell>
          <cell r="F5132">
            <v>6.69</v>
          </cell>
          <cell r="G5132">
            <v>6.68</v>
          </cell>
          <cell r="H5132">
            <v>6.59</v>
          </cell>
          <cell r="I5132">
            <v>6.45</v>
          </cell>
          <cell r="J5132">
            <v>6.51</v>
          </cell>
          <cell r="K5132">
            <v>7.24</v>
          </cell>
          <cell r="L5132">
            <v>7.52</v>
          </cell>
          <cell r="M5132">
            <v>7.59</v>
          </cell>
          <cell r="N5132">
            <v>7.59</v>
          </cell>
          <cell r="O5132">
            <v>6.57</v>
          </cell>
          <cell r="P5132">
            <v>6.33</v>
          </cell>
          <cell r="Q5132">
            <v>6.3179999999999996</v>
          </cell>
          <cell r="R5132">
            <v>6.32</v>
          </cell>
          <cell r="S5132">
            <v>209198.75</v>
          </cell>
          <cell r="T5132">
            <v>7.2770000000000001</v>
          </cell>
          <cell r="U5132">
            <v>7.5655999999999999</v>
          </cell>
          <cell r="V5132">
            <v>7.5342000000000002</v>
          </cell>
          <cell r="W5132">
            <v>7.6619000000000002</v>
          </cell>
          <cell r="X5132">
            <v>6.5</v>
          </cell>
          <cell r="Y5132">
            <v>6.5</v>
          </cell>
          <cell r="Z5132">
            <v>3.35</v>
          </cell>
          <cell r="AA5132">
            <v>4</v>
          </cell>
          <cell r="AB5132">
            <v>18</v>
          </cell>
          <cell r="AC5132">
            <v>86.5304</v>
          </cell>
          <cell r="AD5132">
            <v>1.0307999999999999</v>
          </cell>
          <cell r="AE5132">
            <v>88.891900000000007</v>
          </cell>
          <cell r="AF5132">
            <v>7.3311000000000002</v>
          </cell>
          <cell r="AG5132">
            <v>81.8</v>
          </cell>
          <cell r="AH5132">
            <v>2677.46</v>
          </cell>
          <cell r="AI5132">
            <v>76499.63</v>
          </cell>
          <cell r="AJ5132">
            <v>23176.05</v>
          </cell>
          <cell r="AK5132">
            <v>42518.28</v>
          </cell>
          <cell r="AL5132">
            <v>20757.41</v>
          </cell>
          <cell r="AM5132">
            <v>19219.78</v>
          </cell>
          <cell r="AN5132">
            <v>3240.94</v>
          </cell>
          <cell r="AO5132">
            <v>5.22</v>
          </cell>
          <cell r="AP5132">
            <v>2.37</v>
          </cell>
          <cell r="AQ5132">
            <v>-21937.48</v>
          </cell>
          <cell r="AR5132">
            <v>-0.65</v>
          </cell>
          <cell r="AS5132">
            <v>-5007</v>
          </cell>
          <cell r="AT5132">
            <v>-97</v>
          </cell>
          <cell r="AU5132">
            <v>5.2</v>
          </cell>
          <cell r="AV5132">
            <v>5.36</v>
          </cell>
          <cell r="AW5132">
            <v>256</v>
          </cell>
          <cell r="AX5132">
            <v>217</v>
          </cell>
          <cell r="AY5132">
            <v>5.6</v>
          </cell>
          <cell r="AZ5132">
            <v>4.7923999999999998</v>
          </cell>
          <cell r="BA5132">
            <v>7.55</v>
          </cell>
          <cell r="BB5132">
            <v>7.61</v>
          </cell>
          <cell r="BC5132">
            <v>7.69</v>
          </cell>
          <cell r="BD5132">
            <v>6.7430000000000003</v>
          </cell>
          <cell r="BE5132">
            <v>6.57</v>
          </cell>
          <cell r="BF5132">
            <v>6.33</v>
          </cell>
          <cell r="BG5132">
            <v>6.3179999999999996</v>
          </cell>
          <cell r="BH5132">
            <v>6.32</v>
          </cell>
          <cell r="BI5132">
            <v>7.24</v>
          </cell>
          <cell r="BJ5132">
            <v>7.52</v>
          </cell>
          <cell r="BK5132">
            <v>7.59</v>
          </cell>
          <cell r="BL5132">
            <v>7.59</v>
          </cell>
          <cell r="BM5132">
            <v>7.75</v>
          </cell>
          <cell r="BN5132">
            <v>7.9</v>
          </cell>
          <cell r="BO5132">
            <v>7.85</v>
          </cell>
          <cell r="BP5132">
            <v>7.62</v>
          </cell>
          <cell r="BQ5132">
            <v>8.6199999999999992</v>
          </cell>
          <cell r="BR5132">
            <v>8.61</v>
          </cell>
          <cell r="BS5132">
            <v>8.68</v>
          </cell>
          <cell r="BT5132">
            <v>8.64</v>
          </cell>
          <cell r="BU5132">
            <v>7.69</v>
          </cell>
          <cell r="BV5132">
            <v>7.61</v>
          </cell>
          <cell r="BW5132">
            <v>7.55</v>
          </cell>
        </row>
        <row r="5133">
          <cell r="A5133">
            <v>45672</v>
          </cell>
          <cell r="B5133">
            <v>6.8140000000000001</v>
          </cell>
          <cell r="C5133">
            <v>6.7679999999999998</v>
          </cell>
          <cell r="D5133">
            <v>6.7539999999999996</v>
          </cell>
          <cell r="E5133">
            <v>6.7240000000000002</v>
          </cell>
          <cell r="F5133">
            <v>6.69</v>
          </cell>
          <cell r="G5133">
            <v>6.69</v>
          </cell>
          <cell r="H5133">
            <v>6.6</v>
          </cell>
          <cell r="I5133">
            <v>6.49</v>
          </cell>
          <cell r="J5133">
            <v>6.41</v>
          </cell>
          <cell r="K5133">
            <v>7.22</v>
          </cell>
          <cell r="L5133">
            <v>7.51</v>
          </cell>
          <cell r="M5133">
            <v>7.58</v>
          </cell>
          <cell r="N5133">
            <v>7.58</v>
          </cell>
          <cell r="O5133">
            <v>6.52</v>
          </cell>
          <cell r="P5133">
            <v>6.29</v>
          </cell>
          <cell r="Q5133">
            <v>6.27</v>
          </cell>
          <cell r="R5133">
            <v>6.2759999999999998</v>
          </cell>
          <cell r="S5133">
            <v>222309.84</v>
          </cell>
          <cell r="T5133">
            <v>7.2563000000000004</v>
          </cell>
          <cell r="U5133">
            <v>7.5449000000000002</v>
          </cell>
          <cell r="V5133">
            <v>7.5031999999999996</v>
          </cell>
          <cell r="W5133">
            <v>7.6619000000000002</v>
          </cell>
          <cell r="X5133">
            <v>6.65</v>
          </cell>
          <cell r="Y5133">
            <v>6.5</v>
          </cell>
          <cell r="Z5133">
            <v>3.35</v>
          </cell>
          <cell r="AA5133">
            <v>4</v>
          </cell>
          <cell r="AB5133">
            <v>18</v>
          </cell>
          <cell r="AC5133">
            <v>86.416200000000003</v>
          </cell>
          <cell r="AD5133">
            <v>1.0288999999999999</v>
          </cell>
          <cell r="AE5133">
            <v>89.030699999999996</v>
          </cell>
          <cell r="AF5133">
            <v>7.3318000000000003</v>
          </cell>
          <cell r="AG5133">
            <v>83.01</v>
          </cell>
          <cell r="AH5133">
            <v>2696.32</v>
          </cell>
          <cell r="AI5133">
            <v>76724.08</v>
          </cell>
          <cell r="AJ5133">
            <v>23213.200000000001</v>
          </cell>
          <cell r="AK5133">
            <v>43221.55</v>
          </cell>
          <cell r="AL5133">
            <v>21237.85</v>
          </cell>
          <cell r="AM5133">
            <v>19286.07</v>
          </cell>
          <cell r="AN5133">
            <v>3227.1170000000002</v>
          </cell>
          <cell r="AO5133">
            <v>5.22</v>
          </cell>
          <cell r="AP5133">
            <v>2.37</v>
          </cell>
          <cell r="AQ5133">
            <v>-21937.48</v>
          </cell>
          <cell r="AR5133">
            <v>-0.65</v>
          </cell>
          <cell r="AS5133">
            <v>-5007</v>
          </cell>
          <cell r="AT5133">
            <v>-97</v>
          </cell>
          <cell r="AU5133">
            <v>5.2</v>
          </cell>
          <cell r="AV5133">
            <v>5.36</v>
          </cell>
          <cell r="AW5133">
            <v>256</v>
          </cell>
          <cell r="AX5133">
            <v>217</v>
          </cell>
          <cell r="AY5133">
            <v>5.6</v>
          </cell>
          <cell r="AZ5133">
            <v>4.6531000000000002</v>
          </cell>
          <cell r="BA5133">
            <v>7.51</v>
          </cell>
          <cell r="BB5133">
            <v>7.55</v>
          </cell>
          <cell r="BC5133">
            <v>7.66</v>
          </cell>
          <cell r="BD5133">
            <v>6.7240000000000002</v>
          </cell>
          <cell r="BE5133">
            <v>6.52</v>
          </cell>
          <cell r="BF5133">
            <v>6.29</v>
          </cell>
          <cell r="BG5133">
            <v>6.27</v>
          </cell>
          <cell r="BH5133">
            <v>6.2759999999999998</v>
          </cell>
          <cell r="BI5133">
            <v>7.22</v>
          </cell>
          <cell r="BJ5133">
            <v>7.51</v>
          </cell>
          <cell r="BK5133">
            <v>7.58</v>
          </cell>
          <cell r="BL5133">
            <v>7.58</v>
          </cell>
          <cell r="BM5133">
            <v>7.73</v>
          </cell>
          <cell r="BN5133">
            <v>7.87</v>
          </cell>
          <cell r="BO5133">
            <v>7.82</v>
          </cell>
          <cell r="BP5133">
            <v>7.6</v>
          </cell>
          <cell r="BQ5133">
            <v>8.6</v>
          </cell>
          <cell r="BR5133">
            <v>8.58</v>
          </cell>
          <cell r="BS5133">
            <v>8.65</v>
          </cell>
          <cell r="BT5133">
            <v>8.6199999999999992</v>
          </cell>
          <cell r="BU5133">
            <v>7.66</v>
          </cell>
          <cell r="BV5133">
            <v>7.55</v>
          </cell>
          <cell r="BW5133">
            <v>7.51</v>
          </cell>
        </row>
        <row r="5134">
          <cell r="A5134">
            <v>45673</v>
          </cell>
          <cell r="B5134">
            <v>6.7480000000000002</v>
          </cell>
          <cell r="C5134">
            <v>6.6950000000000003</v>
          </cell>
          <cell r="D5134">
            <v>6.681</v>
          </cell>
          <cell r="E5134">
            <v>6.6740000000000004</v>
          </cell>
          <cell r="F5134">
            <v>6.66</v>
          </cell>
          <cell r="G5134">
            <v>6.63</v>
          </cell>
          <cell r="H5134">
            <v>6.57</v>
          </cell>
          <cell r="I5134">
            <v>6.45</v>
          </cell>
          <cell r="J5134">
            <v>6.37</v>
          </cell>
          <cell r="K5134">
            <v>7.22</v>
          </cell>
          <cell r="L5134">
            <v>7.49</v>
          </cell>
          <cell r="M5134">
            <v>7.55</v>
          </cell>
          <cell r="N5134">
            <v>7.55</v>
          </cell>
          <cell r="O5134">
            <v>6.4512999999999998</v>
          </cell>
          <cell r="P5134">
            <v>6.2275</v>
          </cell>
          <cell r="Q5134">
            <v>6.22</v>
          </cell>
          <cell r="R5134">
            <v>6.2287999999999997</v>
          </cell>
          <cell r="S5134">
            <v>235928.31</v>
          </cell>
          <cell r="T5134">
            <v>7.1948999999999996</v>
          </cell>
          <cell r="U5134">
            <v>7.4226000000000001</v>
          </cell>
          <cell r="V5134">
            <v>7.4416000000000002</v>
          </cell>
          <cell r="W5134">
            <v>7.6809000000000003</v>
          </cell>
          <cell r="X5134">
            <v>5.75</v>
          </cell>
          <cell r="Y5134">
            <v>6.5</v>
          </cell>
          <cell r="Z5134">
            <v>3.35</v>
          </cell>
          <cell r="AA5134">
            <v>4</v>
          </cell>
          <cell r="AB5134">
            <v>18</v>
          </cell>
          <cell r="AC5134">
            <v>86.61</v>
          </cell>
          <cell r="AD5134">
            <v>1.0301</v>
          </cell>
          <cell r="AE5134">
            <v>89.031999999999996</v>
          </cell>
          <cell r="AF5134">
            <v>7.3315999999999999</v>
          </cell>
          <cell r="AG5134">
            <v>82.11</v>
          </cell>
          <cell r="AH5134">
            <v>2714.31</v>
          </cell>
          <cell r="AI5134">
            <v>77042.820000000007</v>
          </cell>
          <cell r="AJ5134">
            <v>23311.8</v>
          </cell>
          <cell r="AK5134">
            <v>43153.13</v>
          </cell>
          <cell r="AL5134">
            <v>21091.25</v>
          </cell>
          <cell r="AM5134">
            <v>19522.89</v>
          </cell>
          <cell r="AN5134">
            <v>3236.0320000000002</v>
          </cell>
          <cell r="AO5134">
            <v>5.22</v>
          </cell>
          <cell r="AP5134">
            <v>2.37</v>
          </cell>
          <cell r="AQ5134">
            <v>-21937.48</v>
          </cell>
          <cell r="AR5134">
            <v>-0.65</v>
          </cell>
          <cell r="AS5134">
            <v>-5007</v>
          </cell>
          <cell r="AT5134">
            <v>-97</v>
          </cell>
          <cell r="AU5134">
            <v>5.2</v>
          </cell>
          <cell r="AV5134">
            <v>5.36</v>
          </cell>
          <cell r="AW5134">
            <v>256</v>
          </cell>
          <cell r="AX5134">
            <v>217</v>
          </cell>
          <cell r="AY5134">
            <v>5.6</v>
          </cell>
          <cell r="AZ5134">
            <v>4.6124999999999998</v>
          </cell>
          <cell r="BA5134">
            <v>7.51</v>
          </cell>
          <cell r="BB5134">
            <v>7.62</v>
          </cell>
          <cell r="BC5134">
            <v>7.63</v>
          </cell>
          <cell r="BD5134">
            <v>6.6740000000000004</v>
          </cell>
          <cell r="BE5134">
            <v>6.4512999999999998</v>
          </cell>
          <cell r="BF5134">
            <v>6.2275</v>
          </cell>
          <cell r="BG5134">
            <v>6.22</v>
          </cell>
          <cell r="BH5134">
            <v>6.2287999999999997</v>
          </cell>
          <cell r="BI5134">
            <v>7.22</v>
          </cell>
          <cell r="BJ5134">
            <v>7.49</v>
          </cell>
          <cell r="BK5134">
            <v>7.55</v>
          </cell>
          <cell r="BL5134">
            <v>7.55</v>
          </cell>
          <cell r="BM5134">
            <v>7.73</v>
          </cell>
          <cell r="BN5134">
            <v>7.85</v>
          </cell>
          <cell r="BO5134">
            <v>7.67</v>
          </cell>
          <cell r="BP5134">
            <v>7.49</v>
          </cell>
          <cell r="BQ5134">
            <v>8.48</v>
          </cell>
          <cell r="BR5134">
            <v>8.58</v>
          </cell>
          <cell r="BS5134">
            <v>8.49</v>
          </cell>
          <cell r="BT5134">
            <v>8.52</v>
          </cell>
          <cell r="BU5134">
            <v>7.63</v>
          </cell>
          <cell r="BV5134">
            <v>7.62</v>
          </cell>
          <cell r="BW5134">
            <v>7.51</v>
          </cell>
        </row>
        <row r="5135">
          <cell r="A5135">
            <v>45674</v>
          </cell>
          <cell r="B5135">
            <v>6.7649999999999997</v>
          </cell>
          <cell r="C5135">
            <v>6.7190000000000003</v>
          </cell>
          <cell r="D5135">
            <v>6.6959999999999997</v>
          </cell>
          <cell r="E5135">
            <v>6.6740000000000004</v>
          </cell>
          <cell r="F5135">
            <v>6.64</v>
          </cell>
          <cell r="G5135">
            <v>6.62</v>
          </cell>
          <cell r="H5135">
            <v>6.57</v>
          </cell>
          <cell r="I5135">
            <v>6.42</v>
          </cell>
          <cell r="J5135">
            <v>6.4</v>
          </cell>
          <cell r="K5135">
            <v>7.21</v>
          </cell>
          <cell r="L5135">
            <v>7.45</v>
          </cell>
          <cell r="M5135">
            <v>7.56</v>
          </cell>
          <cell r="N5135">
            <v>7.56</v>
          </cell>
          <cell r="O5135">
            <v>6.4649999999999999</v>
          </cell>
          <cell r="P5135">
            <v>6.2229999999999999</v>
          </cell>
          <cell r="Q5135">
            <v>6.2337999999999996</v>
          </cell>
          <cell r="R5135">
            <v>6.2329999999999997</v>
          </cell>
          <cell r="S5135">
            <v>195867.49</v>
          </cell>
          <cell r="T5135">
            <v>7.1948999999999996</v>
          </cell>
          <cell r="U5135">
            <v>7.4535999999999998</v>
          </cell>
          <cell r="V5135">
            <v>7.4416000000000002</v>
          </cell>
          <cell r="W5135">
            <v>7.6601999999999997</v>
          </cell>
          <cell r="X5135">
            <v>5.75</v>
          </cell>
          <cell r="Y5135">
            <v>6.5</v>
          </cell>
          <cell r="Z5135">
            <v>3.35</v>
          </cell>
          <cell r="AA5135">
            <v>4</v>
          </cell>
          <cell r="AB5135">
            <v>18</v>
          </cell>
          <cell r="AC5135">
            <v>86.589500000000001</v>
          </cell>
          <cell r="AD5135">
            <v>1.0273000000000001</v>
          </cell>
          <cell r="AE5135">
            <v>89.18</v>
          </cell>
          <cell r="AF5135">
            <v>7.3251999999999997</v>
          </cell>
          <cell r="AG5135">
            <v>82.194999999999993</v>
          </cell>
          <cell r="AH5135">
            <v>2703.25</v>
          </cell>
          <cell r="AI5135">
            <v>76619.33</v>
          </cell>
          <cell r="AJ5135">
            <v>23203.200000000001</v>
          </cell>
          <cell r="AK5135">
            <v>43487.83</v>
          </cell>
          <cell r="AL5135">
            <v>21441.15</v>
          </cell>
          <cell r="AM5135">
            <v>19584.060000000001</v>
          </cell>
          <cell r="AN5135">
            <v>3241.8209999999999</v>
          </cell>
          <cell r="AO5135">
            <v>5.22</v>
          </cell>
          <cell r="AP5135">
            <v>2.37</v>
          </cell>
          <cell r="AQ5135">
            <v>-21937.48</v>
          </cell>
          <cell r="AR5135">
            <v>-0.65</v>
          </cell>
          <cell r="AS5135">
            <v>-5007</v>
          </cell>
          <cell r="AT5135">
            <v>-97</v>
          </cell>
          <cell r="AU5135">
            <v>5.2</v>
          </cell>
          <cell r="AV5135">
            <v>5.36</v>
          </cell>
          <cell r="AW5135">
            <v>256</v>
          </cell>
          <cell r="AX5135">
            <v>223</v>
          </cell>
          <cell r="AY5135">
            <v>5.6</v>
          </cell>
          <cell r="AZ5135">
            <v>4.6269999999999998</v>
          </cell>
          <cell r="BA5135">
            <v>7.51</v>
          </cell>
          <cell r="BB5135">
            <v>7.59</v>
          </cell>
          <cell r="BC5135">
            <v>7.65</v>
          </cell>
          <cell r="BD5135">
            <v>6.6740000000000004</v>
          </cell>
          <cell r="BE5135">
            <v>6.4649999999999999</v>
          </cell>
          <cell r="BF5135">
            <v>6.2229999999999999</v>
          </cell>
          <cell r="BG5135">
            <v>6.2337999999999996</v>
          </cell>
          <cell r="BH5135">
            <v>6.2329999999999997</v>
          </cell>
          <cell r="BI5135">
            <v>7.21</v>
          </cell>
          <cell r="BJ5135">
            <v>7.45</v>
          </cell>
          <cell r="BK5135">
            <v>7.56</v>
          </cell>
          <cell r="BL5135">
            <v>7.56</v>
          </cell>
          <cell r="BM5135">
            <v>7.73</v>
          </cell>
          <cell r="BN5135">
            <v>7.85</v>
          </cell>
          <cell r="BO5135">
            <v>7.7</v>
          </cell>
          <cell r="BP5135">
            <v>7.49</v>
          </cell>
          <cell r="BQ5135">
            <v>8.48</v>
          </cell>
          <cell r="BR5135">
            <v>8.58</v>
          </cell>
          <cell r="BS5135">
            <v>8.52</v>
          </cell>
          <cell r="BT5135">
            <v>8.52</v>
          </cell>
          <cell r="BU5135">
            <v>7.65</v>
          </cell>
          <cell r="BV5135">
            <v>7.59</v>
          </cell>
          <cell r="BW5135">
            <v>7.51</v>
          </cell>
        </row>
        <row r="5136">
          <cell r="A5136">
            <v>45675</v>
          </cell>
          <cell r="B5136">
            <v>6.7649999999999997</v>
          </cell>
          <cell r="C5136">
            <v>6.7190000000000003</v>
          </cell>
          <cell r="D5136">
            <v>6.6959999999999997</v>
          </cell>
          <cell r="E5136">
            <v>6.6740000000000004</v>
          </cell>
          <cell r="F5136">
            <v>6.64</v>
          </cell>
          <cell r="G5136">
            <v>6.62</v>
          </cell>
          <cell r="H5136">
            <v>6.57</v>
          </cell>
          <cell r="I5136">
            <v>6.42</v>
          </cell>
          <cell r="J5136">
            <v>6.4</v>
          </cell>
          <cell r="K5136">
            <v>7.21</v>
          </cell>
          <cell r="L5136">
            <v>7.45</v>
          </cell>
          <cell r="M5136">
            <v>7.56</v>
          </cell>
          <cell r="N5136">
            <v>7.56</v>
          </cell>
          <cell r="O5136">
            <v>6.4649999999999999</v>
          </cell>
          <cell r="P5136">
            <v>6.2229999999999999</v>
          </cell>
          <cell r="Q5136">
            <v>6.2337999999999996</v>
          </cell>
          <cell r="R5136">
            <v>6.2329999999999997</v>
          </cell>
          <cell r="S5136">
            <v>196120.49</v>
          </cell>
          <cell r="T5136">
            <v>7.1948999999999996</v>
          </cell>
          <cell r="U5136">
            <v>7.4535999999999998</v>
          </cell>
          <cell r="V5136">
            <v>7.4416000000000002</v>
          </cell>
          <cell r="W5136">
            <v>7.6601999999999997</v>
          </cell>
          <cell r="X5136">
            <v>5.75</v>
          </cell>
          <cell r="Y5136">
            <v>6.5</v>
          </cell>
          <cell r="Z5136">
            <v>3.35</v>
          </cell>
          <cell r="AA5136">
            <v>4</v>
          </cell>
          <cell r="AB5136">
            <v>18</v>
          </cell>
          <cell r="AC5136">
            <v>86.589500000000001</v>
          </cell>
          <cell r="AD5136">
            <v>1.0273000000000001</v>
          </cell>
          <cell r="AE5136">
            <v>89.18</v>
          </cell>
          <cell r="AF5136">
            <v>7.3251999999999997</v>
          </cell>
          <cell r="AG5136">
            <v>82.194999999999993</v>
          </cell>
          <cell r="AH5136">
            <v>2703.25</v>
          </cell>
          <cell r="AI5136">
            <v>76619.33</v>
          </cell>
          <cell r="AJ5136">
            <v>23203.200000000001</v>
          </cell>
          <cell r="AK5136">
            <v>43487.83</v>
          </cell>
          <cell r="AL5136">
            <v>21441.15</v>
          </cell>
          <cell r="AM5136">
            <v>19584.060000000001</v>
          </cell>
          <cell r="AN5136">
            <v>3241.8209999999999</v>
          </cell>
          <cell r="AO5136">
            <v>5.22</v>
          </cell>
          <cell r="AP5136">
            <v>2.37</v>
          </cell>
          <cell r="AQ5136">
            <v>-21937.48</v>
          </cell>
          <cell r="AR5136">
            <v>-0.65</v>
          </cell>
          <cell r="AS5136">
            <v>-5007</v>
          </cell>
          <cell r="AT5136">
            <v>-97</v>
          </cell>
          <cell r="AU5136">
            <v>5.2</v>
          </cell>
          <cell r="AV5136">
            <v>5.36</v>
          </cell>
          <cell r="AW5136">
            <v>256</v>
          </cell>
          <cell r="AX5136">
            <v>223</v>
          </cell>
          <cell r="AY5136">
            <v>5.6</v>
          </cell>
          <cell r="AZ5136">
            <v>4.6269999999999998</v>
          </cell>
          <cell r="BA5136">
            <v>7.51</v>
          </cell>
          <cell r="BB5136">
            <v>7.59</v>
          </cell>
          <cell r="BC5136">
            <v>7.65</v>
          </cell>
          <cell r="BD5136">
            <v>6.6740000000000004</v>
          </cell>
          <cell r="BE5136">
            <v>6.4649999999999999</v>
          </cell>
          <cell r="BF5136">
            <v>6.2229999999999999</v>
          </cell>
          <cell r="BG5136">
            <v>6.2337999999999996</v>
          </cell>
          <cell r="BH5136">
            <v>6.2329999999999997</v>
          </cell>
          <cell r="BI5136">
            <v>7.21</v>
          </cell>
          <cell r="BJ5136">
            <v>7.45</v>
          </cell>
          <cell r="BK5136">
            <v>7.56</v>
          </cell>
          <cell r="BL5136">
            <v>7.56</v>
          </cell>
          <cell r="BM5136">
            <v>7.73</v>
          </cell>
          <cell r="BN5136">
            <v>7.85</v>
          </cell>
          <cell r="BO5136">
            <v>7.7</v>
          </cell>
          <cell r="BP5136">
            <v>7.49</v>
          </cell>
          <cell r="BQ5136">
            <v>8.48</v>
          </cell>
          <cell r="BR5136">
            <v>8.58</v>
          </cell>
          <cell r="BS5136">
            <v>8.52</v>
          </cell>
          <cell r="BT5136">
            <v>8.52</v>
          </cell>
          <cell r="BU5136">
            <v>7.65</v>
          </cell>
          <cell r="BV5136">
            <v>7.59</v>
          </cell>
          <cell r="BW5136">
            <v>7.51</v>
          </cell>
        </row>
        <row r="5137">
          <cell r="A5137">
            <v>45676</v>
          </cell>
          <cell r="B5137">
            <v>6.7649999999999997</v>
          </cell>
          <cell r="C5137">
            <v>6.7190000000000003</v>
          </cell>
          <cell r="D5137">
            <v>6.6959999999999997</v>
          </cell>
          <cell r="E5137">
            <v>6.6740000000000004</v>
          </cell>
          <cell r="F5137">
            <v>6.64</v>
          </cell>
          <cell r="G5137">
            <v>6.62</v>
          </cell>
          <cell r="H5137">
            <v>6.57</v>
          </cell>
          <cell r="I5137">
            <v>6.42</v>
          </cell>
          <cell r="J5137">
            <v>6.4</v>
          </cell>
          <cell r="K5137">
            <v>7.21</v>
          </cell>
          <cell r="L5137">
            <v>7.45</v>
          </cell>
          <cell r="M5137">
            <v>7.56</v>
          </cell>
          <cell r="N5137">
            <v>7.56</v>
          </cell>
          <cell r="O5137">
            <v>6.4649999999999999</v>
          </cell>
          <cell r="P5137">
            <v>6.2229999999999999</v>
          </cell>
          <cell r="Q5137">
            <v>6.2337999999999996</v>
          </cell>
          <cell r="R5137">
            <v>6.2329999999999997</v>
          </cell>
          <cell r="S5137">
            <v>193847.49</v>
          </cell>
          <cell r="T5137">
            <v>7.1948999999999996</v>
          </cell>
          <cell r="U5137">
            <v>7.4535999999999998</v>
          </cell>
          <cell r="V5137">
            <v>7.4416000000000002</v>
          </cell>
          <cell r="W5137">
            <v>7.6601999999999997</v>
          </cell>
          <cell r="X5137">
            <v>5.75</v>
          </cell>
          <cell r="Y5137">
            <v>6.5</v>
          </cell>
          <cell r="Z5137">
            <v>3.35</v>
          </cell>
          <cell r="AA5137">
            <v>4</v>
          </cell>
          <cell r="AB5137">
            <v>18</v>
          </cell>
          <cell r="AC5137">
            <v>86.589500000000001</v>
          </cell>
          <cell r="AD5137">
            <v>1.0273000000000001</v>
          </cell>
          <cell r="AE5137">
            <v>89.18</v>
          </cell>
          <cell r="AF5137">
            <v>7.3251999999999997</v>
          </cell>
          <cell r="AG5137">
            <v>82.194999999999993</v>
          </cell>
          <cell r="AH5137">
            <v>2703.25</v>
          </cell>
          <cell r="AI5137">
            <v>76619.33</v>
          </cell>
          <cell r="AJ5137">
            <v>23203.200000000001</v>
          </cell>
          <cell r="AK5137">
            <v>43487.83</v>
          </cell>
          <cell r="AL5137">
            <v>21441.15</v>
          </cell>
          <cell r="AM5137">
            <v>19584.060000000001</v>
          </cell>
          <cell r="AN5137">
            <v>3241.8209999999999</v>
          </cell>
          <cell r="AO5137">
            <v>5.22</v>
          </cell>
          <cell r="AP5137">
            <v>2.37</v>
          </cell>
          <cell r="AQ5137">
            <v>-21937.48</v>
          </cell>
          <cell r="AR5137">
            <v>-0.65</v>
          </cell>
          <cell r="AS5137">
            <v>-5007</v>
          </cell>
          <cell r="AT5137">
            <v>-97</v>
          </cell>
          <cell r="AU5137">
            <v>5.2</v>
          </cell>
          <cell r="AV5137">
            <v>5.36</v>
          </cell>
          <cell r="AW5137">
            <v>256</v>
          </cell>
          <cell r="AX5137">
            <v>223</v>
          </cell>
          <cell r="AY5137">
            <v>5.6</v>
          </cell>
          <cell r="AZ5137">
            <v>4.6269999999999998</v>
          </cell>
          <cell r="BA5137">
            <v>7.51</v>
          </cell>
          <cell r="BB5137">
            <v>7.59</v>
          </cell>
          <cell r="BC5137">
            <v>7.65</v>
          </cell>
          <cell r="BD5137">
            <v>6.6740000000000004</v>
          </cell>
          <cell r="BE5137">
            <v>6.4649999999999999</v>
          </cell>
          <cell r="BF5137">
            <v>6.2229999999999999</v>
          </cell>
          <cell r="BG5137">
            <v>6.2337999999999996</v>
          </cell>
          <cell r="BH5137">
            <v>6.2329999999999997</v>
          </cell>
          <cell r="BI5137">
            <v>7.21</v>
          </cell>
          <cell r="BJ5137">
            <v>7.45</v>
          </cell>
          <cell r="BK5137">
            <v>7.56</v>
          </cell>
          <cell r="BL5137">
            <v>7.56</v>
          </cell>
          <cell r="BM5137">
            <v>7.73</v>
          </cell>
          <cell r="BN5137">
            <v>7.85</v>
          </cell>
          <cell r="BO5137">
            <v>7.7</v>
          </cell>
          <cell r="BP5137">
            <v>7.49</v>
          </cell>
          <cell r="BQ5137">
            <v>8.48</v>
          </cell>
          <cell r="BR5137">
            <v>8.58</v>
          </cell>
          <cell r="BS5137">
            <v>8.52</v>
          </cell>
          <cell r="BT5137">
            <v>8.52</v>
          </cell>
          <cell r="BU5137">
            <v>7.65</v>
          </cell>
          <cell r="BV5137">
            <v>7.59</v>
          </cell>
          <cell r="BW5137">
            <v>7.51</v>
          </cell>
        </row>
        <row r="5138">
          <cell r="A5138">
            <v>45677</v>
          </cell>
          <cell r="B5138">
            <v>6.7610000000000001</v>
          </cell>
          <cell r="C5138">
            <v>6.7060000000000004</v>
          </cell>
          <cell r="D5138">
            <v>6.6740000000000004</v>
          </cell>
          <cell r="E5138">
            <v>6.6740000000000004</v>
          </cell>
          <cell r="F5138">
            <v>6.64</v>
          </cell>
          <cell r="G5138">
            <v>6.62</v>
          </cell>
          <cell r="H5138">
            <v>6.57</v>
          </cell>
          <cell r="I5138">
            <v>6.42</v>
          </cell>
          <cell r="J5138">
            <v>6.4</v>
          </cell>
          <cell r="K5138">
            <v>7.21</v>
          </cell>
          <cell r="L5138">
            <v>7.44</v>
          </cell>
          <cell r="M5138">
            <v>7.56</v>
          </cell>
          <cell r="N5138">
            <v>7.56</v>
          </cell>
          <cell r="O5138">
            <v>6.4450000000000003</v>
          </cell>
          <cell r="P5138">
            <v>6.22</v>
          </cell>
          <cell r="Q5138">
            <v>6.2149999999999999</v>
          </cell>
          <cell r="R5138">
            <v>6.23</v>
          </cell>
          <cell r="S5138">
            <v>236145.48</v>
          </cell>
          <cell r="T5138">
            <v>7.1845999999999997</v>
          </cell>
          <cell r="U5138">
            <v>7.4329000000000001</v>
          </cell>
          <cell r="V5138">
            <v>7.4311999999999996</v>
          </cell>
          <cell r="W5138">
            <v>7.7119</v>
          </cell>
          <cell r="X5138">
            <v>6.55</v>
          </cell>
          <cell r="Y5138">
            <v>6.5</v>
          </cell>
          <cell r="Z5138">
            <v>3.35</v>
          </cell>
          <cell r="AA5138">
            <v>4</v>
          </cell>
          <cell r="AB5138">
            <v>18</v>
          </cell>
          <cell r="AC5138">
            <v>86.21</v>
          </cell>
          <cell r="AD5138">
            <v>1.0416000000000001</v>
          </cell>
          <cell r="AE5138">
            <v>89.221000000000004</v>
          </cell>
          <cell r="AF5138">
            <v>7.2731000000000003</v>
          </cell>
          <cell r="AG5138">
            <v>80.69</v>
          </cell>
          <cell r="AH5138">
            <v>2708.21</v>
          </cell>
          <cell r="AI5138">
            <v>77073.440000000002</v>
          </cell>
          <cell r="AJ5138">
            <v>23344.75</v>
          </cell>
          <cell r="AK5138">
            <v>43487.83</v>
          </cell>
          <cell r="AL5138">
            <v>21441.15</v>
          </cell>
          <cell r="AM5138">
            <v>19925.810000000001</v>
          </cell>
          <cell r="AN5138">
            <v>3244.3780000000002</v>
          </cell>
          <cell r="AO5138">
            <v>5.22</v>
          </cell>
          <cell r="AP5138">
            <v>2.37</v>
          </cell>
          <cell r="AQ5138">
            <v>-21937.48</v>
          </cell>
          <cell r="AR5138">
            <v>-0.65</v>
          </cell>
          <cell r="AS5138">
            <v>-5007</v>
          </cell>
          <cell r="AT5138">
            <v>-97</v>
          </cell>
          <cell r="AU5138">
            <v>5.2</v>
          </cell>
          <cell r="AV5138">
            <v>5.36</v>
          </cell>
          <cell r="AW5138">
            <v>256</v>
          </cell>
          <cell r="AX5138">
            <v>223</v>
          </cell>
          <cell r="AY5138">
            <v>5.6</v>
          </cell>
          <cell r="AZ5138">
            <v>4.6269999999999998</v>
          </cell>
          <cell r="BA5138">
            <v>7.5</v>
          </cell>
          <cell r="BB5138">
            <v>7.58</v>
          </cell>
          <cell r="BC5138">
            <v>7.61</v>
          </cell>
          <cell r="BD5138">
            <v>6.6740000000000004</v>
          </cell>
          <cell r="BE5138">
            <v>6.4450000000000003</v>
          </cell>
          <cell r="BF5138">
            <v>6.22</v>
          </cell>
          <cell r="BG5138">
            <v>6.2149999999999999</v>
          </cell>
          <cell r="BH5138">
            <v>6.23</v>
          </cell>
          <cell r="BI5138">
            <v>7.21</v>
          </cell>
          <cell r="BJ5138">
            <v>7.44</v>
          </cell>
          <cell r="BK5138">
            <v>7.56</v>
          </cell>
          <cell r="BL5138">
            <v>7.56</v>
          </cell>
          <cell r="BM5138">
            <v>7.75</v>
          </cell>
          <cell r="BN5138">
            <v>7.84</v>
          </cell>
          <cell r="BO5138">
            <v>7.68</v>
          </cell>
          <cell r="BP5138">
            <v>7.48</v>
          </cell>
          <cell r="BQ5138">
            <v>8.5</v>
          </cell>
          <cell r="BR5138">
            <v>8.57</v>
          </cell>
          <cell r="BS5138">
            <v>8.5</v>
          </cell>
          <cell r="BT5138">
            <v>8.51</v>
          </cell>
          <cell r="BU5138">
            <v>7.61</v>
          </cell>
          <cell r="BV5138">
            <v>7.58</v>
          </cell>
          <cell r="BW5138">
            <v>7.5</v>
          </cell>
        </row>
        <row r="5139">
          <cell r="A5139">
            <v>45678</v>
          </cell>
          <cell r="B5139">
            <v>6.7370000000000001</v>
          </cell>
          <cell r="C5139">
            <v>6.68</v>
          </cell>
          <cell r="D5139">
            <v>6.6550000000000002</v>
          </cell>
          <cell r="E5139">
            <v>6.6669999999999998</v>
          </cell>
          <cell r="F5139">
            <v>6.69</v>
          </cell>
          <cell r="G5139">
            <v>6.68</v>
          </cell>
          <cell r="H5139">
            <v>6.58</v>
          </cell>
          <cell r="I5139">
            <v>6.55</v>
          </cell>
          <cell r="J5139">
            <v>6.43</v>
          </cell>
          <cell r="K5139">
            <v>7.21</v>
          </cell>
          <cell r="L5139">
            <v>7.44</v>
          </cell>
          <cell r="M5139">
            <v>7.54</v>
          </cell>
          <cell r="N5139">
            <v>7.54</v>
          </cell>
          <cell r="O5139">
            <v>6.4249999999999998</v>
          </cell>
          <cell r="P5139">
            <v>6.19</v>
          </cell>
          <cell r="Q5139">
            <v>6.1798999999999999</v>
          </cell>
          <cell r="R5139">
            <v>6.1887999999999996</v>
          </cell>
          <cell r="S5139">
            <v>270775.48</v>
          </cell>
          <cell r="T5139">
            <v>7.1638999999999999</v>
          </cell>
          <cell r="U5139">
            <v>7.4019000000000004</v>
          </cell>
          <cell r="V5139">
            <v>7.4105999999999996</v>
          </cell>
          <cell r="W5139">
            <v>7.7119</v>
          </cell>
          <cell r="X5139">
            <v>6.62</v>
          </cell>
          <cell r="Y5139">
            <v>6.5</v>
          </cell>
          <cell r="Z5139">
            <v>3.35</v>
          </cell>
          <cell r="AA5139">
            <v>4</v>
          </cell>
          <cell r="AB5139">
            <v>18</v>
          </cell>
          <cell r="AC5139">
            <v>86.453800000000001</v>
          </cell>
          <cell r="AD5139">
            <v>1.0427999999999999</v>
          </cell>
          <cell r="AE5139">
            <v>89.641599999999997</v>
          </cell>
          <cell r="AF5139">
            <v>7.2617000000000003</v>
          </cell>
          <cell r="AG5139">
            <v>80.31</v>
          </cell>
          <cell r="AH5139">
            <v>2744.81</v>
          </cell>
          <cell r="AI5139">
            <v>75838.36</v>
          </cell>
          <cell r="AJ5139">
            <v>23024.65</v>
          </cell>
          <cell r="AK5139">
            <v>44025.81</v>
          </cell>
          <cell r="AL5139">
            <v>21566.51</v>
          </cell>
          <cell r="AM5139">
            <v>20106.55</v>
          </cell>
          <cell r="AN5139">
            <v>3242.623</v>
          </cell>
          <cell r="AO5139">
            <v>5.22</v>
          </cell>
          <cell r="AP5139">
            <v>2.37</v>
          </cell>
          <cell r="AQ5139">
            <v>-21937.48</v>
          </cell>
          <cell r="AR5139">
            <v>-0.65</v>
          </cell>
          <cell r="AS5139">
            <v>-5007</v>
          </cell>
          <cell r="AT5139">
            <v>-97</v>
          </cell>
          <cell r="AU5139">
            <v>5.2</v>
          </cell>
          <cell r="AV5139">
            <v>5.36</v>
          </cell>
          <cell r="AW5139">
            <v>256</v>
          </cell>
          <cell r="AX5139">
            <v>223</v>
          </cell>
          <cell r="AY5139">
            <v>5.6</v>
          </cell>
          <cell r="AZ5139">
            <v>4.5763999999999996</v>
          </cell>
          <cell r="BA5139">
            <v>7.54</v>
          </cell>
          <cell r="BB5139">
            <v>7.6</v>
          </cell>
          <cell r="BC5139">
            <v>7.71</v>
          </cell>
          <cell r="BD5139">
            <v>6.6669999999999998</v>
          </cell>
          <cell r="BE5139">
            <v>6.4249999999999998</v>
          </cell>
          <cell r="BF5139">
            <v>6.19</v>
          </cell>
          <cell r="BG5139">
            <v>6.1798999999999999</v>
          </cell>
          <cell r="BH5139">
            <v>6.1887999999999996</v>
          </cell>
          <cell r="BI5139">
            <v>7.21</v>
          </cell>
          <cell r="BJ5139">
            <v>7.44</v>
          </cell>
          <cell r="BK5139">
            <v>7.54</v>
          </cell>
          <cell r="BL5139">
            <v>7.54</v>
          </cell>
          <cell r="BM5139">
            <v>7.74</v>
          </cell>
          <cell r="BN5139">
            <v>7.82</v>
          </cell>
          <cell r="BO5139">
            <v>7.65</v>
          </cell>
          <cell r="BP5139">
            <v>7.46</v>
          </cell>
          <cell r="BQ5139">
            <v>8.49</v>
          </cell>
          <cell r="BR5139">
            <v>8.5500000000000007</v>
          </cell>
          <cell r="BS5139">
            <v>8.4700000000000006</v>
          </cell>
          <cell r="BT5139">
            <v>8.49</v>
          </cell>
          <cell r="BU5139">
            <v>7.71</v>
          </cell>
          <cell r="BV5139">
            <v>7.6</v>
          </cell>
          <cell r="BW5139">
            <v>7.54</v>
          </cell>
        </row>
        <row r="5140">
          <cell r="A5140">
            <v>45679</v>
          </cell>
          <cell r="B5140">
            <v>6.7229999999999999</v>
          </cell>
          <cell r="C5140">
            <v>6.6660000000000004</v>
          </cell>
          <cell r="D5140">
            <v>6.6479999999999997</v>
          </cell>
          <cell r="E5140">
            <v>6.6390000000000002</v>
          </cell>
          <cell r="F5140">
            <v>6.67</v>
          </cell>
          <cell r="G5140">
            <v>6.69</v>
          </cell>
          <cell r="H5140">
            <v>6.6</v>
          </cell>
          <cell r="I5140">
            <v>6.5</v>
          </cell>
          <cell r="J5140">
            <v>6.46</v>
          </cell>
          <cell r="K5140">
            <v>7.21</v>
          </cell>
          <cell r="L5140">
            <v>7.44</v>
          </cell>
          <cell r="M5140">
            <v>7.54</v>
          </cell>
          <cell r="N5140">
            <v>7.54</v>
          </cell>
          <cell r="O5140">
            <v>6.4050000000000002</v>
          </cell>
          <cell r="P5140">
            <v>6.1775000000000002</v>
          </cell>
          <cell r="Q5140">
            <v>6.165</v>
          </cell>
          <cell r="R5140">
            <v>6.17</v>
          </cell>
          <cell r="S5140">
            <v>287527.48</v>
          </cell>
          <cell r="T5140">
            <v>7.1638999999999999</v>
          </cell>
          <cell r="U5140">
            <v>7.3916000000000004</v>
          </cell>
          <cell r="V5140">
            <v>7.4001999999999999</v>
          </cell>
          <cell r="W5140">
            <v>7.6912000000000003</v>
          </cell>
          <cell r="X5140">
            <v>6.62</v>
          </cell>
          <cell r="Y5140">
            <v>6.5</v>
          </cell>
          <cell r="Z5140">
            <v>3.35</v>
          </cell>
          <cell r="AA5140">
            <v>4</v>
          </cell>
          <cell r="AB5140">
            <v>18</v>
          </cell>
          <cell r="AC5140">
            <v>86.471999999999994</v>
          </cell>
          <cell r="AD5140">
            <v>1.0408999999999999</v>
          </cell>
          <cell r="AE5140">
            <v>90.192999999999998</v>
          </cell>
          <cell r="AF5140">
            <v>7.2762000000000002</v>
          </cell>
          <cell r="AG5140">
            <v>79.864999999999995</v>
          </cell>
          <cell r="AH5140">
            <v>2756.48</v>
          </cell>
          <cell r="AI5140">
            <v>76404.990000000005</v>
          </cell>
          <cell r="AJ5140">
            <v>23155.35</v>
          </cell>
          <cell r="AK5140">
            <v>44156.73</v>
          </cell>
          <cell r="AL5140">
            <v>21853</v>
          </cell>
          <cell r="AM5140">
            <v>19778.77</v>
          </cell>
          <cell r="AN5140">
            <v>3213.6239999999998</v>
          </cell>
          <cell r="AO5140">
            <v>5.22</v>
          </cell>
          <cell r="AP5140">
            <v>2.37</v>
          </cell>
          <cell r="AQ5140">
            <v>-21937.48</v>
          </cell>
          <cell r="AR5140">
            <v>-0.65</v>
          </cell>
          <cell r="AS5140">
            <v>-5007</v>
          </cell>
          <cell r="AT5140">
            <v>-97</v>
          </cell>
          <cell r="AU5140">
            <v>5.2</v>
          </cell>
          <cell r="AV5140">
            <v>5.36</v>
          </cell>
          <cell r="AW5140">
            <v>256</v>
          </cell>
          <cell r="AX5140">
            <v>223</v>
          </cell>
          <cell r="AY5140">
            <v>5.6</v>
          </cell>
          <cell r="AZ5140">
            <v>4.6109</v>
          </cell>
          <cell r="BA5140">
            <v>7.51</v>
          </cell>
          <cell r="BB5140">
            <v>7.65</v>
          </cell>
          <cell r="BC5140">
            <v>7.62</v>
          </cell>
          <cell r="BD5140">
            <v>6.6390000000000002</v>
          </cell>
          <cell r="BE5140">
            <v>6.4050000000000002</v>
          </cell>
          <cell r="BF5140">
            <v>6.1775000000000002</v>
          </cell>
          <cell r="BG5140">
            <v>6.165</v>
          </cell>
          <cell r="BH5140">
            <v>6.17</v>
          </cell>
          <cell r="BI5140">
            <v>7.21</v>
          </cell>
          <cell r="BJ5140">
            <v>7.44</v>
          </cell>
          <cell r="BK5140">
            <v>7.54</v>
          </cell>
          <cell r="BL5140">
            <v>7.54</v>
          </cell>
          <cell r="BM5140">
            <v>7.73</v>
          </cell>
          <cell r="BN5140">
            <v>7.81</v>
          </cell>
          <cell r="BO5140">
            <v>7.64</v>
          </cell>
          <cell r="BP5140">
            <v>7.46</v>
          </cell>
          <cell r="BQ5140">
            <v>8.48</v>
          </cell>
          <cell r="BR5140">
            <v>8.5399999999999991</v>
          </cell>
          <cell r="BS5140">
            <v>8.4600000000000009</v>
          </cell>
          <cell r="BT5140">
            <v>8.49</v>
          </cell>
          <cell r="BU5140">
            <v>7.62</v>
          </cell>
          <cell r="BV5140">
            <v>7.65</v>
          </cell>
          <cell r="BW5140">
            <v>7.51</v>
          </cell>
        </row>
        <row r="5141">
          <cell r="A5141">
            <v>45680</v>
          </cell>
          <cell r="B5141">
            <v>6.734</v>
          </cell>
          <cell r="C5141">
            <v>6.6680000000000001</v>
          </cell>
          <cell r="D5141">
            <v>6.6509999999999998</v>
          </cell>
          <cell r="E5141">
            <v>6.6360000000000001</v>
          </cell>
          <cell r="F5141">
            <v>6.61</v>
          </cell>
          <cell r="G5141">
            <v>6.67</v>
          </cell>
          <cell r="H5141">
            <v>6.59</v>
          </cell>
          <cell r="I5141">
            <v>6.47</v>
          </cell>
          <cell r="J5141">
            <v>6.49</v>
          </cell>
          <cell r="K5141">
            <v>7.24</v>
          </cell>
          <cell r="L5141">
            <v>7.45</v>
          </cell>
          <cell r="M5141">
            <v>7.55</v>
          </cell>
          <cell r="N5141">
            <v>7.55</v>
          </cell>
          <cell r="O5141">
            <v>6.41</v>
          </cell>
          <cell r="P5141">
            <v>6.17</v>
          </cell>
          <cell r="Q5141">
            <v>6.165</v>
          </cell>
          <cell r="R5141">
            <v>6.17</v>
          </cell>
          <cell r="S5141">
            <v>287527.48</v>
          </cell>
          <cell r="T5141">
            <v>7.1741999999999999</v>
          </cell>
          <cell r="U5141">
            <v>7.3916000000000004</v>
          </cell>
          <cell r="V5141">
            <v>7.4001999999999999</v>
          </cell>
          <cell r="W5141">
            <v>7.6292</v>
          </cell>
          <cell r="X5141">
            <v>6</v>
          </cell>
          <cell r="Y5141">
            <v>6.5</v>
          </cell>
          <cell r="Z5141">
            <v>3.35</v>
          </cell>
          <cell r="AA5141">
            <v>4</v>
          </cell>
          <cell r="AB5141">
            <v>18</v>
          </cell>
          <cell r="AC5141">
            <v>86.463899999999995</v>
          </cell>
          <cell r="AD5141">
            <v>1.0416000000000001</v>
          </cell>
          <cell r="AE5141">
            <v>90.031499999999994</v>
          </cell>
          <cell r="AF5141">
            <v>7.2862</v>
          </cell>
          <cell r="AG5141">
            <v>78.92</v>
          </cell>
          <cell r="AH5141">
            <v>2754.87</v>
          </cell>
          <cell r="AI5141">
            <v>76520.38</v>
          </cell>
          <cell r="AJ5141">
            <v>23205.35</v>
          </cell>
          <cell r="AK5141">
            <v>44565.07</v>
          </cell>
          <cell r="AL5141">
            <v>21900.93</v>
          </cell>
          <cell r="AM5141">
            <v>19700.560000000001</v>
          </cell>
          <cell r="AN5141">
            <v>3230.1640000000002</v>
          </cell>
          <cell r="AO5141">
            <v>5.22</v>
          </cell>
          <cell r="AP5141">
            <v>2.37</v>
          </cell>
          <cell r="AQ5141">
            <v>-21937.48</v>
          </cell>
          <cell r="AR5141">
            <v>-0.65</v>
          </cell>
          <cell r="AS5141">
            <v>-5007</v>
          </cell>
          <cell r="AT5141">
            <v>-97</v>
          </cell>
          <cell r="AU5141">
            <v>5.2</v>
          </cell>
          <cell r="AV5141">
            <v>5.36</v>
          </cell>
          <cell r="AW5141">
            <v>256</v>
          </cell>
          <cell r="AX5141">
            <v>223</v>
          </cell>
          <cell r="AY5141">
            <v>5.6</v>
          </cell>
          <cell r="AZ5141">
            <v>4.6436000000000002</v>
          </cell>
          <cell r="BA5141">
            <v>7.52</v>
          </cell>
          <cell r="BB5141">
            <v>7.64</v>
          </cell>
          <cell r="BC5141">
            <v>7.63</v>
          </cell>
          <cell r="BD5141">
            <v>6.6360000000000001</v>
          </cell>
          <cell r="BE5141">
            <v>6.41</v>
          </cell>
          <cell r="BF5141">
            <v>6.17</v>
          </cell>
          <cell r="BG5141">
            <v>6.165</v>
          </cell>
          <cell r="BH5141">
            <v>6.17</v>
          </cell>
          <cell r="BI5141">
            <v>7.24</v>
          </cell>
          <cell r="BJ5141">
            <v>7.45</v>
          </cell>
          <cell r="BK5141">
            <v>7.55</v>
          </cell>
          <cell r="BL5141">
            <v>7.55</v>
          </cell>
          <cell r="BM5141">
            <v>7.69</v>
          </cell>
          <cell r="BN5141">
            <v>7.81</v>
          </cell>
          <cell r="BO5141">
            <v>7.64</v>
          </cell>
          <cell r="BP5141">
            <v>7.47</v>
          </cell>
          <cell r="BQ5141">
            <v>8.44</v>
          </cell>
          <cell r="BR5141">
            <v>8.5399999999999991</v>
          </cell>
          <cell r="BS5141">
            <v>8.4600000000000009</v>
          </cell>
          <cell r="BT5141">
            <v>8.5</v>
          </cell>
          <cell r="BU5141">
            <v>7.63</v>
          </cell>
          <cell r="BV5141">
            <v>7.64</v>
          </cell>
          <cell r="BW5141">
            <v>7.52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Shubham Upadhyay" refreshedDate="45691.665090393515" createdVersion="6" refreshedVersion="6" minRefreshableVersion="3" recordCount="45">
  <cacheSource type="worksheet">
    <worksheetSource ref="A1:D46" sheet="Imp Ratios"/>
  </cacheSource>
  <cacheFields count="4">
    <cacheField name="Ratios" numFmtId="0">
      <sharedItems containsBlank="1" count="43">
        <s v="Operational Matrix"/>
        <s v="Cash Flow To Debt"/>
        <s v="Interest Income"/>
        <s v="Employee Expense"/>
        <s v="Operating Cost"/>
        <s v="Financial Performance Matrix"/>
        <s v="Finance Cost"/>
        <s v="PAT"/>
        <s v="Net Interest Income"/>
        <s v="Net Interest Margin %"/>
        <s v="Asset &amp; Liability Management"/>
        <s v="Net Worth "/>
        <s v="Total Debt"/>
        <s v="Gearing Ratio Times"/>
        <s v="AUM"/>
        <s v="Total Debt To Total Asset"/>
        <s v="Cash &amp; Cash Equivalent"/>
        <s v="Loans Disbursed "/>
        <s v="Credit &amp; Risk Metrics"/>
        <s v="Gross NPA %"/>
        <s v="Net NPA %"/>
        <s v="PCR %"/>
        <s v="Collection Efficiency 96%-100%"/>
        <s v="Profitability Metrics"/>
        <s v="ROA"/>
        <s v="ROE"/>
        <s v="Regulatory &amp; Financial Metrics"/>
        <s v="CRAR%"/>
        <m/>
        <s v="Quality Check"/>
        <s v="Secured"/>
        <s v="Unsecured"/>
        <s v="Spread  Calculation"/>
        <s v="Cost Of Borrowing"/>
        <s v="Cost Of Lending"/>
        <s v="CREDIT COST"/>
        <s v="Slipage Ratio"/>
        <s v="Promoter Holdings"/>
        <s v="Rising Sun Holdings Pvt Ltd"/>
        <s v="Amansa Holdings Private Limited"/>
        <s v="Nippon Life India Trustee Ltd- A/C Nippo"/>
        <s v="Aditya Birla Sun Life Trustee Private Limited"/>
        <s v="Bank Muscat India Fund"/>
      </sharedItems>
    </cacheField>
    <cacheField name="2021" numFmtId="0">
      <sharedItems containsBlank="1" containsMixedTypes="1" containsNumber="1" minValue="-575.41" maxValue="14225" count="34">
        <m/>
        <n v="2.4009695307347432"/>
        <n v="1756.98"/>
        <n v="286.52999999999997"/>
        <n v="404.12"/>
        <n v="874.59"/>
        <n v="-575.41"/>
        <n v="882.38"/>
        <n v="8.2000000000000003E-2"/>
        <n v="1942.06"/>
        <n v="8399.93"/>
        <n v="4.08"/>
        <n v="14225"/>
        <n v="0.77"/>
        <n v="265.08999999999997"/>
        <n v="3680"/>
        <n v="4.3099999999999996"/>
        <n v="1.32"/>
        <n v="0.69373549883990715"/>
        <n v="-0.55600000000000005"/>
        <n v="-0.22800000000000001"/>
        <n v="0.2029"/>
        <n v="4.7252952613629773E-2"/>
        <n v="9.9782333776499338E-2"/>
        <n v="0.14703528639012911"/>
        <n v="3.1508526435692137E-2"/>
        <n v="3.9045553145336219E-2"/>
        <s v="2021"/>
        <n v="0.61499999999999999"/>
        <n v="3.0800000000000001E-2"/>
        <n v="2.4700000000000003E-2"/>
        <n v="1.4199999999999999E-2"/>
        <n v="1.1399999999999999E-2"/>
        <n v="2021" u="1"/>
      </sharedItems>
    </cacheField>
    <cacheField name="2022" numFmtId="0">
      <sharedItems containsBlank="1" containsMixedTypes="1" containsNumber="1" minValue="2.7E-2" maxValue="16579" count="28">
        <m/>
        <n v="6.247498294612102"/>
        <n v="1458.56"/>
        <n v="167"/>
        <n v="555"/>
        <n v="509.28"/>
        <n v="294.83"/>
        <n v="949.27"/>
        <n v="8.8999999999999996E-2"/>
        <n v="5714.5"/>
        <n v="7095.15"/>
        <n v="1.18"/>
        <n v="16579"/>
        <n v="0.53"/>
        <n v="335.2"/>
        <n v="9494"/>
        <n v="3.29"/>
        <n v="1.3"/>
        <n v="0.60486322188449848"/>
        <n v="2.7E-2"/>
        <n v="5.7000000000000002E-2"/>
        <n v="0.49059999999999998"/>
        <s v="Promoter Holdings2"/>
        <s v="Rising Sun Holdings Pvt Ltd"/>
        <s v="Amansa Holdings Private Limited"/>
        <s v="Nippon Life India Trustee Ltd- A/C Nippo"/>
        <s v="Aditya Birla Sun Life Trustee Private Limited"/>
        <s v="Bank Muscat India Fund"/>
      </sharedItems>
    </cacheField>
    <cacheField name="2023" numFmtId="0">
      <sharedItems containsBlank="1" containsMixedTypes="1" containsNumber="1" minValue="1.1399999999999999E-2" maxValue="16143" count="31">
        <m/>
        <n v="3.8268121740570069"/>
        <n v="1816.94"/>
        <n v="143"/>
        <n v="741.64"/>
        <n v="595.28"/>
        <n v="586.29999999999995"/>
        <n v="1221.6600000000001"/>
        <n v="0.107"/>
        <n v="6424.7"/>
        <n v="11597.12"/>
        <n v="1.73"/>
        <n v="16143"/>
        <n v="0.62"/>
        <n v="601.38"/>
        <n v="15198"/>
        <n v="1.44"/>
        <n v="0.78"/>
        <n v="0.45833333333333331"/>
        <n v="4.3999999999999997E-2"/>
        <n v="9.7000000000000003E-2"/>
        <n v="0.3891"/>
        <n v="7989.68"/>
        <n v="8153.32"/>
        <s v="2022"/>
        <n v="0.62139999999999995"/>
        <n v="2.6499999999999999E-2"/>
        <n v="2.2799999999999997E-2"/>
        <n v="1.3000000000000001E-2"/>
        <n v="1.1399999999999999E-2"/>
        <n v="2022" u="1"/>
      </sharedItems>
    </cacheField>
  </cacheFields>
  <extLst>
    <ext xmlns:x14="http://schemas.microsoft.com/office/spreadsheetml/2009/9/main" uri="{725AE2AE-9491-48be-B2B4-4EB974FC3084}">
      <x14:pivotCacheDefinition pivotCacheId="1574584311"/>
    </ext>
  </extLst>
</pivotCacheDefinition>
</file>

<file path=xl/pivotCache/pivotCacheDefinition2.xml><?xml version="1.0" encoding="utf-8"?>
<pivotCacheDefinition xmlns="http://schemas.openxmlformats.org/spreadsheetml/2006/main" xmlns:r="http://schemas.openxmlformats.org/officeDocument/2006/relationships" r:id="rId1" refreshedBy="Shubham Upadhyay" refreshedDate="45691.665090856484" createdVersion="6" refreshedVersion="6" minRefreshableVersion="3" recordCount="88">
  <cacheSource type="worksheet">
    <worksheetSource name="Our_Pivot_Full"/>
  </cacheSource>
  <cacheFields count="3">
    <cacheField name="Ratios/Stake Holders" numFmtId="0">
      <sharedItems count="35">
        <s v="Cash Flow To Debt"/>
        <s v="Interest Income"/>
        <s v="Employee Expense"/>
        <s v="Operating Cost"/>
        <s v="Finance Cost"/>
        <s v="PAT"/>
        <s v="Net Interest Income"/>
        <s v="Net Interest Margin %"/>
        <s v="Net Worth "/>
        <s v="Total Debt"/>
        <s v="Gearing Ratio Times"/>
        <s v="AUM"/>
        <s v="Total Debt To Total Asset"/>
        <s v="Cash &amp; Cash Equivalent"/>
        <s v="Loans Disbursed "/>
        <s v="Gross NPA %"/>
        <s v="Net NPA %"/>
        <s v="PCR %"/>
        <s v="ROA"/>
        <s v="ROE"/>
        <s v="CRAR%"/>
        <s v="Secured"/>
        <s v="Unsecured"/>
        <s v="Spread  Calculation"/>
        <s v="Cost Of Borrowing"/>
        <s v="Cost Of Lending"/>
        <s v="CREDIT COST"/>
        <s v="Slipage Ratio"/>
        <s v="Rising Sun Holdings Pvt Ltd"/>
        <s v="Amansa Holdings Private Limited"/>
        <s v="Nippon Life India Trustee Ltd- A/C Nippo"/>
        <s v="Quant Mutual Fund - Quant Mid Cap Fund"/>
        <s v="Aditya Birla Sun Life Trustee Private Limited"/>
        <s v="Bank Muscat India Fund"/>
        <s v="Formula1" f="1"/>
      </sharedItems>
    </cacheField>
    <cacheField name="Years" numFmtId="0">
      <sharedItems containsSemiMixedTypes="0" containsString="0" containsNumber="1" containsInteger="1" minValue="2021" maxValue="2023" count="3">
        <n v="2021"/>
        <n v="2022"/>
        <n v="2023"/>
      </sharedItems>
    </cacheField>
    <cacheField name="Value" numFmtId="0">
      <sharedItems containsMixedTypes="1" containsNumber="1" minValue="-575.41" maxValue="16579"/>
    </cacheField>
  </cacheFields>
  <calculatedItems count="1">
    <calculatedItem>
      <pivotArea cacheIndex="1" outline="0" fieldPosition="0">
        <references count="1">
          <reference field="0" count="1">
            <x v="34"/>
          </reference>
        </references>
      </pivotArea>
    </calculatedItem>
  </calculatedItems>
  <extLst>
    <ext xmlns:x14="http://schemas.microsoft.com/office/spreadsheetml/2009/9/main" uri="{725AE2AE-9491-48be-B2B4-4EB974FC3084}">
      <x14:pivotCacheDefinition pivotCacheId="1770588296"/>
    </ext>
  </extLst>
</pivotCacheDefinition>
</file>

<file path=xl/pivotCache/pivotCacheDefinition3.xml><?xml version="1.0" encoding="utf-8"?>
<pivotCacheDefinition xmlns="http://schemas.openxmlformats.org/spreadsheetml/2006/main" xmlns:r="http://schemas.openxmlformats.org/officeDocument/2006/relationships" r:id="rId1" refreshedBy="Shubham Upadhyay" refreshedDate="45712.36720601852" createdVersion="6" refreshedVersion="6" minRefreshableVersion="3" recordCount="8">
  <cacheSource type="worksheet">
    <worksheetSource ref="B48:C56" sheet="Georaphic Breakup"/>
  </cacheSource>
  <cacheFields count="2">
    <cacheField name="Segment wise break up of AUM" numFmtId="0">
      <sharedItems count="8">
        <s v="Mortgages (home loans and loans against property)"/>
        <s v="Gold loans"/>
        <s v="Vehicle finance"/>
        <s v="MFI"/>
        <s v="M&amp;SME"/>
        <s v="Capital market funding (loans against shares, margin_x000a_funding)"/>
        <s v="Others"/>
        <s v="Wholesale"/>
      </sharedItems>
    </cacheField>
    <cacheField name="Percentage of AUM" numFmtId="0">
      <sharedItems containsMixedTypes="1" containsNumber="1" minValue="0.16" maxValue="0.16" count="5">
        <n v="0.16"/>
        <s v="-"/>
        <s v="31%"/>
        <s v="21%"/>
        <s v="3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x v="0"/>
    <x v="0"/>
    <x v="0"/>
    <x v="0"/>
  </r>
  <r>
    <x v="1"/>
    <x v="1"/>
    <x v="1"/>
    <x v="1"/>
  </r>
  <r>
    <x v="2"/>
    <x v="2"/>
    <x v="2"/>
    <x v="2"/>
  </r>
  <r>
    <x v="3"/>
    <x v="3"/>
    <x v="3"/>
    <x v="3"/>
  </r>
  <r>
    <x v="4"/>
    <x v="4"/>
    <x v="4"/>
    <x v="4"/>
  </r>
  <r>
    <x v="5"/>
    <x v="0"/>
    <x v="0"/>
    <x v="0"/>
  </r>
  <r>
    <x v="6"/>
    <x v="5"/>
    <x v="5"/>
    <x v="5"/>
  </r>
  <r>
    <x v="7"/>
    <x v="6"/>
    <x v="6"/>
    <x v="6"/>
  </r>
  <r>
    <x v="8"/>
    <x v="7"/>
    <x v="7"/>
    <x v="7"/>
  </r>
  <r>
    <x v="9"/>
    <x v="8"/>
    <x v="8"/>
    <x v="8"/>
  </r>
  <r>
    <x v="10"/>
    <x v="0"/>
    <x v="0"/>
    <x v="0"/>
  </r>
  <r>
    <x v="11"/>
    <x v="9"/>
    <x v="9"/>
    <x v="9"/>
  </r>
  <r>
    <x v="12"/>
    <x v="10"/>
    <x v="10"/>
    <x v="10"/>
  </r>
  <r>
    <x v="13"/>
    <x v="11"/>
    <x v="11"/>
    <x v="11"/>
  </r>
  <r>
    <x v="14"/>
    <x v="12"/>
    <x v="12"/>
    <x v="12"/>
  </r>
  <r>
    <x v="15"/>
    <x v="13"/>
    <x v="13"/>
    <x v="13"/>
  </r>
  <r>
    <x v="16"/>
    <x v="14"/>
    <x v="14"/>
    <x v="14"/>
  </r>
  <r>
    <x v="17"/>
    <x v="15"/>
    <x v="15"/>
    <x v="15"/>
  </r>
  <r>
    <x v="18"/>
    <x v="0"/>
    <x v="0"/>
    <x v="0"/>
  </r>
  <r>
    <x v="19"/>
    <x v="16"/>
    <x v="16"/>
    <x v="16"/>
  </r>
  <r>
    <x v="20"/>
    <x v="17"/>
    <x v="17"/>
    <x v="17"/>
  </r>
  <r>
    <x v="21"/>
    <x v="18"/>
    <x v="18"/>
    <x v="18"/>
  </r>
  <r>
    <x v="22"/>
    <x v="0"/>
    <x v="0"/>
    <x v="0"/>
  </r>
  <r>
    <x v="23"/>
    <x v="0"/>
    <x v="0"/>
    <x v="0"/>
  </r>
  <r>
    <x v="24"/>
    <x v="19"/>
    <x v="19"/>
    <x v="19"/>
  </r>
  <r>
    <x v="25"/>
    <x v="20"/>
    <x v="20"/>
    <x v="20"/>
  </r>
  <r>
    <x v="26"/>
    <x v="0"/>
    <x v="0"/>
    <x v="0"/>
  </r>
  <r>
    <x v="27"/>
    <x v="21"/>
    <x v="21"/>
    <x v="21"/>
  </r>
  <r>
    <x v="28"/>
    <x v="0"/>
    <x v="0"/>
    <x v="0"/>
  </r>
  <r>
    <x v="29"/>
    <x v="0"/>
    <x v="0"/>
    <x v="0"/>
  </r>
  <r>
    <x v="30"/>
    <x v="0"/>
    <x v="0"/>
    <x v="22"/>
  </r>
  <r>
    <x v="31"/>
    <x v="0"/>
    <x v="0"/>
    <x v="23"/>
  </r>
  <r>
    <x v="28"/>
    <x v="0"/>
    <x v="0"/>
    <x v="0"/>
  </r>
  <r>
    <x v="32"/>
    <x v="22"/>
    <x v="0"/>
    <x v="0"/>
  </r>
  <r>
    <x v="33"/>
    <x v="23"/>
    <x v="0"/>
    <x v="0"/>
  </r>
  <r>
    <x v="34"/>
    <x v="24"/>
    <x v="0"/>
    <x v="0"/>
  </r>
  <r>
    <x v="35"/>
    <x v="25"/>
    <x v="0"/>
    <x v="0"/>
  </r>
  <r>
    <x v="36"/>
    <x v="26"/>
    <x v="0"/>
    <x v="0"/>
  </r>
  <r>
    <x v="28"/>
    <x v="0"/>
    <x v="0"/>
    <x v="0"/>
  </r>
  <r>
    <x v="37"/>
    <x v="27"/>
    <x v="22"/>
    <x v="24"/>
  </r>
  <r>
    <x v="38"/>
    <x v="28"/>
    <x v="23"/>
    <x v="25"/>
  </r>
  <r>
    <x v="39"/>
    <x v="29"/>
    <x v="24"/>
    <x v="26"/>
  </r>
  <r>
    <x v="40"/>
    <x v="30"/>
    <x v="25"/>
    <x v="27"/>
  </r>
  <r>
    <x v="41"/>
    <x v="31"/>
    <x v="26"/>
    <x v="28"/>
  </r>
  <r>
    <x v="42"/>
    <x v="32"/>
    <x v="27"/>
    <x v="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
  <r>
    <x v="0"/>
    <x v="0"/>
    <n v="2.4009695307347432"/>
  </r>
  <r>
    <x v="0"/>
    <x v="1"/>
    <n v="6.247498294612102"/>
  </r>
  <r>
    <x v="0"/>
    <x v="2"/>
    <n v="3.8268121740570069"/>
  </r>
  <r>
    <x v="1"/>
    <x v="0"/>
    <n v="1756.98"/>
  </r>
  <r>
    <x v="1"/>
    <x v="1"/>
    <n v="1458.56"/>
  </r>
  <r>
    <x v="1"/>
    <x v="2"/>
    <n v="1816.94"/>
  </r>
  <r>
    <x v="2"/>
    <x v="0"/>
    <n v="286.52999999999997"/>
  </r>
  <r>
    <x v="2"/>
    <x v="1"/>
    <n v="167"/>
  </r>
  <r>
    <x v="2"/>
    <x v="2"/>
    <n v="143"/>
  </r>
  <r>
    <x v="3"/>
    <x v="0"/>
    <n v="404.12"/>
  </r>
  <r>
    <x v="3"/>
    <x v="1"/>
    <n v="555"/>
  </r>
  <r>
    <x v="3"/>
    <x v="2"/>
    <n v="741.64"/>
  </r>
  <r>
    <x v="4"/>
    <x v="0"/>
    <n v="874.59"/>
  </r>
  <r>
    <x v="4"/>
    <x v="1"/>
    <n v="509.28"/>
  </r>
  <r>
    <x v="4"/>
    <x v="2"/>
    <n v="595.28"/>
  </r>
  <r>
    <x v="5"/>
    <x v="0"/>
    <n v="-575.41"/>
  </r>
  <r>
    <x v="5"/>
    <x v="1"/>
    <n v="294.83"/>
  </r>
  <r>
    <x v="5"/>
    <x v="2"/>
    <n v="586.29999999999995"/>
  </r>
  <r>
    <x v="6"/>
    <x v="0"/>
    <n v="882.38"/>
  </r>
  <r>
    <x v="6"/>
    <x v="1"/>
    <n v="949.27"/>
  </r>
  <r>
    <x v="6"/>
    <x v="2"/>
    <n v="1221.6600000000001"/>
  </r>
  <r>
    <x v="7"/>
    <x v="0"/>
    <n v="8.2000000000000003E-2"/>
  </r>
  <r>
    <x v="7"/>
    <x v="1"/>
    <n v="8.8999999999999996E-2"/>
  </r>
  <r>
    <x v="7"/>
    <x v="2"/>
    <n v="0.107"/>
  </r>
  <r>
    <x v="8"/>
    <x v="0"/>
    <n v="1942.06"/>
  </r>
  <r>
    <x v="8"/>
    <x v="1"/>
    <n v="5714.5"/>
  </r>
  <r>
    <x v="8"/>
    <x v="2"/>
    <n v="6424.7"/>
  </r>
  <r>
    <x v="9"/>
    <x v="0"/>
    <n v="8399.93"/>
  </r>
  <r>
    <x v="9"/>
    <x v="1"/>
    <n v="7095.15"/>
  </r>
  <r>
    <x v="9"/>
    <x v="2"/>
    <n v="11597.12"/>
  </r>
  <r>
    <x v="10"/>
    <x v="0"/>
    <n v="4.08"/>
  </r>
  <r>
    <x v="10"/>
    <x v="1"/>
    <n v="1.18"/>
  </r>
  <r>
    <x v="10"/>
    <x v="2"/>
    <n v="1.73"/>
  </r>
  <r>
    <x v="11"/>
    <x v="0"/>
    <n v="14225"/>
  </r>
  <r>
    <x v="11"/>
    <x v="1"/>
    <n v="16579"/>
  </r>
  <r>
    <x v="11"/>
    <x v="2"/>
    <n v="16143"/>
  </r>
  <r>
    <x v="12"/>
    <x v="0"/>
    <n v="0.77"/>
  </r>
  <r>
    <x v="12"/>
    <x v="1"/>
    <n v="0.53"/>
  </r>
  <r>
    <x v="12"/>
    <x v="2"/>
    <n v="0.62"/>
  </r>
  <r>
    <x v="13"/>
    <x v="0"/>
    <n v="265.08999999999997"/>
  </r>
  <r>
    <x v="13"/>
    <x v="1"/>
    <n v="335.2"/>
  </r>
  <r>
    <x v="13"/>
    <x v="2"/>
    <n v="601.38"/>
  </r>
  <r>
    <x v="14"/>
    <x v="0"/>
    <n v="3680"/>
  </r>
  <r>
    <x v="14"/>
    <x v="1"/>
    <n v="9494"/>
  </r>
  <r>
    <x v="14"/>
    <x v="2"/>
    <n v="15198"/>
  </r>
  <r>
    <x v="15"/>
    <x v="0"/>
    <n v="4.3099999999999996"/>
  </r>
  <r>
    <x v="15"/>
    <x v="1"/>
    <n v="3.29"/>
  </r>
  <r>
    <x v="15"/>
    <x v="2"/>
    <n v="1.44"/>
  </r>
  <r>
    <x v="16"/>
    <x v="0"/>
    <n v="1.32"/>
  </r>
  <r>
    <x v="16"/>
    <x v="1"/>
    <n v="1.3"/>
  </r>
  <r>
    <x v="16"/>
    <x v="2"/>
    <n v="0.78"/>
  </r>
  <r>
    <x v="17"/>
    <x v="0"/>
    <n v="0.69373549883990715"/>
  </r>
  <r>
    <x v="17"/>
    <x v="1"/>
    <n v="0.60486322188449848"/>
  </r>
  <r>
    <x v="17"/>
    <x v="2"/>
    <n v="0.45833333333333331"/>
  </r>
  <r>
    <x v="18"/>
    <x v="0"/>
    <n v="-0.55600000000000005"/>
  </r>
  <r>
    <x v="18"/>
    <x v="1"/>
    <n v="2.7E-2"/>
  </r>
  <r>
    <x v="18"/>
    <x v="2"/>
    <n v="4.3999999999999997E-2"/>
  </r>
  <r>
    <x v="19"/>
    <x v="0"/>
    <n v="-0.22800000000000001"/>
  </r>
  <r>
    <x v="19"/>
    <x v="1"/>
    <n v="5.7000000000000002E-2"/>
  </r>
  <r>
    <x v="19"/>
    <x v="2"/>
    <n v="9.7000000000000003E-2"/>
  </r>
  <r>
    <x v="20"/>
    <x v="0"/>
    <n v="0.2029"/>
  </r>
  <r>
    <x v="20"/>
    <x v="1"/>
    <n v="0.49059999999999998"/>
  </r>
  <r>
    <x v="20"/>
    <x v="2"/>
    <n v="0.3891"/>
  </r>
  <r>
    <x v="21"/>
    <x v="2"/>
    <n v="7989.68"/>
  </r>
  <r>
    <x v="22"/>
    <x v="2"/>
    <n v="8153.32"/>
  </r>
  <r>
    <x v="23"/>
    <x v="0"/>
    <n v="4.7252952613629773E-2"/>
  </r>
  <r>
    <x v="24"/>
    <x v="0"/>
    <n v="9.9782333776499338E-2"/>
  </r>
  <r>
    <x v="25"/>
    <x v="0"/>
    <n v="0.14703528639012911"/>
  </r>
  <r>
    <x v="26"/>
    <x v="0"/>
    <n v="3.1508526435692137E-2"/>
  </r>
  <r>
    <x v="27"/>
    <x v="0"/>
    <n v="3.9045553145336219E-2"/>
  </r>
  <r>
    <x v="28"/>
    <x v="0"/>
    <n v="0.61499999999999999"/>
  </r>
  <r>
    <x v="28"/>
    <x v="1"/>
    <n v="0.62139999999999995"/>
  </r>
  <r>
    <x v="28"/>
    <x v="2"/>
    <n v="0.62130000000000007"/>
  </r>
  <r>
    <x v="29"/>
    <x v="0"/>
    <n v="3.0800000000000001E-2"/>
  </r>
  <r>
    <x v="29"/>
    <x v="1"/>
    <n v="2.6499999999999999E-2"/>
  </r>
  <r>
    <x v="29"/>
    <x v="2"/>
    <n v="2.2000000000000002E-2"/>
  </r>
  <r>
    <x v="30"/>
    <x v="0"/>
    <n v="2.4700000000000003E-2"/>
  </r>
  <r>
    <x v="30"/>
    <x v="1"/>
    <n v="2.2799999999999997E-2"/>
  </r>
  <r>
    <x v="30"/>
    <x v="2"/>
    <s v="-"/>
  </r>
  <r>
    <x v="31"/>
    <x v="0"/>
    <s v="-"/>
  </r>
  <r>
    <x v="31"/>
    <x v="1"/>
    <s v="-"/>
  </r>
  <r>
    <x v="31"/>
    <x v="2"/>
    <n v="1.9099999999999999E-2"/>
  </r>
  <r>
    <x v="32"/>
    <x v="0"/>
    <n v="1.4199999999999999E-2"/>
  </r>
  <r>
    <x v="32"/>
    <x v="1"/>
    <n v="1.3000000000000001E-2"/>
  </r>
  <r>
    <x v="32"/>
    <x v="2"/>
    <s v="-"/>
  </r>
  <r>
    <x v="33"/>
    <x v="0"/>
    <n v="1.1399999999999999E-2"/>
  </r>
  <r>
    <x v="33"/>
    <x v="1"/>
    <n v="1.1399999999999999E-2"/>
  </r>
  <r>
    <x v="33"/>
    <x v="2"/>
    <n v="1.1299999999999999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x v="0"/>
  </r>
  <r>
    <x v="1"/>
    <x v="1"/>
  </r>
  <r>
    <x v="2"/>
    <x v="2"/>
  </r>
  <r>
    <x v="3"/>
    <x v="1"/>
  </r>
  <r>
    <x v="4"/>
    <x v="3"/>
  </r>
  <r>
    <x v="5"/>
    <x v="1"/>
  </r>
  <r>
    <x v="6"/>
    <x v="4"/>
  </r>
  <r>
    <x v="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4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A9" firstHeaderRow="1" firstDataRow="1" firstDataCol="1" rowPageCount="3" colPageCount="1"/>
  <pivotFields count="4">
    <pivotField axis="axisRow" showAll="0">
      <items count="44">
        <item h="1" x="41"/>
        <item h="1" x="39"/>
        <item h="1" x="10"/>
        <item x="14"/>
        <item h="1" x="42"/>
        <item h="1" x="16"/>
        <item h="1" x="1"/>
        <item h="1" x="22"/>
        <item h="1" x="33"/>
        <item h="1" x="34"/>
        <item h="1" x="27"/>
        <item h="1" x="18"/>
        <item h="1" x="35"/>
        <item h="1" x="3"/>
        <item h="1" x="6"/>
        <item h="1" x="5"/>
        <item h="1" x="13"/>
        <item h="1" x="19"/>
        <item h="1" x="2"/>
        <item x="17"/>
        <item h="1" x="8"/>
        <item x="9"/>
        <item h="1" x="20"/>
        <item h="1" x="11"/>
        <item h="1" x="40"/>
        <item h="1" x="4"/>
        <item h="1" x="0"/>
        <item h="1" x="7"/>
        <item h="1" x="21"/>
        <item h="1" x="23"/>
        <item h="1" x="37"/>
        <item h="1" x="29"/>
        <item h="1" x="26"/>
        <item h="1" x="38"/>
        <item h="1" x="24"/>
        <item h="1" x="25"/>
        <item h="1" x="30"/>
        <item h="1" x="36"/>
        <item h="1" x="32"/>
        <item h="1" x="12"/>
        <item h="1" x="15"/>
        <item h="1" x="31"/>
        <item h="1" x="28"/>
        <item t="default"/>
      </items>
    </pivotField>
    <pivotField axis="axisPage" showAll="0">
      <items count="35">
        <item x="6"/>
        <item x="19"/>
        <item x="20"/>
        <item x="32"/>
        <item x="31"/>
        <item x="30"/>
        <item x="29"/>
        <item x="25"/>
        <item x="26"/>
        <item x="22"/>
        <item x="8"/>
        <item x="23"/>
        <item x="24"/>
        <item x="21"/>
        <item x="28"/>
        <item x="18"/>
        <item x="13"/>
        <item x="17"/>
        <item x="1"/>
        <item x="11"/>
        <item x="16"/>
        <item x="14"/>
        <item x="3"/>
        <item x="4"/>
        <item x="5"/>
        <item x="7"/>
        <item x="2"/>
        <item x="9"/>
        <item m="1" x="33"/>
        <item x="15"/>
        <item x="10"/>
        <item x="12"/>
        <item x="0"/>
        <item x="27"/>
        <item t="default"/>
      </items>
    </pivotField>
    <pivotField axis="axisPage" showAll="0">
      <items count="29">
        <item x="19"/>
        <item x="20"/>
        <item x="8"/>
        <item x="21"/>
        <item x="13"/>
        <item x="18"/>
        <item x="11"/>
        <item x="17"/>
        <item x="16"/>
        <item x="1"/>
        <item x="3"/>
        <item x="6"/>
        <item x="14"/>
        <item x="5"/>
        <item x="4"/>
        <item x="7"/>
        <item x="2"/>
        <item x="9"/>
        <item x="10"/>
        <item x="15"/>
        <item x="12"/>
        <item x="26"/>
        <item x="24"/>
        <item x="27"/>
        <item x="25"/>
        <item x="23"/>
        <item x="0"/>
        <item x="22"/>
        <item t="default"/>
      </items>
    </pivotField>
    <pivotField axis="axisPage" showAll="0">
      <items count="32">
        <item x="29"/>
        <item x="28"/>
        <item x="27"/>
        <item x="26"/>
        <item x="19"/>
        <item x="20"/>
        <item x="8"/>
        <item x="21"/>
        <item x="18"/>
        <item x="13"/>
        <item x="25"/>
        <item x="17"/>
        <item x="16"/>
        <item x="11"/>
        <item x="1"/>
        <item x="3"/>
        <item x="6"/>
        <item x="5"/>
        <item x="14"/>
        <item x="4"/>
        <item x="7"/>
        <item x="2"/>
        <item m="1" x="30"/>
        <item x="9"/>
        <item x="22"/>
        <item x="23"/>
        <item x="10"/>
        <item x="15"/>
        <item x="12"/>
        <item x="0"/>
        <item x="24"/>
        <item t="default"/>
      </items>
    </pivotField>
  </pivotFields>
  <rowFields count="1">
    <field x="0"/>
  </rowFields>
  <rowItems count="4">
    <i>
      <x v="3"/>
    </i>
    <i>
      <x v="19"/>
    </i>
    <i>
      <x v="21"/>
    </i>
    <i t="grand">
      <x/>
    </i>
  </rowItems>
  <colItems count="1">
    <i/>
  </colItems>
  <pageFields count="3">
    <pageField fld="1" hier="-1"/>
    <pageField fld="2" hier="-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Our Pivot Full"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E38" firstHeaderRow="1" firstDataRow="2" firstDataCol="1"/>
  <pivotFields count="3">
    <pivotField axis="axisRow" showAll="0">
      <items count="36">
        <item x="32"/>
        <item x="29"/>
        <item x="11"/>
        <item x="33"/>
        <item x="13"/>
        <item x="0"/>
        <item x="24"/>
        <item x="25"/>
        <item x="20"/>
        <item x="26"/>
        <item x="2"/>
        <item x="4"/>
        <item x="10"/>
        <item x="15"/>
        <item x="1"/>
        <item x="14"/>
        <item x="6"/>
        <item x="7"/>
        <item x="16"/>
        <item x="8"/>
        <item x="30"/>
        <item x="3"/>
        <item x="5"/>
        <item x="17"/>
        <item x="31"/>
        <item x="28"/>
        <item x="18"/>
        <item x="19"/>
        <item x="21"/>
        <item x="27"/>
        <item x="23"/>
        <item x="9"/>
        <item x="12"/>
        <item f="1" x="34"/>
        <item x="22"/>
        <item t="default"/>
      </items>
    </pivotField>
    <pivotField axis="axisCol" showAll="0">
      <items count="4">
        <item x="0"/>
        <item x="1"/>
        <item x="2"/>
        <item t="default"/>
      </items>
    </pivotField>
    <pivotField dataField="1" showAll="0"/>
  </pivotFields>
  <rowFields count="1">
    <field x="0"/>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Fields count="1">
    <field x="1"/>
  </colFields>
  <colItems count="4">
    <i>
      <x/>
    </i>
    <i>
      <x v="1"/>
    </i>
    <i>
      <x v="2"/>
    </i>
    <i t="grand">
      <x/>
    </i>
  </colItems>
  <dataFields count="1">
    <dataField name="Sum of Value" fld="2" baseField="0" baseItem="0"/>
  </dataFields>
  <formats count="15">
    <format dxfId="148">
      <pivotArea collapsedLevelsAreSubtotals="1" fieldPosition="0">
        <references count="2">
          <reference field="0" count="1">
            <x v="0"/>
          </reference>
          <reference field="1" count="0" selected="0"/>
        </references>
      </pivotArea>
    </format>
    <format dxfId="147">
      <pivotArea collapsedLevelsAreSubtotals="1" fieldPosition="0">
        <references count="2">
          <reference field="0" count="1">
            <x v="1"/>
          </reference>
          <reference field="1" count="0" selected="0"/>
        </references>
      </pivotArea>
    </format>
    <format dxfId="146">
      <pivotArea collapsedLevelsAreSubtotals="1" fieldPosition="0">
        <references count="2">
          <reference field="0" count="1">
            <x v="3"/>
          </reference>
          <reference field="1" count="0" selected="0"/>
        </references>
      </pivotArea>
    </format>
    <format dxfId="145">
      <pivotArea collapsedLevelsAreSubtotals="1" fieldPosition="0">
        <references count="2">
          <reference field="0" count="2">
            <x v="5"/>
            <x v="6"/>
          </reference>
          <reference field="1" count="0" selected="0"/>
        </references>
      </pivotArea>
    </format>
    <format dxfId="144">
      <pivotArea collapsedLevelsAreSubtotals="1" fieldPosition="0">
        <references count="2">
          <reference field="0" count="1">
            <x v="7"/>
          </reference>
          <reference field="1" count="1" selected="0">
            <x v="0"/>
          </reference>
        </references>
      </pivotArea>
    </format>
    <format dxfId="143">
      <pivotArea collapsedLevelsAreSubtotals="1" fieldPosition="0">
        <references count="2">
          <reference field="0" count="1">
            <x v="8"/>
          </reference>
          <reference field="1" count="0" selected="0"/>
        </references>
      </pivotArea>
    </format>
    <format dxfId="142">
      <pivotArea collapsedLevelsAreSubtotals="1" fieldPosition="0">
        <references count="2">
          <reference field="0" count="1">
            <x v="9"/>
          </reference>
          <reference field="1" count="1" selected="0">
            <x v="0"/>
          </reference>
        </references>
      </pivotArea>
    </format>
    <format dxfId="141">
      <pivotArea collapsedLevelsAreSubtotals="1" fieldPosition="0">
        <references count="2">
          <reference field="0" count="1">
            <x v="17"/>
          </reference>
          <reference field="1" count="0" selected="0"/>
        </references>
      </pivotArea>
    </format>
    <format dxfId="140">
      <pivotArea collapsedLevelsAreSubtotals="1" fieldPosition="0">
        <references count="2">
          <reference field="0" count="1">
            <x v="20"/>
          </reference>
          <reference field="1" count="0" selected="0"/>
        </references>
      </pivotArea>
    </format>
    <format dxfId="139">
      <pivotArea collapsedLevelsAreSubtotals="1" fieldPosition="0">
        <references count="2">
          <reference field="0" count="1">
            <x v="24"/>
          </reference>
          <reference field="1" count="0" selected="0"/>
        </references>
      </pivotArea>
    </format>
    <format dxfId="138">
      <pivotArea collapsedLevelsAreSubtotals="1" fieldPosition="0">
        <references count="2">
          <reference field="0" count="1">
            <x v="25"/>
          </reference>
          <reference field="1" count="0" selected="0"/>
        </references>
      </pivotArea>
    </format>
    <format dxfId="137">
      <pivotArea collapsedLevelsAreSubtotals="1" fieldPosition="0">
        <references count="2">
          <reference field="0" count="2">
            <x v="26"/>
            <x v="27"/>
          </reference>
          <reference field="1" count="0" selected="0"/>
        </references>
      </pivotArea>
    </format>
    <format dxfId="136">
      <pivotArea collapsedLevelsAreSubtotals="1" fieldPosition="0">
        <references count="2">
          <reference field="0" count="1">
            <x v="23"/>
          </reference>
          <reference field="1" count="0" selected="0"/>
        </references>
      </pivotArea>
    </format>
    <format dxfId="135">
      <pivotArea collapsedLevelsAreSubtotals="1" fieldPosition="0">
        <references count="2">
          <reference field="0" count="2">
            <x v="29"/>
            <x v="30"/>
          </reference>
          <reference field="1" count="1" selected="0">
            <x v="0"/>
          </reference>
        </references>
      </pivotArea>
    </format>
    <format dxfId="134">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3"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C20" firstHeaderRow="1" firstDataRow="1" firstDataCol="0"/>
  <pivotFields count="2">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5">
        <item x="0"/>
        <item x="1"/>
        <item x="3"/>
        <item x="2"/>
        <item x="4"/>
      </items>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2" connectionId="4" autoFormatId="16" applyNumberFormats="0" applyBorderFormats="0" applyFontFormats="0" applyPatternFormats="0" applyAlignmentFormats="0" applyWidthHeightFormats="0">
  <queryTableRefresh nextId="4">
    <queryTableFields count="3">
      <queryTableField id="1" name="Ratios/Stake Holders" tableColumnId="1"/>
      <queryTableField id="2" name="Years" tableColumnId="2"/>
      <queryTableField id="3" name="Value" tableColumnId="3"/>
    </queryTableFields>
  </queryTableRefresh>
</queryTable>
</file>

<file path=xl/queryTables/queryTable2.xml><?xml version="1.0" encoding="utf-8"?>
<queryTable xmlns="http://schemas.openxmlformats.org/spreadsheetml/2006/main" name="ExternalData_1" connectionId="2" autoFormatId="16" applyNumberFormats="0" applyBorderFormats="0" applyFontFormats="0" applyPatternFormats="0" applyAlignmentFormats="0" applyWidthHeightFormats="0">
  <queryTableRefresh nextId="9">
    <queryTableFields count="3">
      <queryTableField id="4" name="Ratios/Stake Holders" tableColumnId="4"/>
      <queryTableField id="5" name="Years" tableColumnId="5"/>
      <queryTableField id="3" name="Value" tableColumnId="3"/>
    </queryTableFields>
  </queryTableRefresh>
</queryTable>
</file>

<file path=xl/queryTables/queryTable3.xml><?xml version="1.0" encoding="utf-8"?>
<queryTable xmlns="http://schemas.openxmlformats.org/spreadsheetml/2006/main" name="ExternalData_1" connectionId="3" autoFormatId="16" applyNumberFormats="0" applyBorderFormats="0" applyFontFormats="0" applyPatternFormats="0" applyAlignmentFormats="0" applyWidthHeightFormats="0">
  <queryTableRefresh nextId="12">
    <queryTableFields count="3">
      <queryTableField id="9" name="Ratios/Stake Holders" tableColumnId="9"/>
      <queryTableField id="6" name="Year" tableColumnId="6"/>
      <queryTableField id="10" name="Values" tableColumnId="10"/>
    </queryTableFields>
  </queryTableRefresh>
</queryTable>
</file>

<file path=xl/queryTables/queryTable4.xml><?xml version="1.0" encoding="utf-8"?>
<queryTable xmlns="http://schemas.openxmlformats.org/spreadsheetml/2006/main" name="ExternalData_2" connectionId="12"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5.xml><?xml version="1.0" encoding="utf-8"?>
<queryTable xmlns="http://schemas.openxmlformats.org/spreadsheetml/2006/main" name="ExternalData_1" connectionId="11" autoFormatId="16" applyNumberFormats="0" applyBorderFormats="0" applyFontFormats="0" applyPatternFormats="0" applyAlignmentFormats="0" applyWidthHeightFormats="0">
  <queryTableRefresh nextId="7">
    <queryTableFields count="4">
      <queryTableField id="4" name="NAME" tableColumnId="4"/>
      <queryTableField id="2" name="Column2" tableColumnId="2"/>
      <queryTableField id="3" name="Column3" tableColumnId="3"/>
      <queryTableField id="5" name="USECASE" tableColumnId="5"/>
    </queryTableFields>
  </queryTableRefresh>
</queryTable>
</file>

<file path=xl/queryTables/queryTable6.xml><?xml version="1.0" encoding="utf-8"?>
<queryTable xmlns="http://schemas.openxmlformats.org/spreadsheetml/2006/main" name="ExternalData_1" connectionId="6" autoFormatId="16" applyNumberFormats="0" applyBorderFormats="0" applyFontFormats="0" applyPatternFormats="0" applyAlignmentFormats="0" applyWidthHeightFormats="0">
  <queryTableRefresh nextId="14">
    <queryTableFields count="3">
      <queryTableField id="11" name="Sl. No." tableColumnId="11"/>
      <queryTableField id="12" name="Top 5 states" tableColumnId="12"/>
      <queryTableField id="13" name="Percentage of AUM" tableColumnId="13"/>
    </queryTableFields>
    <queryTableDeletedFields count="1">
      <deletedField name="Column1"/>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1" sourceName="Years">
  <pivotTables>
    <pivotTable tabId="22" name="Our Pivot Full"/>
  </pivotTables>
  <data>
    <tabular pivotCacheId="177058829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os" sourceName="Ratios">
  <extLst>
    <x:ext xmlns:x15="http://schemas.microsoft.com/office/spreadsheetml/2010/11/main" uri="{2F2917AC-EB37-4324-AD4E-5DD8C200BD13}">
      <x15:tableSlicerCache tableId="11"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atio" sourceName="Ratio">
  <extLst>
    <x:ext xmlns:x15="http://schemas.microsoft.com/office/spreadsheetml/2010/11/main" uri="{2F2917AC-EB37-4324-AD4E-5DD8C200BD13}">
      <x15:tableSlicerCache tableId="1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1" cache="Slicer_Years1" caption="Years" columnCount="3" showCaption="0" style="Slicer Style 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s" cache="Slicer_Years1" caption="Years" columnCount="3" showCaption="0" style="Slicer Style 5"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atios" cache="Slicer_Ratios" caption="Ratios" columnCount="3" showCaption="0" style="SlicerStyleDark5"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Ratio" cache="Slicer_Ratio" caption="Ratio" columnCount="2" showCaption="0" style="Slicer Style 7"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id="5" name="Table5" displayName="Table5" ref="A63:M88" totalsRowShown="0" headerRowDxfId="163" dataDxfId="162" dataCellStyle="Percent">
  <autoFilter ref="A63:M88"/>
  <tableColumns count="13">
    <tableColumn id="1" name="NBFCPH" dataDxfId="161">
      <calculatedColumnFormula>A34</calculatedColumnFormula>
    </tableColumn>
    <tableColumn id="2" name="Column1" dataDxfId="160" dataCellStyle="Percent">
      <calculatedColumnFormula>IFERROR(B34/100,"-")</calculatedColumnFormula>
    </tableColumn>
    <tableColumn id="3" name="Column2" dataDxfId="159" dataCellStyle="Percent">
      <calculatedColumnFormula>IFERROR(C34/100,"-")</calculatedColumnFormula>
    </tableColumn>
    <tableColumn id="4" name="Column3" dataDxfId="158" dataCellStyle="Percent">
      <calculatedColumnFormula>IFERROR(D34/100,"-")</calculatedColumnFormula>
    </tableColumn>
    <tableColumn id="5" name="Column4" dataDxfId="157" dataCellStyle="Percent">
      <calculatedColumnFormula>IFERROR(E34/100,"-")</calculatedColumnFormula>
    </tableColumn>
    <tableColumn id="6" name="Column5" dataDxfId="156" dataCellStyle="Percent">
      <calculatedColumnFormula>IFERROR(F34/100,"-")</calculatedColumnFormula>
    </tableColumn>
    <tableColumn id="7" name="Column6" dataDxfId="155" dataCellStyle="Percent">
      <calculatedColumnFormula>IFERROR(G34/100,"-")</calculatedColumnFormula>
    </tableColumn>
    <tableColumn id="8" name="Column7" dataDxfId="154" dataCellStyle="Percent">
      <calculatedColumnFormula>IFERROR(H34/100,"-")</calculatedColumnFormula>
    </tableColumn>
    <tableColumn id="9" name="Column8" dataDxfId="153" dataCellStyle="Percent">
      <calculatedColumnFormula>IFERROR(I34/100,"-")</calculatedColumnFormula>
    </tableColumn>
    <tableColumn id="10" name="Column9" dataDxfId="152" dataCellStyle="Percent">
      <calculatedColumnFormula>IFERROR(J34/100,"-")</calculatedColumnFormula>
    </tableColumn>
    <tableColumn id="11" name="Column10" dataDxfId="151" dataCellStyle="Percent">
      <calculatedColumnFormula>IFERROR(K34/100,"-")</calculatedColumnFormula>
    </tableColumn>
    <tableColumn id="12" name="Column11" dataDxfId="150" dataCellStyle="Percent">
      <calculatedColumnFormula>IFERROR(L34/100,"-")</calculatedColumnFormula>
    </tableColumn>
    <tableColumn id="13" name="Column12" dataDxfId="149" dataCellStyle="Percent">
      <calculatedColumnFormula>IFERROR(M34/100,"-")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11" name="Table11" displayName="Table11" ref="A53:D56" totalsRowShown="0" headerRowDxfId="133">
  <autoFilter ref="A53:D56"/>
  <tableColumns count="4">
    <tableColumn id="1" name="Ratios"/>
    <tableColumn id="2" name="2021" dataDxfId="132">
      <calculatedColumnFormula>IFERROR(INDEX($B$3:$D$36,MATCH($A54,$A$3:$A$36,0),MATCH(B$44,$B$2:$D$2,0)),"-")</calculatedColumnFormula>
    </tableColumn>
    <tableColumn id="3" name="2022">
      <calculatedColumnFormula>IFERROR(INDEX($B$3:$D$36,MATCH($A54,$A$3:$A$36,0),MATCH(C$44,$B$2:$D$2,0)),"-")</calculatedColumnFormula>
    </tableColumn>
    <tableColumn id="4" name="2023">
      <calculatedColumnFormula>IFERROR(INDEX($B$3:$D$36,MATCH($A54,$A$3:$A$36,0),MATCH(D$44,$B$2:$D$2,0)),"-")</calculatedColumnFormula>
    </tableColumn>
  </tableColumns>
  <tableStyleInfo showFirstColumn="0" showLastColumn="0" showRowStripes="1" showColumnStripes="0"/>
</table>
</file>

<file path=xl/tables/table3.xml><?xml version="1.0" encoding="utf-8"?>
<table xmlns="http://schemas.openxmlformats.org/spreadsheetml/2006/main" id="9" name="Our_Pivot_Full" displayName="Our_Pivot_Full" ref="A1:C73" tableType="queryTable" totalsRowShown="0">
  <autoFilter ref="A1:C73"/>
  <tableColumns count="3">
    <tableColumn id="1" uniqueName="1" name="Ratios/Stake Holders" queryTableFieldId="1"/>
    <tableColumn id="2" uniqueName="2" name="Years" queryTableFieldId="2"/>
    <tableColumn id="3" uniqueName="3" name="Value" queryTableFieldId="3" dataDxfId="131" dataCellStyle="Percent"/>
  </tableColumns>
  <tableStyleInfo name="TableStyleMedium7" showFirstColumn="0" showLastColumn="0" showRowStripes="1" showColumnStripes="0"/>
</table>
</file>

<file path=xl/tables/table4.xml><?xml version="1.0" encoding="utf-8"?>
<table xmlns="http://schemas.openxmlformats.org/spreadsheetml/2006/main" id="3" name="Our_Pivot" displayName="Our_Pivot" ref="A1:C71" tableType="queryTable" totalsRowShown="0">
  <autoFilter ref="A1:C71"/>
  <tableColumns count="3">
    <tableColumn id="4" uniqueName="4" name="Ratios/Stake Holders" queryTableFieldId="4"/>
    <tableColumn id="5" uniqueName="5" name="Years" queryTableFieldId="5"/>
    <tableColumn id="3" uniqueName="3" name="Value" queryTableFieldId="3" dataDxfId="130"/>
  </tableColumns>
  <tableStyleInfo name="TableStyleMedium7" showFirstColumn="0" showLastColumn="0" showRowStripes="1" showColumnStripes="0"/>
</table>
</file>

<file path=xl/tables/table5.xml><?xml version="1.0" encoding="utf-8"?>
<table xmlns="http://schemas.openxmlformats.org/spreadsheetml/2006/main" id="6" name="Our_Pivot_PH" displayName="Our_Pivot_PH" ref="A1:C41" tableType="queryTable" totalsRowShown="0">
  <autoFilter ref="A1:C41"/>
  <tableColumns count="3">
    <tableColumn id="9" uniqueName="9" name="Ratios/Stake Holders" queryTableFieldId="9"/>
    <tableColumn id="6" uniqueName="6" name="Year" queryTableFieldId="6"/>
    <tableColumn id="10" uniqueName="10" name="Values" queryTableFieldId="10" dataDxfId="129" dataCellStyle="Percent"/>
  </tableColumns>
  <tableStyleInfo name="TableStyleMedium7" showFirstColumn="0" showLastColumn="0" showRowStripes="1" showColumnStripes="0"/>
</table>
</file>

<file path=xl/tables/table6.xml><?xml version="1.0" encoding="utf-8"?>
<table xmlns="http://schemas.openxmlformats.org/spreadsheetml/2006/main" id="7" name="Table7" displayName="Table7" ref="A1:D39" totalsRowShown="0" headerRowDxfId="128">
  <autoFilter ref="A1:D39"/>
  <tableColumns count="4">
    <tableColumn id="1" name="Ratios" dataDxfId="127"/>
    <tableColumn id="2" name="2021" dataDxfId="126"/>
    <tableColumn id="3" name="2022"/>
    <tableColumn id="4" name="2023"/>
  </tableColumns>
  <tableStyleInfo name="TableStyleMedium2" showFirstColumn="0" showLastColumn="0" showRowStripes="1" showColumnStripes="0"/>
</table>
</file>

<file path=xl/tables/table7.xml><?xml version="1.0" encoding="utf-8"?>
<table xmlns="http://schemas.openxmlformats.org/spreadsheetml/2006/main" id="4" name="Table4" displayName="Table4" ref="A41:F46" totalsRowShown="0" dataDxfId="125" dataCellStyle="Percent">
  <autoFilter ref="A41:F46"/>
  <tableColumns count="6">
    <tableColumn id="1" name="Promoter Holdings" dataDxfId="124">
      <calculatedColumnFormula>'Promoter Holding'!B92</calculatedColumnFormula>
    </tableColumn>
    <tableColumn id="2" name="2021" dataDxfId="123" dataCellStyle="Percent"/>
    <tableColumn id="3" name="Promoter Holdings2">
      <calculatedColumnFormula>'Promoter Holding'!B98</calculatedColumnFormula>
    </tableColumn>
    <tableColumn id="4" name="2022" dataDxfId="122" dataCellStyle="Percent">
      <calculatedColumnFormula>'Promoter Holding'!A98</calculatedColumnFormula>
    </tableColumn>
    <tableColumn id="5" name="Promoter Holdings3"/>
    <tableColumn id="6" name="2023" dataDxfId="121" dataCellStyle="Percent"/>
  </tableColumns>
  <tableStyleInfo name="TableStyleMedium2" showFirstColumn="0" showLastColumn="0" showRowStripes="1" showColumnStripes="0"/>
</table>
</file>

<file path=xl/tables/table8.xml><?xml version="1.0" encoding="utf-8"?>
<table xmlns="http://schemas.openxmlformats.org/spreadsheetml/2006/main" id="12" name="Table12" displayName="Table12" ref="A92:B94" totalsRowShown="0">
  <autoFilter ref="A92:B94">
    <filterColumn colId="0">
      <filters>
        <filter val="Credit Cost"/>
      </filters>
    </filterColumn>
  </autoFilter>
  <tableColumns count="2">
    <tableColumn id="1" name="Ratio"/>
    <tableColumn id="2" name="Statement"/>
  </tableColumns>
  <tableStyleInfo name="TableStyleMedium2" showFirstColumn="0" showLastColumn="0" showRowStripes="1" showColumnStripes="0"/>
</table>
</file>

<file path=xl/tables/table9.xml><?xml version="1.0" encoding="utf-8"?>
<table xmlns="http://schemas.openxmlformats.org/spreadsheetml/2006/main" id="1" name="Stock_2" displayName="Stock_2" ref="A1:C4" tableType="queryTable" totalsRowShown="0">
  <autoFilter ref="A1:C4"/>
  <tableColumns count="3">
    <tableColumn id="1" uniqueName="1" name="Column1" queryTableFieldId="1"/>
    <tableColumn id="2" uniqueName="2" name="Column2" queryTableFieldId="2"/>
    <tableColumn id="3" uniqueName="3" name="Column3" queryTableFieldId="3"/>
  </tableColumns>
  <tableStyleInfo name="TableStyleMedium7" showFirstColumn="0" showLastColumn="0" showRowStripes="1" showColumnStripes="0"/>
</table>
</file>

<file path=xl/tables/table10.xml><?xml version="1.0" encoding="utf-8"?>
<table xmlns="http://schemas.openxmlformats.org/spreadsheetml/2006/main" id="2" name="Stock" displayName="Stock" ref="A1:D4" tableType="queryTable" totalsRowShown="0">
  <autoFilter ref="A1:D4"/>
  <tableColumns count="4">
    <tableColumn id="4" uniqueName="4" name="NAME" queryTableFieldId="4"/>
    <tableColumn id="2" uniqueName="2" name="Column2" queryTableFieldId="2"/>
    <tableColumn id="3" uniqueName="3" name="Column3" queryTableFieldId="3"/>
    <tableColumn id="5" uniqueName="5" name="USECASE" queryTableFieldId="5"/>
  </tableColumns>
  <tableStyleInfo name="TableStyleMedium7" showFirstColumn="0" showLastColumn="0" showRowStripes="1" showColumnStripes="0"/>
</table>
</file>

<file path=xl/tables/table11.xml><?xml version="1.0" encoding="utf-8"?>
<table xmlns="http://schemas.openxmlformats.org/spreadsheetml/2006/main" id="10" name="Table10" displayName="Table10" ref="B3:C13" totalsRowShown="0">
  <autoFilter ref="B3:C13"/>
  <tableColumns count="2">
    <tableColumn id="1" name="Segment wise break up of AUM"/>
    <tableColumn id="2" name="Percentage of AUM" dataDxfId="120"/>
  </tableColumns>
  <tableStyleInfo name="TableStyleMedium2" showFirstColumn="0" showLastColumn="0" showRowStripes="1" showColumnStripes="0"/>
</table>
</file>

<file path=xl/tables/table12.xml><?xml version="1.0" encoding="utf-8"?>
<table xmlns="http://schemas.openxmlformats.org/spreadsheetml/2006/main" id="8" name="Poonawalla_20Fincorp_20GID_20__20KID_Short" displayName="Poonawalla_20Fincorp_20GID_20__20KID_Short" ref="A1:C6" tableType="queryTable" totalsRowShown="0">
  <autoFilter ref="A1:C6"/>
  <tableColumns count="3">
    <tableColumn id="11" uniqueName="11" name="Sl. No." queryTableFieldId="11"/>
    <tableColumn id="12" uniqueName="12" name="Top 5 states" queryTableFieldId="12"/>
    <tableColumn id="13" uniqueName="13" name="Percentage of AUM"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screener.in/people/47874/shaili-poddar/" TargetMode="External"/><Relationship Id="rId13" Type="http://schemas.openxmlformats.org/officeDocument/2006/relationships/hyperlink" Target="https://www.screener.in/people/8915/sbi-life-insurance-co-ltd/" TargetMode="External"/><Relationship Id="rId18" Type="http://schemas.openxmlformats.org/officeDocument/2006/relationships/hyperlink" Target="https://www.screener.in/people/123150/life-insurance-corporation-of-india/" TargetMode="External"/><Relationship Id="rId3" Type="http://schemas.openxmlformats.org/officeDocument/2006/relationships/hyperlink" Target="https://www.screener.in/people/47889/sanjay-chamria/" TargetMode="External"/><Relationship Id="rId21" Type="http://schemas.openxmlformats.org/officeDocument/2006/relationships/hyperlink" Target="https://www.screener.in/people/19333/max-life-insurance-company-limited-ac-ulif011080207lifegrwsup104-growth-super-fund/" TargetMode="External"/><Relationship Id="rId7" Type="http://schemas.openxmlformats.org/officeDocument/2006/relationships/hyperlink" Target="https://www.screener.in/people/47873/mansi-poddar/" TargetMode="External"/><Relationship Id="rId12" Type="http://schemas.openxmlformats.org/officeDocument/2006/relationships/hyperlink" Target="https://www.screener.in/people/245/bank-muscat-india-fund/" TargetMode="External"/><Relationship Id="rId17" Type="http://schemas.openxmlformats.org/officeDocument/2006/relationships/hyperlink" Target="https://www.screener.in/people/40363/quant-mutual-fund-quant-mid-cap-fund/" TargetMode="External"/><Relationship Id="rId25" Type="http://schemas.openxmlformats.org/officeDocument/2006/relationships/table" Target="../tables/table1.xml"/><Relationship Id="rId2" Type="http://schemas.openxmlformats.org/officeDocument/2006/relationships/hyperlink" Target="https://www.screener.in/people/47888/mayank-poddar/" TargetMode="External"/><Relationship Id="rId16" Type="http://schemas.openxmlformats.org/officeDocument/2006/relationships/hyperlink" Target="https://www.screener.in/people/124021/nippon-life-india-trustee-ltd-ac-nippon-india-small-cap-fund/" TargetMode="External"/><Relationship Id="rId20" Type="http://schemas.openxmlformats.org/officeDocument/2006/relationships/hyperlink" Target="https://www.screener.in/people/37249/nippon-life-india-trustee-ltd-ac/" TargetMode="External"/><Relationship Id="rId1" Type="http://schemas.openxmlformats.org/officeDocument/2006/relationships/hyperlink" Target="https://www.screener.in/people/47887/rising-sun-holdings-pvt-ltd/" TargetMode="External"/><Relationship Id="rId6" Type="http://schemas.openxmlformats.org/officeDocument/2006/relationships/hyperlink" Target="https://www.screener.in/people/47884/magma-consumer-finance-pvt-ltd/" TargetMode="External"/><Relationship Id="rId11" Type="http://schemas.openxmlformats.org/officeDocument/2006/relationships/hyperlink" Target="https://www.screener.in/people/74548/amansa-holdings-private-limited/" TargetMode="External"/><Relationship Id="rId24" Type="http://schemas.openxmlformats.org/officeDocument/2006/relationships/hyperlink" Target="https://www.screener.in/people/131505/bandhan-sterling-value-fund/" TargetMode="External"/><Relationship Id="rId5" Type="http://schemas.openxmlformats.org/officeDocument/2006/relationships/hyperlink" Target="https://www.screener.in/people/47866/celica-developers-pvt-ltd/" TargetMode="External"/><Relationship Id="rId15" Type="http://schemas.openxmlformats.org/officeDocument/2006/relationships/hyperlink" Target="https://www.screener.in/people/95523/aditya-birla-sun-life-trustee-private-limited-ac/" TargetMode="External"/><Relationship Id="rId23" Type="http://schemas.openxmlformats.org/officeDocument/2006/relationships/hyperlink" Target="https://www.screener.in/people/24724/max-life-insurance-co-ltd-ac-participating-fund/" TargetMode="External"/><Relationship Id="rId10" Type="http://schemas.openxmlformats.org/officeDocument/2006/relationships/hyperlink" Target="https://www.screener.in/people/47876/ashita-poddar/" TargetMode="External"/><Relationship Id="rId19" Type="http://schemas.openxmlformats.org/officeDocument/2006/relationships/hyperlink" Target="https://www.screener.in/people/25755/aditya-birla-sun-life-trustee-private-limited-ac-aditya-birla-sun-life-banking-and-financial-services-fund/" TargetMode="External"/><Relationship Id="rId4" Type="http://schemas.openxmlformats.org/officeDocument/2006/relationships/hyperlink" Target="https://www.screener.in/people/47865/microfirm-capital-private-limited/" TargetMode="External"/><Relationship Id="rId9" Type="http://schemas.openxmlformats.org/officeDocument/2006/relationships/hyperlink" Target="https://www.screener.in/people/47875/kalpana-poddar/" TargetMode="External"/><Relationship Id="rId14" Type="http://schemas.openxmlformats.org/officeDocument/2006/relationships/hyperlink" Target="https://www.screener.in/people/4532/nippon-life-india-trustee-ltd-ac-nippo/" TargetMode="External"/><Relationship Id="rId22" Type="http://schemas.openxmlformats.org/officeDocument/2006/relationships/hyperlink" Target="https://www.screener.in/people/47890/aditya-birla-sun-life-trustee-private-limite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9.xml"/><Relationship Id="rId1" Type="http://schemas.openxmlformats.org/officeDocument/2006/relationships/pivotTable" Target="../pivotTables/pivotTable2.xml"/><Relationship Id="rId6" Type="http://schemas.microsoft.com/office/2007/relationships/slicer" Target="../slicers/slicer3.xml"/><Relationship Id="rId5" Type="http://schemas.microsoft.com/office/2007/relationships/slicer" Target="../slicers/slicer2.xml"/><Relationship Id="rId4"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vmlDrawing" Target="../drawings/vmlDrawing2.vml"/><Relationship Id="rId7"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rinterSettings" Target="../printerSettings/printerSettings4.bin"/><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XFC156"/>
  <sheetViews>
    <sheetView showGridLines="0" tabSelected="1" zoomScale="78" workbookViewId="0">
      <selection activeCell="P17" sqref="P17"/>
    </sheetView>
  </sheetViews>
  <sheetFormatPr defaultRowHeight="14.4"/>
  <cols>
    <col min="1" max="1" width="1.77734375" style="1" customWidth="1"/>
    <col min="2" max="2" width="33.109375" customWidth="1"/>
    <col min="3" max="3" width="9.33203125" customWidth="1"/>
    <col min="12" max="12" width="16.109375" bestFit="1" customWidth="1"/>
    <col min="14" max="14" width="13.88671875" customWidth="1"/>
    <col min="15" max="15" width="8.77734375" style="8"/>
    <col min="17" max="17" width="13.109375" bestFit="1" customWidth="1"/>
    <col min="18" max="18" width="13.5546875" bestFit="1" customWidth="1"/>
    <col min="20" max="20" width="12.77734375" customWidth="1"/>
    <col min="25" max="25" width="33.44140625" customWidth="1"/>
  </cols>
  <sheetData>
    <row r="1" spans="2:61" ht="14.55" customHeight="1">
      <c r="B1" s="1"/>
      <c r="C1" s="153"/>
      <c r="D1" s="152"/>
      <c r="E1" s="139"/>
      <c r="F1" s="139"/>
      <c r="G1" s="139"/>
      <c r="H1" s="139"/>
      <c r="I1" s="139"/>
      <c r="J1" s="139"/>
      <c r="K1" s="140"/>
      <c r="L1" s="140"/>
      <c r="M1" s="140"/>
      <c r="N1" s="144"/>
      <c r="O1" s="5"/>
      <c r="P1" s="2"/>
      <c r="Q1" s="2"/>
      <c r="R1" s="297"/>
      <c r="S1" s="2"/>
      <c r="T1" s="2"/>
      <c r="U1" s="2"/>
      <c r="V1" s="2"/>
      <c r="W1" s="2"/>
      <c r="X1" s="2"/>
      <c r="Y1" s="5"/>
      <c r="Z1" s="2"/>
      <c r="AA1" s="2"/>
      <c r="AB1" s="2"/>
      <c r="AC1" s="2"/>
      <c r="AD1" s="2"/>
      <c r="AE1" s="2"/>
      <c r="AF1" s="2"/>
      <c r="AG1" s="289"/>
      <c r="AH1" s="395" t="s">
        <v>360</v>
      </c>
      <c r="AI1" s="396"/>
      <c r="AJ1" s="396"/>
      <c r="AK1" s="396"/>
      <c r="AL1" s="396"/>
      <c r="AM1" s="396"/>
      <c r="AN1" s="396"/>
      <c r="AO1" s="396"/>
      <c r="AP1" s="396"/>
      <c r="AQ1" s="396"/>
      <c r="AR1" s="396"/>
      <c r="AS1" s="396"/>
      <c r="AT1" s="396"/>
      <c r="AU1" s="396"/>
      <c r="AV1" s="145"/>
      <c r="AW1" s="398" t="s">
        <v>361</v>
      </c>
      <c r="AX1" s="399"/>
      <c r="AY1" s="399"/>
      <c r="AZ1" s="399"/>
      <c r="BA1" s="399"/>
      <c r="BB1" s="399"/>
      <c r="BC1" s="399"/>
      <c r="BD1" s="399"/>
      <c r="BE1" s="399"/>
      <c r="BF1" s="399"/>
      <c r="BG1" s="399"/>
      <c r="BH1" s="399"/>
      <c r="BI1" s="399"/>
    </row>
    <row r="2" spans="2:61" ht="14.55" customHeight="1">
      <c r="B2" s="141"/>
      <c r="C2" s="150"/>
      <c r="D2" s="140"/>
      <c r="E2" s="140"/>
      <c r="F2" s="140"/>
      <c r="G2" s="140"/>
      <c r="H2" s="140"/>
      <c r="I2" s="140"/>
      <c r="J2" s="140"/>
      <c r="K2" s="140"/>
      <c r="L2" s="140"/>
      <c r="M2" s="140"/>
      <c r="N2" s="146"/>
      <c r="O2" s="298"/>
      <c r="P2" s="2"/>
      <c r="Q2" s="2"/>
      <c r="R2" s="2"/>
      <c r="S2" s="2"/>
      <c r="T2" s="298"/>
      <c r="U2" s="299"/>
      <c r="V2" s="300"/>
      <c r="W2" s="300"/>
      <c r="X2" s="2"/>
      <c r="Y2" s="6"/>
      <c r="Z2" s="2"/>
      <c r="AA2" s="2"/>
      <c r="AB2" s="2"/>
      <c r="AC2" s="2"/>
      <c r="AD2" s="2"/>
      <c r="AE2" s="2"/>
      <c r="AF2" s="2"/>
      <c r="AG2" s="289"/>
      <c r="AH2" s="397"/>
      <c r="AI2" s="396"/>
      <c r="AJ2" s="396"/>
      <c r="AK2" s="396"/>
      <c r="AL2" s="396"/>
      <c r="AM2" s="396"/>
      <c r="AN2" s="396"/>
      <c r="AO2" s="396"/>
      <c r="AP2" s="396"/>
      <c r="AQ2" s="396"/>
      <c r="AR2" s="396"/>
      <c r="AS2" s="396"/>
      <c r="AT2" s="396"/>
      <c r="AU2" s="396"/>
      <c r="AV2" s="145"/>
      <c r="AW2" s="400"/>
      <c r="AX2" s="399"/>
      <c r="AY2" s="399"/>
      <c r="AZ2" s="399"/>
      <c r="BA2" s="399"/>
      <c r="BB2" s="399"/>
      <c r="BC2" s="399"/>
      <c r="BD2" s="399"/>
      <c r="BE2" s="399"/>
      <c r="BF2" s="399"/>
      <c r="BG2" s="399"/>
      <c r="BH2" s="399"/>
      <c r="BI2" s="399"/>
    </row>
    <row r="3" spans="2:61" ht="14.55" customHeight="1">
      <c r="B3" s="142"/>
      <c r="C3" s="150"/>
      <c r="D3" s="151"/>
      <c r="E3" s="151"/>
      <c r="F3" s="151"/>
      <c r="G3" s="151"/>
      <c r="H3" s="151"/>
      <c r="I3" s="151"/>
      <c r="J3" s="151"/>
      <c r="K3" s="140"/>
      <c r="L3" s="140"/>
      <c r="M3" s="140"/>
      <c r="N3" s="145"/>
      <c r="O3" s="298"/>
      <c r="P3" s="301"/>
      <c r="Q3" s="2"/>
      <c r="R3" s="2"/>
      <c r="S3" s="2"/>
      <c r="T3" s="302"/>
      <c r="U3" s="2"/>
      <c r="V3" s="2"/>
      <c r="W3" s="2"/>
      <c r="X3" s="2"/>
      <c r="Y3" s="6"/>
      <c r="Z3" s="2"/>
      <c r="AA3" s="2"/>
      <c r="AB3" s="2"/>
      <c r="AC3" s="2"/>
      <c r="AD3" s="2"/>
      <c r="AE3" s="2"/>
      <c r="AF3" s="2"/>
      <c r="AG3" s="289"/>
      <c r="AH3" s="397"/>
      <c r="AI3" s="396"/>
      <c r="AJ3" s="396"/>
      <c r="AK3" s="396"/>
      <c r="AL3" s="396"/>
      <c r="AM3" s="396"/>
      <c r="AN3" s="396"/>
      <c r="AO3" s="396"/>
      <c r="AP3" s="396"/>
      <c r="AQ3" s="396"/>
      <c r="AR3" s="396"/>
      <c r="AS3" s="396"/>
      <c r="AT3" s="396"/>
      <c r="AU3" s="396"/>
      <c r="AV3" s="145"/>
      <c r="AW3" s="400"/>
      <c r="AX3" s="399"/>
      <c r="AY3" s="399"/>
      <c r="AZ3" s="399"/>
      <c r="BA3" s="399"/>
      <c r="BB3" s="399"/>
      <c r="BC3" s="399"/>
      <c r="BD3" s="399"/>
      <c r="BE3" s="399"/>
      <c r="BF3" s="399"/>
      <c r="BG3" s="399"/>
      <c r="BH3" s="399"/>
      <c r="BI3" s="399"/>
    </row>
    <row r="4" spans="2:61" ht="14.55" customHeight="1">
      <c r="B4" s="150"/>
      <c r="C4" s="150"/>
      <c r="D4" s="140"/>
      <c r="E4" s="140"/>
      <c r="F4" s="140"/>
      <c r="G4" s="140"/>
      <c r="H4" s="140"/>
      <c r="I4" s="140"/>
      <c r="J4" s="140"/>
      <c r="K4" s="140"/>
      <c r="L4" s="140"/>
      <c r="M4" s="140"/>
      <c r="N4" s="145"/>
      <c r="O4" s="303"/>
      <c r="P4" s="2"/>
      <c r="Q4" s="2"/>
      <c r="R4" s="2"/>
      <c r="S4" s="2"/>
      <c r="T4" s="2"/>
      <c r="U4" s="2"/>
      <c r="V4" s="2"/>
      <c r="W4" s="2"/>
      <c r="X4" s="2"/>
      <c r="Y4" s="6"/>
      <c r="Z4" s="2"/>
      <c r="AA4" s="2"/>
      <c r="AB4" s="2"/>
      <c r="AC4" s="2"/>
      <c r="AD4" s="2"/>
      <c r="AE4" s="2"/>
      <c r="AF4" s="2"/>
      <c r="AG4" s="289"/>
      <c r="AH4" s="397"/>
      <c r="AI4" s="396"/>
      <c r="AJ4" s="396"/>
      <c r="AK4" s="396"/>
      <c r="AL4" s="396"/>
      <c r="AM4" s="396"/>
      <c r="AN4" s="396"/>
      <c r="AO4" s="396"/>
      <c r="AP4" s="396"/>
      <c r="AQ4" s="396"/>
      <c r="AR4" s="396"/>
      <c r="AS4" s="396"/>
      <c r="AT4" s="396"/>
      <c r="AU4" s="396"/>
      <c r="AV4" s="145"/>
      <c r="AW4" s="400"/>
      <c r="AX4" s="399"/>
      <c r="AY4" s="399"/>
      <c r="AZ4" s="399"/>
      <c r="BA4" s="399"/>
      <c r="BB4" s="399"/>
      <c r="BC4" s="399"/>
      <c r="BD4" s="399"/>
      <c r="BE4" s="399"/>
      <c r="BF4" s="399"/>
      <c r="BG4" s="399"/>
      <c r="BH4" s="399"/>
      <c r="BI4" s="399"/>
    </row>
    <row r="5" spans="2:61" ht="14.55" customHeight="1">
      <c r="B5" s="150"/>
      <c r="C5" s="150"/>
      <c r="D5" s="140"/>
      <c r="E5" s="140"/>
      <c r="F5" s="140"/>
      <c r="G5" s="140"/>
      <c r="H5" s="140"/>
      <c r="I5" s="140"/>
      <c r="J5" s="140"/>
      <c r="K5" s="140"/>
      <c r="L5" s="140"/>
      <c r="M5" s="140"/>
      <c r="N5" s="145"/>
      <c r="O5" s="303"/>
      <c r="P5" s="301"/>
      <c r="Q5" s="2"/>
      <c r="R5" s="2"/>
      <c r="S5" s="2"/>
      <c r="T5" s="302"/>
      <c r="U5" s="2"/>
      <c r="V5" s="2"/>
      <c r="W5" s="2"/>
      <c r="X5" s="2"/>
      <c r="Y5" s="6"/>
      <c r="Z5" s="2"/>
      <c r="AA5" s="2"/>
      <c r="AB5" s="2"/>
      <c r="AC5" s="2"/>
      <c r="AD5" s="2"/>
      <c r="AE5" s="2"/>
      <c r="AF5" s="2"/>
      <c r="AG5" s="289"/>
      <c r="AH5" s="397"/>
      <c r="AI5" s="396"/>
      <c r="AJ5" s="396"/>
      <c r="AK5" s="396"/>
      <c r="AL5" s="396"/>
      <c r="AM5" s="396"/>
      <c r="AN5" s="396"/>
      <c r="AO5" s="396"/>
      <c r="AP5" s="396"/>
      <c r="AQ5" s="396"/>
      <c r="AR5" s="396"/>
      <c r="AS5" s="396"/>
      <c r="AT5" s="396"/>
      <c r="AU5" s="396"/>
      <c r="AV5" s="145"/>
      <c r="AW5" s="400"/>
      <c r="AX5" s="399"/>
      <c r="AY5" s="399"/>
      <c r="AZ5" s="399"/>
      <c r="BA5" s="399"/>
      <c r="BB5" s="399"/>
      <c r="BC5" s="399"/>
      <c r="BD5" s="399"/>
      <c r="BE5" s="399"/>
      <c r="BF5" s="399"/>
      <c r="BG5" s="399"/>
      <c r="BH5" s="399"/>
      <c r="BI5" s="399"/>
    </row>
    <row r="6" spans="2:61" ht="14.55" customHeight="1">
      <c r="B6" s="150"/>
      <c r="C6" s="150"/>
      <c r="D6" s="140"/>
      <c r="E6" s="140"/>
      <c r="F6" s="140"/>
      <c r="G6" s="140"/>
      <c r="H6" s="140"/>
      <c r="I6" s="140"/>
      <c r="J6" s="140"/>
      <c r="K6" s="140"/>
      <c r="L6" s="140"/>
      <c r="M6" s="140"/>
      <c r="N6" s="145"/>
      <c r="O6" s="303"/>
      <c r="P6" s="2"/>
      <c r="Q6" s="2"/>
      <c r="R6" s="2"/>
      <c r="S6" s="2"/>
      <c r="T6" s="2"/>
      <c r="U6" s="2"/>
      <c r="V6" s="2"/>
      <c r="W6" s="2"/>
      <c r="X6" s="2"/>
      <c r="Y6" s="6"/>
      <c r="Z6" s="2"/>
      <c r="AA6" s="2"/>
      <c r="AB6" s="2"/>
      <c r="AC6" s="2"/>
      <c r="AD6" s="2"/>
      <c r="AE6" s="2"/>
      <c r="AF6" s="2"/>
      <c r="AG6" s="289"/>
      <c r="AH6" s="397"/>
      <c r="AI6" s="396"/>
      <c r="AJ6" s="396"/>
      <c r="AK6" s="396"/>
      <c r="AL6" s="396"/>
      <c r="AM6" s="396"/>
      <c r="AN6" s="396"/>
      <c r="AO6" s="396"/>
      <c r="AP6" s="396"/>
      <c r="AQ6" s="396"/>
      <c r="AR6" s="396"/>
      <c r="AS6" s="396"/>
      <c r="AT6" s="396"/>
      <c r="AU6" s="396"/>
      <c r="AV6" s="145"/>
      <c r="AW6" s="400"/>
      <c r="AX6" s="399"/>
      <c r="AY6" s="399"/>
      <c r="AZ6" s="399"/>
      <c r="BA6" s="399"/>
      <c r="BB6" s="399"/>
      <c r="BC6" s="399"/>
      <c r="BD6" s="399"/>
      <c r="BE6" s="399"/>
      <c r="BF6" s="399"/>
      <c r="BG6" s="399"/>
      <c r="BH6" s="399"/>
      <c r="BI6" s="399"/>
    </row>
    <row r="7" spans="2:61" ht="14.55" customHeight="1">
      <c r="B7" s="150"/>
      <c r="C7" s="150"/>
      <c r="D7" s="140"/>
      <c r="E7" s="140"/>
      <c r="F7" s="140"/>
      <c r="G7" s="140"/>
      <c r="H7" s="140"/>
      <c r="I7" s="140"/>
      <c r="J7" s="140"/>
      <c r="K7" s="140"/>
      <c r="L7" s="140"/>
      <c r="M7" s="140"/>
      <c r="N7" s="145"/>
      <c r="O7" s="303"/>
      <c r="P7" s="301"/>
      <c r="Q7" s="2"/>
      <c r="R7" s="2"/>
      <c r="S7" s="2"/>
      <c r="T7" s="302"/>
      <c r="U7" s="2"/>
      <c r="V7" s="2"/>
      <c r="W7" s="2"/>
      <c r="X7" s="2"/>
      <c r="Y7" s="6"/>
      <c r="Z7" s="2"/>
      <c r="AA7" s="2"/>
      <c r="AB7" s="2"/>
      <c r="AC7" s="2"/>
      <c r="AD7" s="2"/>
      <c r="AE7" s="2"/>
      <c r="AF7" s="2"/>
      <c r="AG7" s="289"/>
      <c r="AH7" s="397"/>
      <c r="AI7" s="396"/>
      <c r="AJ7" s="396"/>
      <c r="AK7" s="396"/>
      <c r="AL7" s="396"/>
      <c r="AM7" s="396"/>
      <c r="AN7" s="396"/>
      <c r="AO7" s="396"/>
      <c r="AP7" s="396"/>
      <c r="AQ7" s="396"/>
      <c r="AR7" s="396"/>
      <c r="AS7" s="396"/>
      <c r="AT7" s="396"/>
      <c r="AU7" s="396"/>
      <c r="AV7" s="145"/>
      <c r="AW7" s="400"/>
      <c r="AX7" s="399"/>
      <c r="AY7" s="399"/>
      <c r="AZ7" s="399"/>
      <c r="BA7" s="399"/>
      <c r="BB7" s="399"/>
      <c r="BC7" s="399"/>
      <c r="BD7" s="399"/>
      <c r="BE7" s="399"/>
      <c r="BF7" s="399"/>
      <c r="BG7" s="399"/>
      <c r="BH7" s="399"/>
      <c r="BI7" s="399"/>
    </row>
    <row r="8" spans="2:61" ht="14.55" customHeight="1">
      <c r="B8" s="150"/>
      <c r="C8" s="150"/>
      <c r="D8" s="140"/>
      <c r="E8" s="140"/>
      <c r="F8" s="140"/>
      <c r="G8" s="140"/>
      <c r="H8" s="140"/>
      <c r="I8" s="140"/>
      <c r="J8" s="140"/>
      <c r="K8" s="140"/>
      <c r="L8" s="140"/>
      <c r="M8" s="140"/>
      <c r="N8" s="145"/>
      <c r="O8" s="303"/>
      <c r="P8" s="2"/>
      <c r="Q8" s="2"/>
      <c r="R8" s="2"/>
      <c r="S8" s="2"/>
      <c r="T8" s="2"/>
      <c r="U8" s="2"/>
      <c r="V8" s="2"/>
      <c r="W8" s="2"/>
      <c r="X8" s="2"/>
      <c r="Y8" s="6"/>
      <c r="Z8" s="2"/>
      <c r="AA8" s="2"/>
      <c r="AB8" s="2"/>
      <c r="AC8" s="2"/>
      <c r="AD8" s="2"/>
      <c r="AE8" s="2"/>
      <c r="AF8" s="2"/>
      <c r="AG8" s="289"/>
      <c r="AH8" s="397"/>
      <c r="AI8" s="396"/>
      <c r="AJ8" s="396"/>
      <c r="AK8" s="396"/>
      <c r="AL8" s="396"/>
      <c r="AM8" s="396"/>
      <c r="AN8" s="396"/>
      <c r="AO8" s="396"/>
      <c r="AP8" s="396"/>
      <c r="AQ8" s="396"/>
      <c r="AR8" s="396"/>
      <c r="AS8" s="396"/>
      <c r="AT8" s="396"/>
      <c r="AU8" s="396"/>
      <c r="AV8" s="145"/>
      <c r="AW8" s="400"/>
      <c r="AX8" s="399"/>
      <c r="AY8" s="399"/>
      <c r="AZ8" s="399"/>
      <c r="BA8" s="399"/>
      <c r="BB8" s="399"/>
      <c r="BC8" s="399"/>
      <c r="BD8" s="399"/>
      <c r="BE8" s="399"/>
      <c r="BF8" s="399"/>
      <c r="BG8" s="399"/>
      <c r="BH8" s="399"/>
      <c r="BI8" s="399"/>
    </row>
    <row r="9" spans="2:61" ht="14.55" customHeight="1">
      <c r="B9" s="154">
        <f>STOCK!C7</f>
        <v>348.5</v>
      </c>
      <c r="C9" s="167">
        <f>STOCK!B10</f>
        <v>2.3008340523440075E-3</v>
      </c>
      <c r="D9" s="140"/>
      <c r="E9" s="140"/>
      <c r="F9" s="140"/>
      <c r="G9" s="140"/>
      <c r="H9" s="140"/>
      <c r="I9" s="140"/>
      <c r="J9" s="140"/>
      <c r="K9" s="140"/>
      <c r="L9" s="140"/>
      <c r="M9" s="140"/>
      <c r="N9" s="145"/>
      <c r="O9" s="298"/>
      <c r="P9" s="301"/>
      <c r="Q9" s="2"/>
      <c r="R9" s="2"/>
      <c r="S9" s="2"/>
      <c r="T9" s="302"/>
      <c r="U9" s="2"/>
      <c r="V9" s="2"/>
      <c r="W9" s="2"/>
      <c r="X9" s="2"/>
      <c r="Y9" s="6"/>
      <c r="Z9" s="2"/>
      <c r="AA9" s="2"/>
      <c r="AB9" s="2"/>
      <c r="AC9" s="2"/>
      <c r="AD9" s="2"/>
      <c r="AE9" s="2"/>
      <c r="AF9" s="2"/>
      <c r="AG9" s="289"/>
      <c r="AH9" s="397"/>
      <c r="AI9" s="396"/>
      <c r="AJ9" s="396"/>
      <c r="AK9" s="396"/>
      <c r="AL9" s="396"/>
      <c r="AM9" s="396"/>
      <c r="AN9" s="396"/>
      <c r="AO9" s="396"/>
      <c r="AP9" s="396"/>
      <c r="AQ9" s="396"/>
      <c r="AR9" s="396"/>
      <c r="AS9" s="396"/>
      <c r="AT9" s="396"/>
      <c r="AU9" s="396"/>
      <c r="AV9" s="145"/>
      <c r="AW9" s="400"/>
      <c r="AX9" s="399"/>
      <c r="AY9" s="399"/>
      <c r="AZ9" s="399"/>
      <c r="BA9" s="399"/>
      <c r="BB9" s="399"/>
      <c r="BC9" s="399"/>
      <c r="BD9" s="399"/>
      <c r="BE9" s="399"/>
      <c r="BF9" s="399"/>
      <c r="BG9" s="399"/>
      <c r="BH9" s="399"/>
      <c r="BI9" s="399"/>
    </row>
    <row r="10" spans="2:61" ht="14.55" customHeight="1">
      <c r="B10" s="156">
        <f>STOCK!C8</f>
        <v>23632.85</v>
      </c>
      <c r="C10" s="167">
        <f>STOCK!B11</f>
        <v>-1.5462970199984444E-3</v>
      </c>
      <c r="D10" s="140"/>
      <c r="E10" s="140"/>
      <c r="F10" s="140"/>
      <c r="G10" s="140"/>
      <c r="H10" s="140"/>
      <c r="I10" s="140"/>
      <c r="J10" s="140"/>
      <c r="K10" s="140"/>
      <c r="L10" s="140"/>
      <c r="M10" s="140"/>
      <c r="N10" s="145"/>
      <c r="O10" s="298"/>
      <c r="P10" s="301"/>
      <c r="Q10" s="2"/>
      <c r="R10" s="2"/>
      <c r="S10" s="2"/>
      <c r="T10" s="302"/>
      <c r="U10" s="2"/>
      <c r="V10" s="2"/>
      <c r="W10" s="2"/>
      <c r="X10" s="2"/>
      <c r="Y10" s="6"/>
      <c r="Z10" s="2"/>
      <c r="AA10" s="2"/>
      <c r="AB10" s="2"/>
      <c r="AC10" s="2"/>
      <c r="AD10" s="2"/>
      <c r="AE10" s="2"/>
      <c r="AF10" s="2"/>
      <c r="AG10" s="289"/>
      <c r="AH10" s="397"/>
      <c r="AI10" s="396"/>
      <c r="AJ10" s="396"/>
      <c r="AK10" s="396"/>
      <c r="AL10" s="396"/>
      <c r="AM10" s="396"/>
      <c r="AN10" s="396"/>
      <c r="AO10" s="396"/>
      <c r="AP10" s="396"/>
      <c r="AQ10" s="396"/>
      <c r="AR10" s="396"/>
      <c r="AS10" s="396"/>
      <c r="AT10" s="396"/>
      <c r="AU10" s="396"/>
      <c r="AV10" s="145"/>
      <c r="AW10" s="400"/>
      <c r="AX10" s="399"/>
      <c r="AY10" s="399"/>
      <c r="AZ10" s="399"/>
      <c r="BA10" s="399"/>
      <c r="BB10" s="399"/>
      <c r="BC10" s="399"/>
      <c r="BD10" s="399"/>
      <c r="BE10" s="399"/>
      <c r="BF10" s="399"/>
      <c r="BG10" s="399"/>
      <c r="BH10" s="399"/>
      <c r="BI10" s="399"/>
    </row>
    <row r="11" spans="2:61" ht="14.55" customHeight="1">
      <c r="B11" s="150"/>
      <c r="C11" s="150"/>
      <c r="D11" s="140"/>
      <c r="E11" s="140"/>
      <c r="F11" s="140"/>
      <c r="G11" s="140"/>
      <c r="H11" s="140"/>
      <c r="I11" s="140"/>
      <c r="J11" s="140"/>
      <c r="K11" s="140"/>
      <c r="L11" s="140"/>
      <c r="M11" s="140"/>
      <c r="N11" s="145"/>
      <c r="O11" s="298"/>
      <c r="P11" s="2"/>
      <c r="Q11" s="2"/>
      <c r="R11" s="2"/>
      <c r="S11" s="2"/>
      <c r="T11" s="2"/>
      <c r="U11" s="2"/>
      <c r="V11" s="2"/>
      <c r="W11" s="2"/>
      <c r="X11" s="2"/>
      <c r="Y11" s="6"/>
      <c r="Z11" s="2"/>
      <c r="AA11" s="2"/>
      <c r="AB11" s="2"/>
      <c r="AC11" s="2"/>
      <c r="AD11" s="2"/>
      <c r="AE11" s="2"/>
      <c r="AF11" s="2"/>
      <c r="AG11" s="289"/>
      <c r="AH11" s="397"/>
      <c r="AI11" s="396"/>
      <c r="AJ11" s="396"/>
      <c r="AK11" s="396"/>
      <c r="AL11" s="396"/>
      <c r="AM11" s="396"/>
      <c r="AN11" s="396"/>
      <c r="AO11" s="396"/>
      <c r="AP11" s="396"/>
      <c r="AQ11" s="396"/>
      <c r="AR11" s="396"/>
      <c r="AS11" s="396"/>
      <c r="AT11" s="396"/>
      <c r="AU11" s="396"/>
      <c r="AV11" s="145"/>
      <c r="AW11" s="400"/>
      <c r="AX11" s="399"/>
      <c r="AY11" s="399"/>
      <c r="AZ11" s="399"/>
      <c r="BA11" s="399"/>
      <c r="BB11" s="399"/>
      <c r="BC11" s="399"/>
      <c r="BD11" s="399"/>
      <c r="BE11" s="399"/>
      <c r="BF11" s="399"/>
      <c r="BG11" s="399"/>
      <c r="BH11" s="399"/>
      <c r="BI11" s="399"/>
    </row>
    <row r="12" spans="2:61" ht="14.55" customHeight="1">
      <c r="B12" s="150"/>
      <c r="C12" s="150"/>
      <c r="D12" s="140"/>
      <c r="E12" s="140"/>
      <c r="F12" s="140"/>
      <c r="G12" s="140"/>
      <c r="H12" s="140"/>
      <c r="I12" s="140"/>
      <c r="J12" s="140"/>
      <c r="K12" s="140"/>
      <c r="L12" s="140"/>
      <c r="M12" s="140"/>
      <c r="N12" s="145"/>
      <c r="O12" s="298"/>
      <c r="P12" s="301"/>
      <c r="Q12" s="2"/>
      <c r="R12" s="2"/>
      <c r="S12" s="2"/>
      <c r="T12" s="302"/>
      <c r="U12" s="2"/>
      <c r="V12" s="2"/>
      <c r="W12" s="2"/>
      <c r="X12" s="2"/>
      <c r="Y12" s="6"/>
      <c r="Z12" s="2"/>
      <c r="AA12" s="2"/>
      <c r="AB12" s="2"/>
      <c r="AC12" s="2"/>
      <c r="AD12" s="2"/>
      <c r="AE12" s="2"/>
      <c r="AF12" s="2"/>
      <c r="AG12" s="289"/>
      <c r="AH12" s="397"/>
      <c r="AI12" s="396"/>
      <c r="AJ12" s="396"/>
      <c r="AK12" s="396"/>
      <c r="AL12" s="396"/>
      <c r="AM12" s="396"/>
      <c r="AN12" s="396"/>
      <c r="AO12" s="396"/>
      <c r="AP12" s="396"/>
      <c r="AQ12" s="396"/>
      <c r="AR12" s="396"/>
      <c r="AS12" s="396"/>
      <c r="AT12" s="396"/>
      <c r="AU12" s="396"/>
      <c r="AV12" s="145"/>
      <c r="AW12" s="400"/>
      <c r="AX12" s="399"/>
      <c r="AY12" s="399"/>
      <c r="AZ12" s="399"/>
      <c r="BA12" s="399"/>
      <c r="BB12" s="399"/>
      <c r="BC12" s="399"/>
      <c r="BD12" s="399"/>
      <c r="BE12" s="399"/>
      <c r="BF12" s="399"/>
      <c r="BG12" s="399"/>
      <c r="BH12" s="399"/>
      <c r="BI12" s="399"/>
    </row>
    <row r="13" spans="2:61" ht="14.55" customHeight="1">
      <c r="B13" s="409" t="s">
        <v>67</v>
      </c>
      <c r="C13" s="409"/>
      <c r="D13" s="409"/>
      <c r="E13" s="409"/>
      <c r="F13" s="409"/>
      <c r="G13" s="409"/>
      <c r="H13" s="409"/>
      <c r="I13" s="409"/>
      <c r="J13" s="409"/>
      <c r="K13" s="3"/>
      <c r="L13" s="3"/>
      <c r="M13" s="3"/>
      <c r="N13" s="3"/>
      <c r="O13" s="376" t="s">
        <v>312</v>
      </c>
      <c r="P13" s="377"/>
      <c r="Q13" s="377"/>
      <c r="R13" s="377"/>
      <c r="S13" s="377"/>
      <c r="T13" s="377"/>
      <c r="U13" s="377"/>
      <c r="V13" s="377"/>
      <c r="W13" s="377"/>
      <c r="X13" s="403"/>
      <c r="Y13" s="376" t="s">
        <v>37</v>
      </c>
      <c r="Z13" s="377"/>
      <c r="AA13" s="377"/>
      <c r="AB13" s="3"/>
      <c r="AC13" s="3"/>
      <c r="AD13" s="3"/>
      <c r="AE13" s="3"/>
      <c r="AF13" s="3"/>
      <c r="AG13" s="344"/>
      <c r="AH13" s="3"/>
      <c r="AI13" s="3"/>
      <c r="AJ13" s="3"/>
      <c r="AK13" s="3"/>
      <c r="AL13" s="3"/>
      <c r="AM13" s="3"/>
      <c r="AN13" s="3"/>
      <c r="AO13" s="3"/>
      <c r="AP13" s="3"/>
      <c r="AQ13" s="3"/>
      <c r="AR13" s="3"/>
      <c r="AS13" s="3"/>
      <c r="AT13" s="3"/>
      <c r="AU13" s="3"/>
      <c r="AV13" s="3"/>
      <c r="AW13" s="3"/>
      <c r="AX13" s="3"/>
      <c r="AY13" s="3"/>
      <c r="AZ13" s="3"/>
      <c r="BA13" s="3"/>
      <c r="BB13" s="3"/>
      <c r="BC13" s="3"/>
      <c r="BD13" s="3"/>
    </row>
    <row r="14" spans="2:61" ht="20.55" customHeight="1">
      <c r="B14" s="409"/>
      <c r="C14" s="409"/>
      <c r="D14" s="409"/>
      <c r="E14" s="409"/>
      <c r="F14" s="409"/>
      <c r="G14" s="409"/>
      <c r="H14" s="409"/>
      <c r="I14" s="409"/>
      <c r="J14" s="409"/>
      <c r="K14" s="3"/>
      <c r="L14" s="3"/>
      <c r="M14" s="3"/>
      <c r="N14" s="3"/>
      <c r="O14" s="376"/>
      <c r="P14" s="377"/>
      <c r="Q14" s="377"/>
      <c r="R14" s="377"/>
      <c r="S14" s="377"/>
      <c r="T14" s="377"/>
      <c r="U14" s="377"/>
      <c r="V14" s="377"/>
      <c r="W14" s="377"/>
      <c r="X14" s="403"/>
      <c r="Y14" s="376"/>
      <c r="Z14" s="377"/>
      <c r="AA14" s="377"/>
      <c r="AB14" s="3"/>
      <c r="AC14" s="3"/>
      <c r="AD14" s="3"/>
      <c r="AE14" s="3"/>
      <c r="AF14" s="3"/>
      <c r="AG14" s="344"/>
      <c r="AH14" s="3"/>
      <c r="AI14" s="3"/>
      <c r="AJ14" s="3"/>
      <c r="AK14" s="3"/>
      <c r="AL14" s="3"/>
      <c r="AM14" s="3"/>
      <c r="AN14" s="3"/>
      <c r="AO14" s="3"/>
      <c r="AP14" s="3"/>
      <c r="AQ14" s="3"/>
      <c r="AR14" s="3"/>
      <c r="AS14" s="3"/>
      <c r="AT14" s="3"/>
      <c r="AU14" s="3"/>
      <c r="AV14" s="3"/>
      <c r="AW14" s="3"/>
      <c r="AX14" s="3"/>
      <c r="AY14" s="3"/>
      <c r="AZ14" s="3"/>
      <c r="BA14" s="3"/>
      <c r="BB14" s="3"/>
      <c r="BC14" s="3"/>
      <c r="BD14" s="3"/>
    </row>
    <row r="15" spans="2:61">
      <c r="B15" s="4"/>
      <c r="C15" s="4"/>
      <c r="D15" s="4"/>
      <c r="E15" s="4"/>
      <c r="F15" s="4"/>
      <c r="G15" s="4"/>
      <c r="H15" s="4"/>
      <c r="I15" s="4"/>
      <c r="J15" s="4"/>
      <c r="K15" s="4"/>
      <c r="L15" s="4"/>
      <c r="M15" s="4"/>
      <c r="N15" s="4"/>
      <c r="O15" s="380"/>
      <c r="P15" s="381"/>
      <c r="Q15" s="381"/>
      <c r="R15" s="382"/>
      <c r="S15" s="382"/>
      <c r="T15" s="382"/>
      <c r="U15" s="383"/>
      <c r="V15" s="383"/>
      <c r="W15" s="383"/>
      <c r="X15" s="384"/>
      <c r="Y15" s="7"/>
      <c r="Z15" s="4"/>
      <c r="AA15" s="4"/>
      <c r="AB15" s="4"/>
      <c r="AC15" s="4"/>
      <c r="AD15" s="4"/>
      <c r="AE15" s="4"/>
      <c r="AF15" s="4"/>
      <c r="AG15" s="119"/>
      <c r="AH15" s="4"/>
      <c r="AI15" s="4"/>
      <c r="AJ15" s="4"/>
      <c r="AK15" s="4"/>
      <c r="AL15" s="4"/>
      <c r="AM15" s="4"/>
      <c r="AN15" s="4"/>
      <c r="AO15" s="4"/>
      <c r="AP15" s="4"/>
      <c r="AQ15" s="4"/>
      <c r="AR15" s="4"/>
      <c r="AS15" s="4"/>
      <c r="AT15" s="4"/>
      <c r="AU15" s="4"/>
      <c r="AV15" s="4"/>
      <c r="AW15" s="4"/>
      <c r="AX15" s="4"/>
      <c r="AY15" s="4"/>
      <c r="AZ15" s="4"/>
      <c r="BA15" s="4"/>
      <c r="BB15" s="4"/>
      <c r="BC15" s="4"/>
      <c r="BD15" s="4"/>
    </row>
    <row r="16" spans="2:61">
      <c r="B16" s="4"/>
      <c r="C16" s="4"/>
      <c r="D16" s="4"/>
      <c r="E16" s="4"/>
      <c r="F16" s="4"/>
      <c r="G16" s="4"/>
      <c r="H16" s="4"/>
      <c r="I16" s="4"/>
      <c r="J16" s="4"/>
      <c r="K16" s="4"/>
      <c r="L16" s="4"/>
      <c r="M16" s="4"/>
      <c r="N16" s="4"/>
      <c r="O16" s="7"/>
      <c r="P16" s="4"/>
      <c r="Q16" s="4"/>
      <c r="R16" s="4"/>
      <c r="S16" s="4"/>
      <c r="T16" s="4"/>
      <c r="U16" s="4"/>
      <c r="V16" s="4"/>
      <c r="W16" s="4"/>
      <c r="X16" s="4"/>
      <c r="Y16" s="7"/>
      <c r="Z16" s="4"/>
      <c r="AA16" s="4"/>
      <c r="AB16" s="4"/>
      <c r="AC16" s="4"/>
      <c r="AD16" s="4"/>
      <c r="AE16" s="4"/>
      <c r="AF16" s="4"/>
      <c r="AG16" s="119"/>
      <c r="AH16" s="4"/>
      <c r="AI16" s="4"/>
      <c r="AJ16" s="4"/>
      <c r="AK16" s="4"/>
      <c r="AL16" s="4"/>
      <c r="AM16" s="4"/>
      <c r="AN16" s="4"/>
      <c r="AO16" s="4"/>
      <c r="AP16" s="4"/>
      <c r="AQ16" s="4"/>
      <c r="AR16" s="4"/>
      <c r="AS16" s="4"/>
      <c r="AT16" s="4"/>
      <c r="AU16" s="4"/>
      <c r="AV16" s="4"/>
      <c r="AW16" s="4"/>
      <c r="AX16" s="4"/>
      <c r="AY16" s="4"/>
      <c r="AZ16" s="4"/>
      <c r="BA16" s="4"/>
      <c r="BB16" s="4"/>
      <c r="BC16" s="4"/>
      <c r="BD16" s="4"/>
    </row>
    <row r="17" spans="1:16383">
      <c r="B17" s="4"/>
      <c r="C17" s="4"/>
      <c r="D17" s="4"/>
      <c r="E17" s="4"/>
      <c r="F17" s="4"/>
      <c r="G17" s="4"/>
      <c r="H17" s="4"/>
      <c r="I17" s="4"/>
      <c r="J17" s="4"/>
      <c r="K17" s="4"/>
      <c r="L17" s="4"/>
      <c r="M17" s="4"/>
      <c r="N17" s="4"/>
      <c r="O17" s="7"/>
      <c r="P17" s="4"/>
      <c r="Q17" s="4"/>
      <c r="R17" s="4"/>
      <c r="S17" s="4"/>
      <c r="T17" s="4"/>
      <c r="U17" s="4"/>
      <c r="V17" s="4"/>
      <c r="W17" s="4"/>
      <c r="X17" s="4"/>
      <c r="Y17" s="7"/>
      <c r="Z17" s="4"/>
      <c r="AA17" s="4"/>
      <c r="AB17" s="4"/>
      <c r="AC17" s="4"/>
      <c r="AD17" s="4"/>
      <c r="AE17" s="4"/>
      <c r="AF17" s="4"/>
      <c r="AG17" s="119"/>
      <c r="AH17" s="4"/>
      <c r="AI17" s="4"/>
      <c r="AJ17" s="4"/>
      <c r="AK17" s="4"/>
      <c r="AL17" s="4"/>
      <c r="AM17" s="4"/>
      <c r="AN17" s="4"/>
      <c r="AO17" s="4"/>
      <c r="AP17" s="4"/>
      <c r="AQ17" s="4"/>
      <c r="AR17" s="4"/>
      <c r="AS17" s="4"/>
      <c r="AT17" s="4"/>
      <c r="AU17" s="4"/>
      <c r="AV17" s="4"/>
      <c r="AW17" s="4"/>
      <c r="AX17" s="4"/>
      <c r="AY17" s="4"/>
      <c r="AZ17" s="4"/>
      <c r="BA17" s="4"/>
      <c r="BB17" s="4"/>
      <c r="BC17" s="4"/>
      <c r="BD17" s="4"/>
    </row>
    <row r="18" spans="1:16383">
      <c r="B18" s="4"/>
      <c r="C18" s="4"/>
      <c r="D18" s="4"/>
      <c r="E18" s="4"/>
      <c r="F18" s="4"/>
      <c r="G18" s="4"/>
      <c r="H18" s="4"/>
      <c r="I18" s="4"/>
      <c r="J18" s="4"/>
      <c r="L18" s="4"/>
      <c r="M18" s="4"/>
      <c r="N18" s="4"/>
      <c r="O18" s="7"/>
      <c r="P18" s="4"/>
      <c r="Q18" s="4"/>
      <c r="R18" s="4"/>
      <c r="S18" s="4"/>
      <c r="T18" s="4"/>
      <c r="U18" s="4"/>
      <c r="V18" s="4"/>
      <c r="W18" s="4"/>
      <c r="X18" s="4"/>
      <c r="Y18" s="7"/>
      <c r="Z18" s="4"/>
      <c r="AA18" s="4"/>
      <c r="AB18" s="4"/>
      <c r="AC18" s="4"/>
      <c r="AD18" s="4"/>
      <c r="AE18" s="4"/>
      <c r="AF18" s="4"/>
      <c r="AG18" s="119"/>
      <c r="AH18" s="4"/>
      <c r="AI18" s="4"/>
      <c r="AJ18" s="4"/>
      <c r="AK18" s="4"/>
      <c r="AL18" s="4"/>
      <c r="AM18" s="4"/>
      <c r="AN18" s="4"/>
      <c r="AO18" s="4"/>
      <c r="AP18" s="4"/>
      <c r="AQ18" s="4"/>
      <c r="AR18" s="4"/>
      <c r="AS18" s="4"/>
      <c r="AT18" s="4"/>
      <c r="AU18" s="4"/>
      <c r="AV18" s="4"/>
      <c r="AW18" s="4"/>
      <c r="AX18" s="4"/>
      <c r="AY18" s="4"/>
      <c r="AZ18" s="4"/>
      <c r="BA18" s="4"/>
      <c r="BB18" s="4"/>
      <c r="BC18" s="4"/>
      <c r="BD18" s="4"/>
    </row>
    <row r="19" spans="1:16383">
      <c r="B19" s="4"/>
      <c r="C19" s="4"/>
      <c r="D19" s="4"/>
      <c r="E19" s="4"/>
      <c r="F19" s="4"/>
      <c r="G19" s="4"/>
      <c r="H19" s="4"/>
      <c r="I19" s="4"/>
      <c r="J19" s="4"/>
      <c r="K19" s="4"/>
      <c r="L19" s="4"/>
      <c r="M19" s="4"/>
      <c r="N19" s="4"/>
      <c r="O19" s="7"/>
      <c r="P19" s="4"/>
      <c r="Q19" s="4"/>
      <c r="R19" s="4"/>
      <c r="S19" s="4"/>
      <c r="T19" s="4"/>
      <c r="U19" s="4"/>
      <c r="V19" s="4"/>
      <c r="W19" s="4"/>
      <c r="X19" s="4"/>
      <c r="Y19" s="7"/>
      <c r="Z19" s="4"/>
      <c r="AA19" s="4"/>
      <c r="AB19" s="4"/>
      <c r="AC19" s="4"/>
      <c r="AD19" s="4"/>
      <c r="AE19" s="4"/>
      <c r="AF19" s="4"/>
      <c r="AG19" s="119"/>
      <c r="AH19" s="4"/>
      <c r="AI19" s="4"/>
      <c r="AJ19" s="4"/>
      <c r="AK19" s="4"/>
      <c r="AL19" s="4"/>
      <c r="AM19" s="4"/>
      <c r="AN19" s="4"/>
      <c r="AO19" s="4"/>
      <c r="AP19" s="4"/>
      <c r="AQ19" s="4"/>
      <c r="AR19" s="4"/>
      <c r="AS19" s="4"/>
      <c r="AT19" s="4"/>
      <c r="AU19" s="4"/>
      <c r="AV19" s="4"/>
      <c r="AW19" s="4"/>
      <c r="AX19" s="4"/>
      <c r="AY19" s="4"/>
      <c r="AZ19" s="4"/>
      <c r="BA19" s="4"/>
      <c r="BB19" s="4"/>
      <c r="BC19" s="4"/>
      <c r="BD19" s="4"/>
    </row>
    <row r="20" spans="1:16383">
      <c r="B20" s="4"/>
      <c r="C20" s="4"/>
      <c r="D20" s="4"/>
      <c r="E20" s="4"/>
      <c r="F20" s="4"/>
      <c r="G20" s="4"/>
      <c r="H20" s="4"/>
      <c r="I20" s="4"/>
      <c r="J20" s="4"/>
      <c r="K20" s="4"/>
      <c r="L20" s="4"/>
      <c r="M20" s="4"/>
      <c r="N20" s="4"/>
      <c r="O20" s="7"/>
      <c r="P20" s="4"/>
      <c r="Q20" s="4"/>
      <c r="R20" s="4"/>
      <c r="S20" s="4"/>
      <c r="T20" s="4"/>
      <c r="U20" s="4"/>
      <c r="V20" s="4"/>
      <c r="W20" s="4"/>
      <c r="X20" s="4"/>
      <c r="Y20" s="7"/>
      <c r="Z20" s="4"/>
      <c r="AA20" s="4"/>
      <c r="AB20" s="4"/>
      <c r="AC20" s="4"/>
      <c r="AD20" s="4"/>
      <c r="AE20" s="4"/>
      <c r="AF20" s="4"/>
      <c r="AG20" s="119"/>
      <c r="AH20" s="4"/>
      <c r="AI20" s="4"/>
      <c r="AJ20" s="4"/>
      <c r="AK20" s="4"/>
      <c r="AL20" s="4"/>
      <c r="AM20" s="4"/>
      <c r="AN20" s="4"/>
      <c r="AO20" s="4"/>
      <c r="AP20" s="4"/>
      <c r="AQ20" s="4"/>
      <c r="AR20" s="4"/>
      <c r="AS20" s="4"/>
      <c r="AT20" s="4"/>
      <c r="AU20" s="4"/>
      <c r="AV20" s="4"/>
      <c r="AW20" s="4"/>
      <c r="AX20" s="4"/>
      <c r="AY20" s="4"/>
      <c r="AZ20" s="4"/>
      <c r="BA20" s="4"/>
      <c r="BB20" s="4"/>
      <c r="BC20" s="4"/>
      <c r="BD20" s="4"/>
    </row>
    <row r="21" spans="1:16383">
      <c r="B21" s="4"/>
      <c r="C21" s="4"/>
      <c r="D21" s="4"/>
      <c r="E21" s="4"/>
      <c r="F21" s="4"/>
      <c r="G21" s="4"/>
      <c r="H21" s="4"/>
      <c r="I21" s="4"/>
      <c r="J21" s="4"/>
      <c r="K21" s="4"/>
      <c r="L21" s="4"/>
      <c r="M21" s="4"/>
      <c r="N21" s="4"/>
      <c r="O21" s="7"/>
      <c r="P21" s="4"/>
      <c r="Q21" s="4"/>
      <c r="R21" s="4"/>
      <c r="S21" s="4"/>
      <c r="T21" s="4"/>
      <c r="U21" s="4"/>
      <c r="V21" s="4"/>
      <c r="W21" s="4"/>
      <c r="X21" s="4"/>
      <c r="Y21" s="7"/>
      <c r="Z21" s="4"/>
      <c r="AA21" s="4"/>
      <c r="AB21" s="4"/>
      <c r="AC21" s="4"/>
      <c r="AD21" s="4"/>
      <c r="AE21" s="4"/>
      <c r="AF21" s="4"/>
      <c r="AG21" s="119"/>
      <c r="AH21" s="4"/>
      <c r="AI21" s="4"/>
      <c r="AJ21" s="4"/>
      <c r="AK21" s="4"/>
      <c r="AL21" s="4"/>
      <c r="AM21" s="4"/>
      <c r="AN21" s="4"/>
      <c r="AO21" s="4"/>
      <c r="AP21" s="4"/>
      <c r="AQ21" s="4"/>
      <c r="AR21" s="4"/>
      <c r="AS21" s="4"/>
      <c r="AT21" s="4"/>
      <c r="AU21" s="4"/>
      <c r="AV21" s="4"/>
      <c r="AW21" s="4"/>
      <c r="AX21" s="4"/>
      <c r="AY21" s="4"/>
      <c r="AZ21" s="4"/>
      <c r="BA21" s="4"/>
      <c r="BB21" s="4"/>
      <c r="BC21" s="4"/>
      <c r="BD21" s="4"/>
    </row>
    <row r="22" spans="1:16383">
      <c r="B22" s="4"/>
      <c r="C22" s="4"/>
      <c r="D22" s="4"/>
      <c r="E22" s="4"/>
      <c r="F22" s="4"/>
      <c r="G22" s="4"/>
      <c r="H22" s="4"/>
      <c r="I22" s="4"/>
      <c r="J22" s="4"/>
      <c r="K22" s="4"/>
      <c r="L22" s="4"/>
      <c r="M22" s="4"/>
      <c r="N22" s="4"/>
      <c r="O22" s="7"/>
      <c r="P22" s="4"/>
      <c r="Q22" s="4"/>
      <c r="R22" s="4"/>
      <c r="S22" s="4"/>
      <c r="T22" s="4"/>
      <c r="U22" s="4"/>
      <c r="V22" s="4"/>
      <c r="W22" s="4"/>
      <c r="X22" s="4"/>
      <c r="Y22" s="7"/>
      <c r="Z22" s="4"/>
      <c r="AA22" s="4"/>
      <c r="AB22" s="4"/>
      <c r="AC22" s="4"/>
      <c r="AD22" s="4"/>
      <c r="AE22" s="4"/>
      <c r="AF22" s="4"/>
      <c r="AG22" s="119"/>
      <c r="AH22" s="4"/>
      <c r="AI22" s="4"/>
      <c r="AJ22" s="4"/>
      <c r="AK22" s="4"/>
      <c r="AL22" s="4"/>
      <c r="AM22" s="4"/>
      <c r="AN22" s="4"/>
      <c r="AO22" s="4"/>
      <c r="AP22" s="4"/>
      <c r="AQ22" s="4"/>
      <c r="AR22" s="4"/>
      <c r="AS22" s="4"/>
      <c r="AT22" s="4"/>
      <c r="AU22" s="4"/>
      <c r="AV22" s="4"/>
      <c r="AW22" s="4"/>
      <c r="AX22" s="4"/>
      <c r="AY22" s="4"/>
      <c r="AZ22" s="4"/>
      <c r="BA22" s="4"/>
      <c r="BB22" s="4"/>
      <c r="BC22" s="4"/>
      <c r="BD22" s="4"/>
    </row>
    <row r="23" spans="1:16383">
      <c r="B23" s="4"/>
      <c r="C23" s="4"/>
      <c r="D23" s="4"/>
      <c r="E23" s="4"/>
      <c r="F23" s="4"/>
      <c r="G23" s="4"/>
      <c r="H23" s="4"/>
      <c r="I23" s="4"/>
      <c r="J23" s="4"/>
      <c r="K23" s="4"/>
      <c r="L23" s="4"/>
      <c r="M23" s="4"/>
      <c r="N23" s="4"/>
      <c r="O23" s="7"/>
      <c r="P23" s="4"/>
      <c r="Q23" s="4"/>
      <c r="R23" s="4"/>
      <c r="S23" s="4"/>
      <c r="T23" s="4"/>
      <c r="U23" s="4"/>
      <c r="V23" s="4"/>
      <c r="W23" s="4"/>
      <c r="X23" s="4"/>
      <c r="Y23" s="7"/>
      <c r="Z23" s="4"/>
      <c r="AA23" s="4"/>
      <c r="AB23" s="4"/>
      <c r="AC23" s="4"/>
      <c r="AD23" s="4"/>
      <c r="AE23" s="4"/>
      <c r="AF23" s="4"/>
      <c r="AG23" s="119"/>
      <c r="AH23" s="4"/>
      <c r="AI23" s="4"/>
      <c r="AJ23" s="4"/>
      <c r="AK23" s="4"/>
      <c r="AL23" s="4"/>
      <c r="AM23" s="4"/>
      <c r="AN23" s="4"/>
      <c r="AO23" s="4"/>
      <c r="AP23" s="4"/>
      <c r="AQ23" s="4"/>
      <c r="AR23" s="4"/>
      <c r="AS23" s="4"/>
      <c r="AT23" s="4"/>
      <c r="AU23" s="4"/>
      <c r="AV23" s="4"/>
      <c r="AW23" s="4"/>
      <c r="AX23" s="4"/>
      <c r="AY23" s="4"/>
      <c r="AZ23" s="4"/>
      <c r="BA23" s="4"/>
      <c r="BB23" s="4"/>
      <c r="BC23" s="4"/>
      <c r="BD23" s="4"/>
    </row>
    <row r="24" spans="1:16383">
      <c r="B24" s="4"/>
      <c r="C24" s="4"/>
      <c r="D24" s="4"/>
      <c r="E24" s="4"/>
      <c r="F24" s="4"/>
      <c r="G24" s="4"/>
      <c r="H24" s="4"/>
      <c r="I24" s="4"/>
      <c r="J24" s="4"/>
      <c r="K24" s="4"/>
      <c r="L24" s="4"/>
      <c r="M24" s="4"/>
      <c r="N24" s="4"/>
      <c r="O24" s="385"/>
      <c r="P24" s="386"/>
      <c r="Q24" s="386"/>
      <c r="R24" s="387"/>
      <c r="S24" s="387"/>
      <c r="T24" s="387"/>
      <c r="U24" s="388"/>
      <c r="V24" s="388"/>
      <c r="W24" s="388"/>
      <c r="X24" s="389"/>
      <c r="Y24" s="16"/>
      <c r="Z24" s="4"/>
      <c r="AA24" s="4"/>
      <c r="AB24" s="4"/>
      <c r="AC24" s="4"/>
      <c r="AD24" s="4"/>
      <c r="AE24" s="4"/>
      <c r="AF24" s="4"/>
      <c r="AG24" s="119"/>
      <c r="AH24" s="4"/>
      <c r="AI24" s="4"/>
      <c r="AJ24" s="4"/>
      <c r="AK24" s="4"/>
      <c r="AL24" s="4"/>
      <c r="AM24" s="4"/>
      <c r="AN24" s="4"/>
      <c r="AO24" s="4"/>
      <c r="AP24" s="4"/>
      <c r="AQ24" s="4"/>
      <c r="AR24" s="4"/>
      <c r="AS24" s="4"/>
      <c r="AT24" s="4"/>
      <c r="AU24" s="4"/>
      <c r="AV24" s="4"/>
      <c r="AW24" s="4"/>
      <c r="AX24" s="4"/>
      <c r="AY24" s="4"/>
      <c r="AZ24" s="4"/>
      <c r="BA24" s="4"/>
      <c r="BB24" s="4"/>
      <c r="BC24" s="4"/>
      <c r="BD24" s="4"/>
    </row>
    <row r="25" spans="1:16383">
      <c r="B25" s="4"/>
      <c r="C25" s="4"/>
      <c r="D25" s="4"/>
      <c r="E25" s="4"/>
      <c r="F25" s="4"/>
      <c r="G25" s="4"/>
      <c r="H25" s="4"/>
      <c r="I25" s="4"/>
      <c r="J25" s="4"/>
      <c r="K25" s="4"/>
      <c r="L25" s="4"/>
      <c r="M25" s="4"/>
      <c r="N25" s="4"/>
      <c r="O25" s="7"/>
      <c r="P25" s="4"/>
      <c r="Q25" s="4"/>
      <c r="R25" s="4"/>
      <c r="S25" s="4"/>
      <c r="T25" s="4"/>
      <c r="U25" s="4"/>
      <c r="V25" s="4"/>
      <c r="W25" s="4"/>
      <c r="X25" s="4"/>
      <c r="Y25" s="7"/>
      <c r="Z25" s="4"/>
      <c r="AA25" s="4"/>
      <c r="AB25" s="4"/>
      <c r="AC25" s="4"/>
      <c r="AD25" s="4"/>
      <c r="AE25" s="4"/>
      <c r="AF25" s="4"/>
      <c r="AG25" s="119"/>
      <c r="AH25" s="4"/>
      <c r="AI25" s="4"/>
      <c r="AJ25" s="4"/>
      <c r="AK25" s="4"/>
      <c r="AL25" s="4"/>
      <c r="AM25" s="4"/>
      <c r="AN25" s="4"/>
      <c r="AO25" s="4"/>
      <c r="AP25" s="4"/>
      <c r="AQ25" s="4"/>
      <c r="AR25" s="4"/>
      <c r="AS25" s="4"/>
      <c r="AT25" s="4"/>
      <c r="AU25" s="4"/>
      <c r="AV25" s="4"/>
      <c r="AW25" s="4"/>
      <c r="AX25" s="4"/>
      <c r="AY25" s="4"/>
      <c r="AZ25" s="4"/>
      <c r="BA25" s="4"/>
      <c r="BB25" s="4"/>
      <c r="BC25" s="4"/>
      <c r="BD25" s="4"/>
    </row>
    <row r="26" spans="1:16383">
      <c r="B26" s="4"/>
      <c r="C26" s="4"/>
      <c r="D26" s="4"/>
      <c r="E26" s="4"/>
      <c r="F26" s="4"/>
      <c r="G26" s="4"/>
      <c r="H26" s="4"/>
      <c r="I26" s="4"/>
      <c r="J26" s="4"/>
      <c r="K26" s="4"/>
      <c r="L26" s="4"/>
      <c r="M26" s="4"/>
      <c r="N26" s="4"/>
      <c r="O26" s="7"/>
      <c r="P26" s="4"/>
      <c r="Q26" s="4"/>
      <c r="R26" s="4"/>
      <c r="S26" s="4"/>
      <c r="T26" s="4"/>
      <c r="U26" s="4"/>
      <c r="V26" s="4"/>
      <c r="W26" s="4"/>
      <c r="X26" s="4"/>
      <c r="Y26" s="7"/>
      <c r="Z26" s="4"/>
      <c r="AA26" s="4"/>
      <c r="AB26" s="4"/>
      <c r="AC26" s="4"/>
      <c r="AD26" s="4"/>
      <c r="AE26" s="4"/>
      <c r="AF26" s="4"/>
      <c r="AG26" s="119"/>
      <c r="AH26" s="4"/>
      <c r="AI26" s="4"/>
      <c r="AJ26" s="4"/>
      <c r="AK26" s="4"/>
      <c r="AL26" s="4"/>
      <c r="AM26" s="4"/>
      <c r="AN26" s="4"/>
      <c r="AO26" s="4"/>
      <c r="AP26" s="4"/>
      <c r="AQ26" s="4"/>
      <c r="AR26" s="4"/>
      <c r="AS26" s="4"/>
      <c r="AT26" s="4"/>
      <c r="AU26" s="4"/>
      <c r="AV26" s="4"/>
      <c r="AW26" s="4"/>
      <c r="AX26" s="4"/>
      <c r="AY26" s="4"/>
      <c r="AZ26" s="4"/>
      <c r="BA26" s="4"/>
      <c r="BB26" s="4"/>
      <c r="BC26" s="4"/>
      <c r="BD26" s="4"/>
    </row>
    <row r="27" spans="1:16383">
      <c r="B27" s="4"/>
      <c r="C27" s="4"/>
      <c r="D27" s="4"/>
      <c r="E27" s="4"/>
      <c r="F27" s="4"/>
      <c r="G27" s="4"/>
      <c r="H27" s="4"/>
      <c r="I27" s="4"/>
      <c r="J27" s="4"/>
      <c r="K27" s="4"/>
      <c r="L27" s="4"/>
      <c r="M27" s="4"/>
      <c r="N27" s="4"/>
      <c r="O27" s="7"/>
      <c r="P27" s="4"/>
      <c r="Q27" s="4"/>
      <c r="R27" s="4"/>
      <c r="S27" s="4"/>
      <c r="T27" s="4"/>
      <c r="U27" s="4"/>
      <c r="V27" s="4"/>
      <c r="W27" s="4"/>
      <c r="X27" s="4"/>
      <c r="Y27" s="7"/>
      <c r="Z27" s="4"/>
      <c r="AA27" s="4"/>
      <c r="AB27" s="4"/>
      <c r="AC27" s="4"/>
      <c r="AD27" s="4"/>
      <c r="AE27" s="4"/>
      <c r="AF27" s="4"/>
      <c r="AG27" s="119"/>
      <c r="AH27" s="4"/>
      <c r="AI27" s="4"/>
      <c r="AJ27" s="4"/>
      <c r="AK27" s="4"/>
      <c r="AL27" s="4"/>
      <c r="AM27" s="4"/>
      <c r="AN27" s="4"/>
      <c r="AO27" s="4"/>
      <c r="AP27" s="4"/>
      <c r="AQ27" s="4"/>
      <c r="AR27" s="4"/>
      <c r="AS27" s="4"/>
      <c r="AT27" s="4"/>
      <c r="AU27" s="4"/>
      <c r="AV27" s="4"/>
      <c r="AW27" s="4"/>
      <c r="AX27" s="4"/>
      <c r="AY27" s="4"/>
      <c r="AZ27" s="4"/>
      <c r="BA27" s="4"/>
      <c r="BB27" s="4"/>
      <c r="BC27" s="4"/>
      <c r="BD27" s="4"/>
    </row>
    <row r="28" spans="1:16383">
      <c r="B28" s="4"/>
      <c r="C28" s="4"/>
      <c r="D28" s="4"/>
      <c r="E28" s="4"/>
      <c r="F28" s="4"/>
      <c r="G28" s="4"/>
      <c r="H28" s="4"/>
      <c r="I28" s="4"/>
      <c r="J28" s="4"/>
      <c r="K28" s="4"/>
      <c r="L28" s="4"/>
      <c r="M28" s="4"/>
      <c r="N28" s="4"/>
      <c r="O28" s="7"/>
      <c r="P28" s="4"/>
      <c r="Q28" s="4"/>
      <c r="R28" s="4"/>
      <c r="S28" s="4"/>
      <c r="T28" s="4"/>
      <c r="U28" s="4"/>
      <c r="V28" s="4"/>
      <c r="W28" s="4"/>
      <c r="X28" s="4"/>
      <c r="Y28" s="7"/>
      <c r="Z28" s="4"/>
      <c r="AA28" s="4"/>
      <c r="AB28" s="4"/>
      <c r="AC28" s="4"/>
      <c r="AD28" s="4"/>
      <c r="AE28" s="4"/>
      <c r="AF28" s="4"/>
      <c r="AG28" s="119"/>
      <c r="AH28" s="4"/>
      <c r="AI28" s="4"/>
      <c r="AJ28" s="4"/>
      <c r="AK28" s="4"/>
      <c r="AL28" s="4"/>
      <c r="AM28" s="4"/>
      <c r="AN28" s="4"/>
      <c r="AO28" s="4"/>
      <c r="AP28" s="4"/>
      <c r="AQ28" s="4"/>
      <c r="AR28" s="4"/>
      <c r="AS28" s="4"/>
      <c r="AT28" s="4"/>
      <c r="AU28" s="4"/>
      <c r="AV28" s="4"/>
      <c r="AW28" s="4"/>
      <c r="AX28" s="4"/>
      <c r="AY28" s="4"/>
      <c r="AZ28" s="4"/>
      <c r="BA28" s="4"/>
      <c r="BB28" s="4"/>
      <c r="BC28" s="4"/>
      <c r="BD28" s="4"/>
    </row>
    <row r="29" spans="1:16383">
      <c r="B29" s="4"/>
      <c r="C29" s="4"/>
      <c r="D29" s="4"/>
      <c r="E29" s="4"/>
      <c r="F29" s="4"/>
      <c r="G29" s="4"/>
      <c r="H29" s="4"/>
      <c r="I29" s="4"/>
      <c r="J29" s="4"/>
      <c r="K29" s="4"/>
      <c r="L29" s="4"/>
      <c r="M29" s="4"/>
      <c r="N29" s="4"/>
      <c r="O29" s="7"/>
      <c r="P29" s="4"/>
      <c r="Q29" s="4"/>
      <c r="R29" s="4"/>
      <c r="S29" s="4"/>
      <c r="T29" s="4"/>
      <c r="U29" s="4"/>
      <c r="V29" s="4"/>
      <c r="W29" s="4"/>
      <c r="X29" s="4"/>
      <c r="Y29" s="7"/>
      <c r="Z29" s="4"/>
      <c r="AA29" s="4"/>
      <c r="AB29" s="4"/>
      <c r="AC29" s="4"/>
      <c r="AD29" s="4"/>
      <c r="AE29" s="4"/>
      <c r="AF29" s="4"/>
      <c r="AG29" s="119"/>
      <c r="AH29" s="4"/>
      <c r="AI29" s="4"/>
      <c r="AJ29" s="4"/>
      <c r="AK29" s="4"/>
      <c r="AL29" s="4"/>
      <c r="AM29" s="4"/>
      <c r="AN29" s="4"/>
      <c r="AO29" s="4"/>
      <c r="AP29" s="4"/>
      <c r="AQ29" s="4"/>
      <c r="AR29" s="4"/>
      <c r="AS29" s="4"/>
      <c r="AT29" s="4"/>
      <c r="AU29" s="4"/>
      <c r="AV29" s="4"/>
      <c r="AW29" s="4"/>
      <c r="AX29" s="4"/>
      <c r="AY29" s="4"/>
      <c r="AZ29" s="4"/>
      <c r="BA29" s="4"/>
      <c r="BB29" s="4"/>
      <c r="BC29" s="4"/>
      <c r="BD29" s="4"/>
    </row>
    <row r="30" spans="1:16383">
      <c r="B30" s="4"/>
      <c r="C30" s="4"/>
      <c r="D30" s="4"/>
      <c r="E30" s="4"/>
      <c r="F30" s="4"/>
      <c r="G30" s="4"/>
      <c r="H30" s="4"/>
      <c r="I30" s="4"/>
      <c r="J30" s="4"/>
      <c r="K30" s="4"/>
      <c r="L30" s="4"/>
      <c r="M30" s="4"/>
      <c r="N30" s="4"/>
      <c r="O30" s="7"/>
      <c r="P30" s="4"/>
      <c r="Q30" s="4"/>
      <c r="R30" s="4"/>
      <c r="S30" s="4"/>
      <c r="T30" s="4"/>
      <c r="U30" s="4"/>
      <c r="V30" s="4"/>
      <c r="W30" s="4"/>
      <c r="X30" s="4"/>
      <c r="Y30" s="7"/>
      <c r="Z30" s="4"/>
      <c r="AA30" s="4"/>
      <c r="AB30" s="4"/>
      <c r="AC30" s="4"/>
      <c r="AD30" s="4"/>
      <c r="AE30" s="4"/>
      <c r="AF30" s="4"/>
      <c r="AG30" s="119"/>
      <c r="AH30" s="4"/>
      <c r="AI30" s="4"/>
      <c r="AJ30" s="4"/>
      <c r="AK30" s="4"/>
      <c r="AL30" s="4"/>
      <c r="AM30" s="4"/>
      <c r="AN30" s="4"/>
      <c r="AO30" s="4"/>
      <c r="AP30" s="4"/>
      <c r="AQ30" s="4"/>
      <c r="AR30" s="4"/>
      <c r="AS30" s="4"/>
      <c r="AT30" s="4"/>
      <c r="AU30" s="4"/>
      <c r="AV30" s="4"/>
      <c r="AW30" s="4"/>
      <c r="AX30" s="4"/>
      <c r="AY30" s="4"/>
      <c r="AZ30" s="4"/>
      <c r="BA30" s="4"/>
      <c r="BB30" s="4"/>
      <c r="BC30" s="4"/>
      <c r="BD30" s="4"/>
    </row>
    <row r="31" spans="1:16383" ht="15.45" customHeight="1">
      <c r="B31" s="198"/>
      <c r="C31" s="198"/>
      <c r="D31" s="198"/>
      <c r="E31" s="198"/>
      <c r="F31" s="198"/>
      <c r="G31" s="198"/>
      <c r="H31" s="129" t="s">
        <v>314</v>
      </c>
      <c r="I31" s="198"/>
      <c r="J31" s="198"/>
      <c r="K31" s="198"/>
      <c r="L31" s="198"/>
      <c r="M31" s="198"/>
      <c r="N31" s="199"/>
      <c r="O31" s="66"/>
      <c r="P31" s="67"/>
      <c r="Q31" s="2"/>
      <c r="R31" s="2"/>
      <c r="S31" s="2"/>
      <c r="T31" s="2"/>
      <c r="U31" s="2"/>
      <c r="V31" s="2"/>
      <c r="W31" s="2"/>
      <c r="X31" s="2"/>
      <c r="Y31" s="6"/>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row>
    <row r="32" spans="1:16383" s="3" customFormat="1" ht="14.55" customHeight="1">
      <c r="A32" s="1"/>
      <c r="B32" s="404" t="s">
        <v>19</v>
      </c>
      <c r="C32" s="404"/>
      <c r="D32" s="404"/>
      <c r="E32" s="404"/>
      <c r="F32" s="404"/>
      <c r="G32" s="404"/>
      <c r="H32" s="404"/>
      <c r="I32" s="404"/>
      <c r="J32" s="404"/>
      <c r="K32" s="404"/>
      <c r="L32" s="404"/>
      <c r="M32" s="404"/>
      <c r="N32" s="405"/>
      <c r="O32" s="390" t="s">
        <v>142</v>
      </c>
      <c r="P32" s="391"/>
      <c r="Q32" s="378" t="s">
        <v>20</v>
      </c>
      <c r="Y32" s="394" t="s">
        <v>139</v>
      </c>
      <c r="Z32" s="372"/>
      <c r="AA32" s="372"/>
      <c r="AB32" s="372"/>
      <c r="AC32" s="372"/>
      <c r="AD32" s="372"/>
      <c r="AE32" s="372"/>
      <c r="AF32" s="372"/>
      <c r="AG32" s="372"/>
      <c r="AH32" s="372" t="s">
        <v>341</v>
      </c>
      <c r="AI32" s="372"/>
      <c r="AJ32" s="372"/>
      <c r="AK32" s="372"/>
      <c r="AL32" s="372"/>
      <c r="AM32" s="372"/>
      <c r="AN32" s="372"/>
      <c r="AO32" s="372"/>
      <c r="AP32" s="372"/>
      <c r="AQ32" s="372"/>
      <c r="AS32" s="372" t="s">
        <v>359</v>
      </c>
      <c r="AT32" s="372"/>
      <c r="AU32" s="372"/>
      <c r="AV32" s="372"/>
      <c r="AW32" s="372"/>
      <c r="AX32" s="372"/>
      <c r="AY32" s="372"/>
      <c r="AZ32" s="372"/>
      <c r="BA32" s="372"/>
      <c r="BB32" s="372"/>
      <c r="BC32" s="372"/>
      <c r="BD32" s="372"/>
      <c r="BE32" s="372"/>
      <c r="BF32" s="372"/>
      <c r="BG32" s="372"/>
      <c r="BH32" s="372"/>
      <c r="BI32" s="37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row>
    <row r="33" spans="1:16383" s="3" customFormat="1" ht="14.55" customHeight="1">
      <c r="A33" s="1"/>
      <c r="B33" s="404"/>
      <c r="C33" s="404"/>
      <c r="D33" s="404"/>
      <c r="E33" s="404"/>
      <c r="F33" s="404"/>
      <c r="G33" s="404"/>
      <c r="H33" s="404"/>
      <c r="I33" s="404"/>
      <c r="J33" s="404"/>
      <c r="K33" s="404"/>
      <c r="L33" s="404"/>
      <c r="M33" s="404"/>
      <c r="N33" s="405"/>
      <c r="O33" s="392"/>
      <c r="P33" s="393"/>
      <c r="Q33" s="378"/>
      <c r="Y33" s="394"/>
      <c r="Z33" s="372"/>
      <c r="AA33" s="372"/>
      <c r="AB33" s="372"/>
      <c r="AC33" s="372"/>
      <c r="AD33" s="372"/>
      <c r="AE33" s="372"/>
      <c r="AF33" s="372"/>
      <c r="AG33" s="372"/>
      <c r="AH33" s="372"/>
      <c r="AI33" s="372"/>
      <c r="AJ33" s="372"/>
      <c r="AK33" s="372"/>
      <c r="AL33" s="372"/>
      <c r="AM33" s="372"/>
      <c r="AN33" s="372"/>
      <c r="AO33" s="372"/>
      <c r="AP33" s="372"/>
      <c r="AQ33" s="372"/>
      <c r="AS33" s="372"/>
      <c r="AT33" s="372"/>
      <c r="AU33" s="372"/>
      <c r="AV33" s="372"/>
      <c r="AW33" s="372"/>
      <c r="AX33" s="372"/>
      <c r="AY33" s="372"/>
      <c r="AZ33" s="372"/>
      <c r="BA33" s="372"/>
      <c r="BB33" s="372"/>
      <c r="BC33" s="372"/>
      <c r="BD33" s="372"/>
      <c r="BE33" s="372"/>
      <c r="BF33" s="372"/>
      <c r="BG33" s="372"/>
      <c r="BH33" s="372"/>
      <c r="BI33" s="372"/>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row>
    <row r="34" spans="1:16383">
      <c r="B34" s="4"/>
      <c r="C34" s="130">
        <v>2021</v>
      </c>
      <c r="D34" s="212"/>
      <c r="E34" s="212"/>
      <c r="F34" s="212"/>
      <c r="G34" s="131">
        <v>2022</v>
      </c>
      <c r="H34" s="214"/>
      <c r="I34" s="214"/>
      <c r="J34" s="214"/>
      <c r="K34" s="121">
        <v>2023</v>
      </c>
      <c r="L34" s="216"/>
      <c r="M34" s="216"/>
      <c r="N34" s="216"/>
      <c r="O34" s="7"/>
      <c r="P34" s="65"/>
      <c r="Q34" s="64"/>
      <c r="R34" s="4"/>
      <c r="S34" s="4"/>
      <c r="T34" s="4"/>
      <c r="U34" s="4"/>
      <c r="V34" s="4"/>
      <c r="W34" s="4"/>
      <c r="X34" s="4"/>
      <c r="Y34" s="7"/>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row>
    <row r="35" spans="1:16383" ht="15" thickBot="1">
      <c r="A35" s="9" t="s">
        <v>22</v>
      </c>
      <c r="B35" s="10" t="s">
        <v>21</v>
      </c>
      <c r="C35" s="213"/>
      <c r="D35" s="213"/>
      <c r="E35" s="213"/>
      <c r="F35" s="213"/>
      <c r="G35" s="215"/>
      <c r="H35" s="215"/>
      <c r="I35" s="215"/>
      <c r="J35" s="215"/>
      <c r="K35" s="217"/>
      <c r="L35" s="217"/>
      <c r="M35" s="217"/>
      <c r="N35" s="217"/>
      <c r="O35" s="379"/>
      <c r="P35" s="371"/>
      <c r="Q35" s="64"/>
      <c r="R35" s="4"/>
      <c r="S35" s="4"/>
      <c r="T35" s="4"/>
      <c r="U35" s="4"/>
      <c r="V35" s="4"/>
      <c r="W35" s="318" t="s">
        <v>191</v>
      </c>
      <c r="X35" s="4"/>
      <c r="Y35" s="7"/>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row>
    <row r="36" spans="1:16383">
      <c r="B36" s="127" t="s">
        <v>23</v>
      </c>
      <c r="C36" s="240">
        <f>IFERROR(IF($H$31="YonY",INDEX('DATA FS'!$B$49:$M$79,MATCH('Poonawalla Fincorp '!$B36,'DATA FS'!$A$49:$A$79,0),MATCH(C$34,'DATA FS'!$B$47:$M$47,0)),INDEX('DATA FS'!$B$24:$M$34,MATCH('Poonawalla Fincorp '!$B36,'DATA FS'!$A$24:$A$34,0),MATCH('Poonawalla Fincorp '!C$55,'DATA FS'!$B$23:$M$23,0))),"-")</f>
        <v>8565.31</v>
      </c>
      <c r="D36" s="241"/>
      <c r="E36" s="241"/>
      <c r="F36" s="242"/>
      <c r="G36" s="240">
        <f>IFERROR(IF($H$31="YonY",INDEX('DATA FS'!$B$49:$M$79,MATCH('Poonawalla Fincorp '!$B36,'DATA FS'!$A$49:$A$79,0),MATCH(G$34,'DATA FS'!$B$47:$M$47,0)),INDEX('DATA FS'!$B$24:$M$34,MATCH('Poonawalla Fincorp '!$B36,'DATA FS'!$A$24:$A$34,0),MATCH('Poonawalla Fincorp '!G$55,'DATA FS'!$B$23:$M$23,0))),"-")</f>
        <v>10678.37</v>
      </c>
      <c r="H36" s="241"/>
      <c r="I36" s="241"/>
      <c r="J36" s="242"/>
      <c r="K36" s="240">
        <f>IFERROR(IF($H$31="YonY",INDEX('DATA FS'!$B$49:$M$79,MATCH('Poonawalla Fincorp '!$B36,'DATA FS'!$A$49:$A$79,0),MATCH(K$34,'DATA FS'!$B$47:$M$47,0)),INDEX('DATA FS'!$B$24:$M$34,MATCH('Poonawalla Fincorp '!$B36,'DATA FS'!$A$24:$A$34,0),MATCH('Poonawalla Fincorp '!K$55,'DATA FS'!$B$23:$M$23,0))),"-")</f>
        <v>15229.45</v>
      </c>
      <c r="L36" s="171"/>
      <c r="M36" s="171"/>
      <c r="N36" s="171"/>
      <c r="O36" s="374">
        <f>IFERROR(ROUND(AVERAGE(C36,G36,K36),2),"-")</f>
        <v>11491.04</v>
      </c>
      <c r="P36" s="375"/>
      <c r="Q36" s="64"/>
      <c r="R36" s="4"/>
      <c r="S36" s="4"/>
      <c r="T36" s="4"/>
      <c r="U36" s="4"/>
      <c r="V36" s="4"/>
      <c r="W36" s="4"/>
      <c r="X36" s="4"/>
      <c r="Y36" s="7"/>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row>
    <row r="37" spans="1:16383">
      <c r="B37" s="128"/>
      <c r="C37" s="243"/>
      <c r="D37" s="244"/>
      <c r="E37" s="244"/>
      <c r="F37" s="245"/>
      <c r="G37" s="243"/>
      <c r="H37" s="244"/>
      <c r="I37" s="244"/>
      <c r="J37" s="245"/>
      <c r="K37" s="243"/>
      <c r="L37" s="174"/>
      <c r="M37" s="174"/>
      <c r="N37" s="174"/>
      <c r="O37" s="374"/>
      <c r="P37" s="375"/>
      <c r="Q37" s="286">
        <f>IFERROR((K36-G36)/G36,"-")</f>
        <v>0.42619613293040037</v>
      </c>
      <c r="R37" s="4"/>
      <c r="S37" s="4"/>
      <c r="T37" s="4"/>
      <c r="U37" s="4"/>
      <c r="V37" s="4"/>
      <c r="W37" s="4"/>
      <c r="X37" s="4"/>
      <c r="Y37" s="7"/>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row>
    <row r="38" spans="1:16383">
      <c r="B38" s="127" t="s">
        <v>24</v>
      </c>
      <c r="C38" s="240">
        <f>IFERROR(IF($H$31="YonY",INDEX('DATA FS'!$B$49:$M$79,MATCH('Poonawalla Fincorp '!$B38,'DATA FS'!$A$49:$A$79,0),MATCH(C$34,'DATA FS'!$B$47:$M$47,0)),INDEX('DATA FS'!$B$24:$M$34,MATCH('Poonawalla Fincorp '!$B38,'DATA FS'!$A$24:$A$34,0),MATCH('Poonawalla Fincorp '!C$55,'DATA FS'!$B$23:$M$23,0))),"-")</f>
        <v>428.92200000000003</v>
      </c>
      <c r="D38" s="241"/>
      <c r="E38" s="241"/>
      <c r="F38" s="242"/>
      <c r="G38" s="240">
        <f>IFERROR(IF($H$31="YonY",INDEX('DATA FS'!$B$49:$M$79,MATCH('Poonawalla Fincorp '!$B38,'DATA FS'!$A$49:$A$79,0),MATCH(G$34,'DATA FS'!$B$47:$M$47,0)),INDEX('DATA FS'!$B$24:$M$34,MATCH('Poonawalla Fincorp '!$B38,'DATA FS'!$A$24:$A$34,0),MATCH('Poonawalla Fincorp '!G$55,'DATA FS'!$B$23:$M$23,0))),"-")</f>
        <v>819.71100000000001</v>
      </c>
      <c r="H38" s="246"/>
      <c r="I38" s="246"/>
      <c r="J38" s="247"/>
      <c r="K38" s="240">
        <f>IFERROR(IF($H$31="YonY",INDEX('DATA FS'!$B$49:$M$79,MATCH('Poonawalla Fincorp '!$B38,'DATA FS'!$A$49:$A$79,0),MATCH(K$34,'DATA FS'!$B$47:$M$47,0)),INDEX('DATA FS'!$B$24:$M$34,MATCH('Poonawalla Fincorp '!$B38,'DATA FS'!$A$24:$A$34,0),MATCH('Poonawalla Fincorp '!K$55,'DATA FS'!$B$23:$M$23,0))),"-")</f>
        <v>310.91000000000003</v>
      </c>
      <c r="L38" s="171"/>
      <c r="M38" s="171"/>
      <c r="N38" s="171"/>
      <c r="O38" s="374">
        <f>IFERROR(ROUND(AVERAGE(C38,G38,K38),2),"-")</f>
        <v>519.85</v>
      </c>
      <c r="P38" s="375"/>
      <c r="Q38" s="285"/>
      <c r="R38" s="4"/>
      <c r="S38" s="4"/>
      <c r="T38" s="4"/>
      <c r="U38" s="4"/>
      <c r="V38" s="4"/>
      <c r="W38" s="4"/>
      <c r="X38" s="4"/>
      <c r="Y38" s="7"/>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row>
    <row r="39" spans="1:16383">
      <c r="B39" s="128"/>
      <c r="C39" s="243"/>
      <c r="D39" s="244"/>
      <c r="E39" s="244"/>
      <c r="F39" s="245"/>
      <c r="G39" s="243"/>
      <c r="H39" s="244"/>
      <c r="I39" s="244"/>
      <c r="J39" s="245"/>
      <c r="K39" s="243"/>
      <c r="L39" s="174"/>
      <c r="M39" s="174"/>
      <c r="N39" s="174"/>
      <c r="O39" s="374"/>
      <c r="P39" s="375"/>
      <c r="Q39" s="286">
        <f>IFERROR((K38-G38)/G38,"-")</f>
        <v>-0.62070778603678611</v>
      </c>
      <c r="R39" s="4"/>
      <c r="S39" s="4"/>
      <c r="T39" s="4"/>
      <c r="U39" s="4"/>
      <c r="V39" s="4"/>
      <c r="W39" s="4"/>
      <c r="X39" s="4"/>
      <c r="Y39" s="7"/>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row>
    <row r="40" spans="1:16383">
      <c r="B40" s="127" t="s">
        <v>25</v>
      </c>
      <c r="C40" s="240">
        <f>IFERROR(IF($H$31="YonY",INDEX('DATA FS'!$B$49:$M$79,MATCH('Poonawalla Fincorp '!$B40,'DATA FS'!$A$49:$A$79,0),MATCH(C$34,'DATA FS'!$B$47:$M$47,0)),INDEX('DATA FS'!$B$24:$M$34,MATCH('Poonawalla Fincorp '!$B40,'DATA FS'!$A$24:$A$34,0),MATCH('Poonawalla Fincorp '!C$55,'DATA FS'!$B$23:$M$23,0))),"-")</f>
        <v>6354.8810000000003</v>
      </c>
      <c r="D40" s="241"/>
      <c r="E40" s="241"/>
      <c r="F40" s="242"/>
      <c r="G40" s="240">
        <f>IFERROR(IF($H$31="YonY",INDEX('DATA FS'!$B$49:$M$79,MATCH('Poonawalla Fincorp '!$B40,'DATA FS'!$A$49:$A$79,0),MATCH(G$34,'DATA FS'!$B$47:$M$47,0)),INDEX('DATA FS'!$B$24:$M$34,MATCH('Poonawalla Fincorp '!$B40,'DATA FS'!$A$24:$A$34,0),MATCH('Poonawalla Fincorp '!G$55,'DATA FS'!$B$23:$M$23,0))),"-")</f>
        <v>5576.69</v>
      </c>
      <c r="H40" s="241"/>
      <c r="I40" s="241"/>
      <c r="J40" s="242"/>
      <c r="K40" s="240">
        <f>IFERROR(IF($H$31="YonY",INDEX('DATA FS'!$B$49:$M$79,MATCH('Poonawalla Fincorp '!$B40,'DATA FS'!$A$49:$A$79,0),MATCH(K$34,'DATA FS'!$B$47:$M$47,0)),INDEX('DATA FS'!$B$24:$M$34,MATCH('Poonawalla Fincorp '!$B40,'DATA FS'!$A$24:$A$34,0),MATCH('Poonawalla Fincorp '!K$55,'DATA FS'!$B$23:$M$23,0))),"-")</f>
        <v>9804.07</v>
      </c>
      <c r="L40" s="171"/>
      <c r="M40" s="171"/>
      <c r="N40" s="171"/>
      <c r="O40" s="374">
        <f>IFERROR(ROUND(AVERAGE(C40,G40,K40),2),"-")</f>
        <v>7245.21</v>
      </c>
      <c r="P40" s="375"/>
      <c r="Q40" s="285"/>
      <c r="R40" s="4"/>
      <c r="S40" s="4"/>
      <c r="T40" s="4"/>
      <c r="U40" s="4"/>
      <c r="V40" s="4"/>
      <c r="W40" s="319" t="s">
        <v>192</v>
      </c>
      <c r="X40" s="4"/>
      <c r="Y40" s="7"/>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row>
    <row r="41" spans="1:16383">
      <c r="B41" s="128"/>
      <c r="C41" s="243"/>
      <c r="D41" s="244"/>
      <c r="E41" s="244"/>
      <c r="F41" s="245"/>
      <c r="G41" s="243"/>
      <c r="H41" s="244"/>
      <c r="I41" s="244"/>
      <c r="J41" s="245"/>
      <c r="K41" s="243"/>
      <c r="L41" s="174"/>
      <c r="M41" s="174"/>
      <c r="N41" s="174"/>
      <c r="O41" s="374"/>
      <c r="P41" s="375"/>
      <c r="Q41" s="286">
        <f>IFERROR((K40-G40)/G40,"-")</f>
        <v>0.75804464655557335</v>
      </c>
      <c r="R41" s="4"/>
      <c r="S41" s="4"/>
      <c r="T41" s="4"/>
      <c r="U41" s="4"/>
      <c r="V41" s="4"/>
      <c r="W41" s="4"/>
      <c r="X41" s="4"/>
      <c r="Y41" s="7"/>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row>
    <row r="42" spans="1:16383">
      <c r="B42" s="127" t="s">
        <v>26</v>
      </c>
      <c r="C42" s="240">
        <f>IFERROR(IF($H$31="YonY",INDEX('DATA FS'!$B$49:$M$79,MATCH('Poonawalla Fincorp '!$B42,'DATA FS'!$A$49:$A$79,0),MATCH(C$34,'DATA FS'!$B$47:$M$47,0)),INDEX('DATA FS'!$B$24:$M$34,MATCH('Poonawalla Fincorp '!$B42,'DATA FS'!$A$24:$A$34,0),MATCH('Poonawalla Fincorp '!C$55,'DATA FS'!$B$23:$M$23,0))),"-")</f>
        <v>1942.06</v>
      </c>
      <c r="D42" s="241"/>
      <c r="E42" s="241"/>
      <c r="F42" s="242"/>
      <c r="G42" s="240">
        <f>IFERROR(IF($H$31="YonY",INDEX('DATA FS'!$B$49:$M$79,MATCH('Poonawalla Fincorp '!$B42,'DATA FS'!$A$49:$A$79,0),MATCH(G$34,'DATA FS'!$B$47:$M$47,0)),INDEX('DATA FS'!$B$24:$M$34,MATCH('Poonawalla Fincorp '!$B42,'DATA FS'!$A$24:$A$34,0),MATCH('Poonawalla Fincorp '!G$55,'DATA FS'!$B$23:$M$23,0))),"-")</f>
        <v>5714.5</v>
      </c>
      <c r="H42" s="241"/>
      <c r="I42" s="241"/>
      <c r="J42" s="242"/>
      <c r="K42" s="240">
        <f>IFERROR(IF($H$31="YonY",INDEX('DATA FS'!$B$49:$M$79,MATCH('Poonawalla Fincorp '!$B42,'DATA FS'!$A$49:$A$79,0),MATCH(K$34,'DATA FS'!$B$47:$M$47,0)),INDEX('DATA FS'!$B$24:$M$34,MATCH('Poonawalla Fincorp '!$B42,'DATA FS'!$A$24:$A$34,0),MATCH('Poonawalla Fincorp '!K$55,'DATA FS'!$B$23:$M$23,0))),"-")</f>
        <v>6424.7</v>
      </c>
      <c r="L42" s="171"/>
      <c r="M42" s="171"/>
      <c r="N42" s="171"/>
      <c r="O42" s="374">
        <f>IFERROR(ROUND(AVERAGE(C42,G42,K42),2),"-")</f>
        <v>4693.75</v>
      </c>
      <c r="P42" s="375"/>
      <c r="Q42" s="285"/>
      <c r="R42" s="4"/>
      <c r="S42" s="4"/>
      <c r="T42" s="4"/>
      <c r="U42" s="4"/>
      <c r="V42" s="4"/>
      <c r="W42" s="4"/>
      <c r="X42" s="4"/>
      <c r="Y42" s="7"/>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row>
    <row r="43" spans="1:16383" ht="15" thickBot="1">
      <c r="B43" s="128"/>
      <c r="C43" s="243"/>
      <c r="D43" s="244"/>
      <c r="E43" s="244"/>
      <c r="F43" s="245"/>
      <c r="G43" s="243"/>
      <c r="H43" s="244"/>
      <c r="I43" s="244"/>
      <c r="J43" s="245"/>
      <c r="K43" s="243"/>
      <c r="L43" s="174"/>
      <c r="M43" s="174"/>
      <c r="N43" s="174"/>
      <c r="O43" s="374"/>
      <c r="P43" s="375"/>
      <c r="Q43" s="286">
        <f>IFERROR((K42-G42)/G42,"-")</f>
        <v>0.1242803394872692</v>
      </c>
      <c r="R43" s="4"/>
      <c r="S43" s="4"/>
      <c r="T43" s="4"/>
      <c r="U43" s="4"/>
      <c r="V43" s="4"/>
      <c r="W43" s="4"/>
      <c r="X43" s="4"/>
      <c r="Y43" s="7"/>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row>
    <row r="44" spans="1:16383" ht="12" customHeight="1" thickBot="1">
      <c r="B44" s="11" t="s">
        <v>330</v>
      </c>
      <c r="C44" s="406"/>
      <c r="D44" s="407"/>
      <c r="E44" s="407"/>
      <c r="F44" s="408"/>
      <c r="G44" s="71"/>
      <c r="H44" s="72"/>
      <c r="I44" s="72"/>
      <c r="J44" s="73"/>
      <c r="K44" s="406"/>
      <c r="L44" s="407"/>
      <c r="M44" s="407"/>
      <c r="N44" s="408"/>
      <c r="O44" s="16"/>
      <c r="P44" s="65"/>
      <c r="Q44" s="284"/>
      <c r="R44" s="4"/>
      <c r="S44" s="4"/>
      <c r="T44" s="4"/>
      <c r="U44" s="4"/>
      <c r="V44" s="4"/>
      <c r="W44" s="4"/>
      <c r="X44" s="4"/>
      <c r="Y44" s="7"/>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row>
    <row r="45" spans="1:16383" ht="13.05" customHeight="1">
      <c r="B45" s="4"/>
      <c r="C45" s="124">
        <f>C34</f>
        <v>2021</v>
      </c>
      <c r="D45" s="218"/>
      <c r="E45" s="218"/>
      <c r="F45" s="218"/>
      <c r="G45" s="125">
        <f>G34</f>
        <v>2022</v>
      </c>
      <c r="H45" s="220"/>
      <c r="I45" s="220"/>
      <c r="J45" s="220"/>
      <c r="K45" s="126">
        <f>K34</f>
        <v>2023</v>
      </c>
      <c r="L45" s="222"/>
      <c r="M45" s="222"/>
      <c r="N45" s="222"/>
      <c r="O45" s="7"/>
      <c r="P45" s="65"/>
      <c r="Q45" s="284"/>
      <c r="R45" s="4"/>
      <c r="S45" s="4"/>
      <c r="T45" s="4"/>
      <c r="U45" s="4"/>
      <c r="V45" s="4"/>
      <c r="W45" s="4"/>
      <c r="X45" s="4"/>
      <c r="Y45" s="7"/>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row>
    <row r="46" spans="1:16383" ht="15" thickBot="1">
      <c r="A46" s="12" t="s">
        <v>22</v>
      </c>
      <c r="B46" s="10" t="s">
        <v>28</v>
      </c>
      <c r="C46" s="219"/>
      <c r="D46" s="219"/>
      <c r="E46" s="219"/>
      <c r="F46" s="219"/>
      <c r="G46" s="221"/>
      <c r="H46" s="221"/>
      <c r="I46" s="221"/>
      <c r="J46" s="221"/>
      <c r="K46" s="223"/>
      <c r="L46" s="223"/>
      <c r="M46" s="223"/>
      <c r="N46" s="223"/>
      <c r="O46" s="373"/>
      <c r="P46" s="371"/>
      <c r="Q46" s="284"/>
      <c r="R46" s="4"/>
      <c r="S46" s="4"/>
      <c r="T46" s="4"/>
      <c r="U46" s="4"/>
      <c r="V46" s="4"/>
      <c r="W46" s="4"/>
      <c r="X46" s="4"/>
      <c r="Y46" s="7"/>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row>
    <row r="47" spans="1:16383">
      <c r="B47" s="168" t="s">
        <v>29</v>
      </c>
      <c r="C47" s="248">
        <f>IFERROR(IF($H$31="YonY",INDEX('DATA FS'!$B$49:$M$79,MATCH('Poonawalla Fincorp '!$B47,'DATA FS'!$A$49:$A$79,0),MATCH(C$34,'DATA FS'!$B$47:$M$47,0)),INDEX('DATA FS'!$B$24:$M$34,MATCH('Poonawalla Fincorp '!$B47,'DATA FS'!$A$24:$A$34,0),MATCH('Poonawalla Fincorp '!C$55,'DATA FS'!$B$23:$M$23,0))),"-")</f>
        <v>20168</v>
      </c>
      <c r="D47" s="241"/>
      <c r="E47" s="241"/>
      <c r="F47" s="242"/>
      <c r="G47" s="248">
        <f>IFERROR(IF($H$31="YonY",INDEX('DATA FS'!$B$49:$M$79,MATCH('Poonawalla Fincorp '!$B47,'DATA FS'!$A$49:$A$79,0),MATCH(G$34,'DATA FS'!$B$47:$M$47,0)),INDEX('DATA FS'!$B$24:$M$34,MATCH('Poonawalla Fincorp '!$B47,'DATA FS'!$A$24:$A$34,0),MATCH('Poonawalla Fincorp '!G$55,'DATA FS'!$B$23:$M$23,0))),"-")</f>
        <v>44327</v>
      </c>
      <c r="H47" s="249"/>
      <c r="I47" s="249"/>
      <c r="J47" s="250"/>
      <c r="K47" s="248">
        <f>IFERROR(IF($H$31="YonY",INDEX('DATA FS'!$B$49:$M$79,MATCH('Poonawalla Fincorp '!$B47,'DATA FS'!$A$49:$A$79,0),MATCH(K$34,'DATA FS'!$B$47:$M$47,0)),INDEX('DATA FS'!$B$24:$M$34,MATCH('Poonawalla Fincorp '!$B47,'DATA FS'!$A$24:$A$34,0),MATCH('Poonawalla Fincorp '!K$55,'DATA FS'!$B$23:$M$23,0))),"-")</f>
        <v>44380</v>
      </c>
      <c r="L47" s="207"/>
      <c r="M47" s="207"/>
      <c r="N47" s="207"/>
      <c r="O47" s="368">
        <f>IFERROR(ROUND(AVERAGE(C47,G47,K47),2),"-")</f>
        <v>36291.67</v>
      </c>
      <c r="P47" s="369"/>
      <c r="Q47" s="284"/>
      <c r="R47" s="4"/>
      <c r="S47" s="4"/>
      <c r="T47" s="4"/>
      <c r="U47" s="4"/>
      <c r="V47" s="4"/>
      <c r="W47" s="4"/>
      <c r="X47" s="4"/>
      <c r="Y47" s="7"/>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row>
    <row r="48" spans="1:16383">
      <c r="B48" s="169"/>
      <c r="C48" s="243"/>
      <c r="D48" s="244"/>
      <c r="E48" s="244"/>
      <c r="F48" s="245"/>
      <c r="G48" s="251"/>
      <c r="H48" s="252"/>
      <c r="I48" s="252"/>
      <c r="J48" s="253"/>
      <c r="K48" s="254"/>
      <c r="L48" s="189"/>
      <c r="M48" s="189"/>
      <c r="N48" s="189"/>
      <c r="O48" s="368"/>
      <c r="P48" s="369"/>
      <c r="Q48" s="286">
        <f>IFERROR((K47-G47)/G47,"-")</f>
        <v>1.1956595303088411E-3</v>
      </c>
      <c r="R48" s="4"/>
      <c r="S48" s="4"/>
      <c r="T48" s="4"/>
      <c r="U48" s="4"/>
      <c r="V48" s="4"/>
      <c r="W48" s="4"/>
      <c r="X48" s="4"/>
      <c r="Y48" s="7"/>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row>
    <row r="49" spans="1:61">
      <c r="B49" s="168" t="s">
        <v>30</v>
      </c>
      <c r="C49" s="248">
        <f>IFERROR(IF($H$31="YonY",INDEX('DATA FS'!$B$49:$M$79,MATCH('Poonawalla Fincorp '!$B49,'DATA FS'!$A$49:$A$79,0),MATCH(C$34,'DATA FS'!$B$47:$M$47,0)),INDEX('DATA FS'!$B$24:$M$34,MATCH('Poonawalla Fincorp '!$B49,'DATA FS'!$A$24:$A$34,0),MATCH('Poonawalla Fincorp '!C$55,'DATA FS'!$B$23:$M$23,0))),"-")</f>
        <v>-14012</v>
      </c>
      <c r="D49" s="246"/>
      <c r="E49" s="246"/>
      <c r="F49" s="247"/>
      <c r="G49" s="248">
        <f>IFERROR(IF($H$31="YonY",INDEX('DATA FS'!$B$49:$M$79,MATCH('Poonawalla Fincorp '!$B49,'DATA FS'!$A$49:$A$79,0),MATCH(G$34,'DATA FS'!$B$47:$M$47,0)),INDEX('DATA FS'!$B$24:$M$34,MATCH('Poonawalla Fincorp '!$B49,'DATA FS'!$A$24:$A$34,0),MATCH('Poonawalla Fincorp '!G$55,'DATA FS'!$B$23:$M$23,0))),"-")</f>
        <v>-9438</v>
      </c>
      <c r="H49" s="255"/>
      <c r="I49" s="255"/>
      <c r="J49" s="256"/>
      <c r="K49" s="248">
        <f>IFERROR(IF($H$31="YonY",INDEX('DATA FS'!$B$49:$M$79,MATCH('Poonawalla Fincorp '!$B49,'DATA FS'!$A$49:$A$79,0),MATCH(K$34,'DATA FS'!$B$47:$M$47,0)),INDEX('DATA FS'!$B$24:$M$34,MATCH('Poonawalla Fincorp '!$B49,'DATA FS'!$A$24:$A$34,0),MATCH('Poonawalla Fincorp '!K$55,'DATA FS'!$B$23:$M$23,0))),"-")</f>
        <v>-10904</v>
      </c>
      <c r="L49" s="186"/>
      <c r="M49" s="186"/>
      <c r="N49" s="186"/>
      <c r="O49" s="368">
        <f>IFERROR(ROUND(AVERAGE(C49,G49,K49),2),"-")</f>
        <v>-11451.33</v>
      </c>
      <c r="P49" s="369"/>
      <c r="Q49" s="287"/>
      <c r="R49" s="4"/>
      <c r="S49" s="4"/>
      <c r="T49" s="4"/>
      <c r="U49" s="4"/>
      <c r="V49" s="4"/>
      <c r="W49" s="4"/>
      <c r="X49" s="4"/>
      <c r="Y49" s="7"/>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row>
    <row r="50" spans="1:61">
      <c r="B50" s="169"/>
      <c r="C50" s="243"/>
      <c r="D50" s="244"/>
      <c r="E50" s="244"/>
      <c r="F50" s="245"/>
      <c r="G50" s="251"/>
      <c r="H50" s="252"/>
      <c r="I50" s="252"/>
      <c r="J50" s="253"/>
      <c r="K50" s="254"/>
      <c r="L50" s="189"/>
      <c r="M50" s="189"/>
      <c r="N50" s="189"/>
      <c r="O50" s="368"/>
      <c r="P50" s="369"/>
      <c r="Q50" s="286">
        <f>IFERROR((K49-G49)/G49,"-")</f>
        <v>0.1553295189658826</v>
      </c>
      <c r="R50" s="4"/>
      <c r="S50" s="4"/>
      <c r="T50" s="4"/>
      <c r="U50" s="4"/>
      <c r="V50" s="4"/>
      <c r="W50" s="4"/>
      <c r="X50" s="4"/>
      <c r="Y50" s="7"/>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row>
    <row r="51" spans="1:61">
      <c r="B51" s="168" t="s">
        <v>31</v>
      </c>
      <c r="C51" s="248">
        <f>IFERROR(IF($H$31="YonY",INDEX('DATA FS'!$B$49:$M$79,MATCH('Poonawalla Fincorp '!$B51,'DATA FS'!$A$49:$A$79,0),MATCH(C$34,'DATA FS'!$B$47:$M$47,0)),INDEX('DATA FS'!$B$24:$M$34,MATCH('Poonawalla Fincorp '!$B51,'DATA FS'!$A$24:$A$34,0),MATCH('Poonawalla Fincorp '!C$55,'DATA FS'!$B$23:$M$23,0))),"-")</f>
        <v>-1694</v>
      </c>
      <c r="D51" s="246"/>
      <c r="E51" s="246"/>
      <c r="F51" s="247"/>
      <c r="G51" s="248">
        <f>IFERROR(IF($H$31="YonY",INDEX('DATA FS'!$B$49:$M$79,MATCH('Poonawalla Fincorp '!$B51,'DATA FS'!$A$49:$A$79,0),MATCH(G$34,'DATA FS'!$B$47:$M$47,0)),INDEX('DATA FS'!$B$24:$M$34,MATCH('Poonawalla Fincorp '!$B51,'DATA FS'!$A$24:$A$34,0),MATCH('Poonawalla Fincorp '!G$55,'DATA FS'!$B$23:$M$23,0))),"-")</f>
        <v>-37090</v>
      </c>
      <c r="H51" s="255"/>
      <c r="I51" s="255"/>
      <c r="J51" s="256"/>
      <c r="K51" s="248">
        <f>IFERROR(IF($H$31="YonY",INDEX('DATA FS'!$B$49:$M$79,MATCH('Poonawalla Fincorp '!$B51,'DATA FS'!$A$49:$A$79,0),MATCH(K$34,'DATA FS'!$B$47:$M$47,0)),INDEX('DATA FS'!$B$24:$M$34,MATCH('Poonawalla Fincorp '!$B51,'DATA FS'!$A$24:$A$34,0),MATCH('Poonawalla Fincorp '!K$55,'DATA FS'!$B$23:$M$23,0))),"-")</f>
        <v>-23401</v>
      </c>
      <c r="L51" s="186"/>
      <c r="M51" s="186"/>
      <c r="N51" s="186"/>
      <c r="O51" s="368">
        <f>IFERROR(ROUND(AVERAGE(C51,G51,K51),2),"-")</f>
        <v>-20728.330000000002</v>
      </c>
      <c r="P51" s="369"/>
      <c r="Q51" s="287"/>
      <c r="R51" s="4"/>
      <c r="S51" s="4"/>
      <c r="T51" s="4"/>
      <c r="U51" s="4"/>
      <c r="V51" s="4"/>
      <c r="W51" s="4"/>
      <c r="X51" s="4"/>
      <c r="Y51" s="7"/>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row>
    <row r="52" spans="1:61" ht="15" thickBot="1">
      <c r="B52" s="169"/>
      <c r="C52" s="173"/>
      <c r="D52" s="174"/>
      <c r="E52" s="174"/>
      <c r="F52" s="175"/>
      <c r="G52" s="191"/>
      <c r="H52" s="192"/>
      <c r="I52" s="192"/>
      <c r="J52" s="193"/>
      <c r="K52" s="194"/>
      <c r="L52" s="192"/>
      <c r="M52" s="192"/>
      <c r="N52" s="192"/>
      <c r="O52" s="368"/>
      <c r="P52" s="369"/>
      <c r="Q52" s="286">
        <f>IFERROR((K51-G51)/G51,"-")</f>
        <v>-0.36907522243192237</v>
      </c>
      <c r="R52" s="4"/>
      <c r="S52" s="4"/>
      <c r="T52" s="4"/>
      <c r="U52" s="4"/>
      <c r="V52" s="4"/>
      <c r="W52" s="4"/>
      <c r="X52" s="4"/>
      <c r="Y52" s="7"/>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row>
    <row r="53" spans="1:61" ht="10.95" customHeight="1" thickBot="1">
      <c r="B53" s="11" t="s">
        <v>330</v>
      </c>
      <c r="C53" s="410"/>
      <c r="D53" s="411"/>
      <c r="E53" s="411"/>
      <c r="F53" s="412"/>
      <c r="G53" s="71"/>
      <c r="H53" s="72"/>
      <c r="I53" s="72"/>
      <c r="J53" s="73"/>
      <c r="K53" s="406"/>
      <c r="L53" s="407"/>
      <c r="M53" s="407"/>
      <c r="N53" s="408"/>
      <c r="O53" s="16"/>
      <c r="P53" s="65"/>
      <c r="Q53" s="284"/>
      <c r="R53" s="4"/>
      <c r="S53" s="4"/>
      <c r="T53" s="4"/>
      <c r="U53" s="4"/>
      <c r="V53" s="4"/>
      <c r="W53" s="4"/>
      <c r="X53" s="4"/>
      <c r="Y53" s="7"/>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row>
    <row r="54" spans="1:61" ht="15.45" customHeight="1">
      <c r="B54" s="14"/>
      <c r="C54" s="224">
        <f>C45</f>
        <v>2021</v>
      </c>
      <c r="D54" s="224"/>
      <c r="E54" s="224"/>
      <c r="F54" s="224"/>
      <c r="G54" s="225">
        <f>G45</f>
        <v>2022</v>
      </c>
      <c r="H54" s="225"/>
      <c r="I54" s="225"/>
      <c r="J54" s="225"/>
      <c r="K54" s="226">
        <f>K45</f>
        <v>2023</v>
      </c>
      <c r="L54" s="226"/>
      <c r="M54" s="226"/>
      <c r="N54" s="227"/>
      <c r="O54" s="16"/>
      <c r="P54" s="65"/>
      <c r="Q54" s="284"/>
      <c r="R54" s="4"/>
      <c r="S54" s="4"/>
      <c r="T54" s="4"/>
      <c r="U54" s="4"/>
      <c r="V54" s="4"/>
      <c r="W54" s="4"/>
      <c r="X54" s="4"/>
      <c r="Y54" s="7"/>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row>
    <row r="55" spans="1:61">
      <c r="A55" s="13" t="s">
        <v>22</v>
      </c>
      <c r="B55" s="15" t="s">
        <v>5</v>
      </c>
      <c r="C55" s="283" t="str">
        <f>IF($H$31="YonY","-","Q1")</f>
        <v>-</v>
      </c>
      <c r="D55" s="283" t="str">
        <f>IF($H$31="YonY","-","Q2")</f>
        <v>-</v>
      </c>
      <c r="E55" s="283" t="str">
        <f>IF($H$31="YonY","-","Q3")</f>
        <v>-</v>
      </c>
      <c r="F55" s="283" t="str">
        <f>IF($H$31="YonY","-","Q4")</f>
        <v>-</v>
      </c>
      <c r="G55" s="282" t="str">
        <f>IF($H$31="YonY","-","Q1")</f>
        <v>-</v>
      </c>
      <c r="H55" s="280" t="str">
        <f>IF($H$31="YonY","-","Q2")</f>
        <v>-</v>
      </c>
      <c r="I55" s="280" t="str">
        <f>IF($H$31="YonY","-","Q3")</f>
        <v>-</v>
      </c>
      <c r="J55" s="280" t="str">
        <f>IF($H$31="YonY","-","Q4")</f>
        <v>-</v>
      </c>
      <c r="K55" s="281" t="str">
        <f>IF($H$31="YonY","-","Q1")</f>
        <v>-</v>
      </c>
      <c r="L55" s="281" t="str">
        <f>IF($H$31="YonY","-","Q2")</f>
        <v>-</v>
      </c>
      <c r="M55" s="281" t="str">
        <f>IF($H$31="YonY","-","Q3")</f>
        <v>-</v>
      </c>
      <c r="N55" s="281" t="str">
        <f>IF($H$31="YonY","-","Q4")</f>
        <v>-</v>
      </c>
      <c r="O55" s="370"/>
      <c r="P55" s="371"/>
      <c r="Q55" s="284"/>
      <c r="R55" s="4"/>
      <c r="S55" s="4"/>
      <c r="T55" s="4"/>
      <c r="U55" s="4"/>
      <c r="V55" s="4"/>
      <c r="W55" s="4"/>
      <c r="X55" s="4"/>
      <c r="Y55" s="7"/>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row>
    <row r="56" spans="1:61">
      <c r="B56" s="132" t="s">
        <v>32</v>
      </c>
      <c r="C56" s="248">
        <f>IFERROR(IF($H$31="YonY",INDEX('DATA FS'!$B$49:$M$79,MATCH('Poonawalla Fincorp '!$B56,'DATA FS'!$A$49:$A$79,0),MATCH(C$34,'DATA FS'!$B$47:$M$47,0)),INDEX('DATA FS'!$B$24:$M$34,MATCH('Poonawalla Fincorp '!$B56,'DATA FS'!$A$24:$A$34,0),MATCH('Poonawalla Fincorp '!C$55,'DATA FS'!$B$23:$M$23,0))),"-")</f>
        <v>1756.98</v>
      </c>
      <c r="D56" s="240" t="str">
        <f>IFERROR(IF($H$31="YonY",INDEX('DATA FS'!$B$49:$M$79,MATCH('Poonawalla Fincorp '!$B56,'DATA FS'!$A$49:$A$79,0),MATCH(D$34,'DATA FS'!$B$47:$M$47,0)),INDEX('DATA FS'!$B$24:$M$34,MATCH('Poonawalla Fincorp '!$B56,'DATA FS'!$A$24:$A$34,0),MATCH('Poonawalla Fincorp '!D$55,'DATA FS'!$B$23:$M$23,0))),"-")</f>
        <v>-</v>
      </c>
      <c r="E56" s="240" t="str">
        <f>IFERROR(IF($H$31="YonY",INDEX('DATA FS'!$B$49:$M$79,MATCH('Poonawalla Fincorp '!$B56,'DATA FS'!$A$49:$A$79,0),MATCH(E$34,'DATA FS'!$B$47:$M$47,0)),INDEX('DATA FS'!$B$24:$M$34,MATCH('Poonawalla Fincorp '!$B56,'DATA FS'!$A$24:$A$34,0),MATCH('Poonawalla Fincorp '!E$55,'DATA FS'!$B$23:$M$23,0))),"-")</f>
        <v>-</v>
      </c>
      <c r="F56" s="240" t="str">
        <f>IFERROR(IF($H$31="YonY",INDEX('DATA FS'!$B$49:$M$79,MATCH('Poonawalla Fincorp '!$B56,'DATA FS'!$A$49:$A$79,0),MATCH(F$34,'DATA FS'!$B$47:$M$47,0)),INDEX('DATA FS'!$B$24:$M$34,MATCH('Poonawalla Fincorp '!$B56,'DATA FS'!$A$24:$A$34,0),MATCH('Poonawalla Fincorp '!F$55,'DATA FS'!$B$23:$M$23,0))),"-")</f>
        <v>-</v>
      </c>
      <c r="G56" s="248">
        <f>IFERROR(IF($H$31="YonY",INDEX('DATA FS'!$B$49:$M$79,MATCH('Poonawalla Fincorp '!$B56,'DATA FS'!$A$49:$A$79,0),MATCH(G$34,'DATA FS'!$B$47:$M$47,0)),INDEX('DATA FS'!$B$24:$M$34,MATCH('Poonawalla Fincorp '!$B56,'DATA FS'!$A$24:$A$34,0),MATCH('Poonawalla Fincorp '!G$55,'DATA FS'!$B$23:$M$23,0))),"-")</f>
        <v>1458.56</v>
      </c>
      <c r="H56" s="240" t="str">
        <f>IFERROR(IF($H$31="YonY",INDEX('DATA FS'!$B$49:$M$79,MATCH('Poonawalla Fincorp '!$B56,'DATA FS'!$A$49:$A$79,0),MATCH(H$34,'DATA FS'!$B$47:$M$47,0)),INDEX('DATA FS'!$B$24:$M$34,MATCH('Poonawalla Fincorp '!$B56,'DATA FS'!$A$24:$A$34,0),MATCH('Poonawalla Fincorp '!H$55,'DATA FS'!$B$23:$M$23,0))),"-")</f>
        <v>-</v>
      </c>
      <c r="I56" s="240" t="str">
        <f>IFERROR(IF($H$31="YonY",INDEX('DATA FS'!$B$49:$M$79,MATCH('Poonawalla Fincorp '!$B56,'DATA FS'!$A$49:$A$79,0),MATCH(I$34,'DATA FS'!$B$47:$M$47,0)),INDEX('DATA FS'!$B$24:$M$34,MATCH('Poonawalla Fincorp '!$B56,'DATA FS'!$A$24:$A$34,0),MATCH('Poonawalla Fincorp '!I$55,'DATA FS'!$B$23:$M$23,0))),"-")</f>
        <v>-</v>
      </c>
      <c r="J56" s="240" t="str">
        <f>IFERROR(IF($H$31="YonY",INDEX('DATA FS'!$B$49:$M$79,MATCH('Poonawalla Fincorp '!$B56,'DATA FS'!$A$49:$A$79,0),MATCH(J$34,'DATA FS'!$B$47:$M$47,0)),INDEX('DATA FS'!$B$24:$M$34,MATCH('Poonawalla Fincorp '!$B56,'DATA FS'!$A$24:$A$34,0),MATCH('Poonawalla Fincorp '!J$55,'DATA FS'!$B$23:$M$23,0))),"-")</f>
        <v>-</v>
      </c>
      <c r="K56" s="248">
        <f>IFERROR(IF($H$31="YonY",INDEX('DATA FS'!$B$49:$M$79,MATCH('Poonawalla Fincorp '!$B56,'DATA FS'!$A$49:$A$79,0),MATCH(K$34,'DATA FS'!$B$47:$M$47,0)),INDEX('DATA FS'!$B$24:$M$34,MATCH('Poonawalla Fincorp '!$B56,'DATA FS'!$A$24:$A$34,0),MATCH('Poonawalla Fincorp '!K$55,'DATA FS'!$B$23:$M$23,0))),"-")</f>
        <v>1816.94</v>
      </c>
      <c r="L56" s="240" t="str">
        <f>IFERROR(IF($H$31="YonY",INDEX('DATA FS'!$B$49:$M$79,MATCH('Poonawalla Fincorp '!$B56,'DATA FS'!$A$49:$A$79,0),MATCH(L$34,'DATA FS'!$B$47:$M$47,0)),INDEX('DATA FS'!$B$24:$M$34,MATCH('Poonawalla Fincorp '!$B56,'DATA FS'!$A$24:$A$34,0),MATCH('Poonawalla Fincorp '!L$55,'DATA FS'!$B$23:$M$23,0))),"-")</f>
        <v>-</v>
      </c>
      <c r="M56" s="240" t="str">
        <f>IFERROR(IF($H$31="YonY",INDEX('DATA FS'!$B$49:$M$79,MATCH('Poonawalla Fincorp '!$B56,'DATA FS'!$A$49:$A$79,0),MATCH(M$34,'DATA FS'!$B$47:$M$47,0)),INDEX('DATA FS'!$B$24:$M$34,MATCH('Poonawalla Fincorp '!$B56,'DATA FS'!$A$24:$A$34,0),MATCH('Poonawalla Fincorp '!M$55,'DATA FS'!$B$23:$M$23,0))),"-")</f>
        <v>-</v>
      </c>
      <c r="N56" s="240" t="str">
        <f>IFERROR(IF($H$31="YonY",INDEX('DATA FS'!$B$49:$M$79,MATCH('Poonawalla Fincorp '!$B56,'DATA FS'!$A$49:$A$79,0),MATCH(N$34,'DATA FS'!$B$47:$M$47,0)),INDEX('DATA FS'!$B$24:$M$34,MATCH('Poonawalla Fincorp '!$B56,'DATA FS'!$A$24:$A$34,0),MATCH('Poonawalla Fincorp '!N$55,'DATA FS'!$B$23:$M$23,0))),"-")</f>
        <v>-</v>
      </c>
      <c r="O56" s="366">
        <f>IFERROR(ROUND(AVERAGE(C56,G56,K56),2),"-")</f>
        <v>1677.49</v>
      </c>
      <c r="P56" s="367"/>
      <c r="Q56" s="284"/>
      <c r="R56" s="4"/>
      <c r="S56" s="4"/>
      <c r="T56" s="4"/>
      <c r="U56" s="4"/>
      <c r="V56" s="4"/>
      <c r="W56" s="4"/>
      <c r="X56" s="4"/>
      <c r="Y56" s="7"/>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row>
    <row r="57" spans="1:61">
      <c r="B57" s="133"/>
      <c r="C57" s="257"/>
      <c r="D57" s="258"/>
      <c r="E57" s="258"/>
      <c r="F57" s="259"/>
      <c r="G57" s="260"/>
      <c r="H57" s="260"/>
      <c r="I57" s="260"/>
      <c r="J57" s="260"/>
      <c r="K57" s="261"/>
      <c r="L57" s="261"/>
      <c r="M57" s="261"/>
      <c r="N57" s="276"/>
      <c r="O57" s="366"/>
      <c r="P57" s="367"/>
      <c r="Q57" s="286">
        <f>IFERROR(IF($H$31="QonQ",(N56-M56)/M56,(K56-G56)/G56),"-")</f>
        <v>0.24570809565598956</v>
      </c>
      <c r="R57" s="4"/>
      <c r="S57" s="4"/>
      <c r="T57" s="4"/>
      <c r="U57" s="4"/>
      <c r="V57" s="4"/>
      <c r="W57" s="4"/>
      <c r="X57" s="4"/>
      <c r="Y57" s="7"/>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row>
    <row r="58" spans="1:61">
      <c r="B58" s="132" t="s">
        <v>33</v>
      </c>
      <c r="C58" s="248">
        <f>IFERROR(IF($H$31="YonY",INDEX('DATA FS'!$B$49:$M$79,MATCH('Poonawalla Fincorp '!$B58,'DATA FS'!$A$49:$A$79,0),MATCH(C$34,'DATA FS'!$B$47:$M$47,0)),INDEX('DATA FS'!$B$24:$M$34,MATCH('Poonawalla Fincorp '!$B58,'DATA FS'!$A$24:$A$34,0),MATCH('Poonawalla Fincorp '!C$55,'DATA FS'!$B$23:$M$23,0))),"-")</f>
        <v>874.6</v>
      </c>
      <c r="D58" s="240" t="str">
        <f>IFERROR(IF($H$31="YonY",INDEX('DATA FS'!$B$49:$M$79,MATCH('Poonawalla Fincorp '!$B58,'DATA FS'!$A$49:$A$79,0),MATCH(D$34,'DATA FS'!$B$47:$M$47,0)),INDEX('DATA FS'!$B$24:$M$34,MATCH('Poonawalla Fincorp '!$B58,'DATA FS'!$A$24:$A$34,0),MATCH('Poonawalla Fincorp '!D$55,'DATA FS'!$B$23:$M$23,0))),"-")</f>
        <v>-</v>
      </c>
      <c r="E58" s="240" t="str">
        <f>IFERROR(IF($H$31="YonY",INDEX('DATA FS'!$B$49:$M$79,MATCH('Poonawalla Fincorp '!$B58,'DATA FS'!$A$49:$A$79,0),MATCH(E$34,'DATA FS'!$B$47:$M$47,0)),INDEX('DATA FS'!$B$24:$M$34,MATCH('Poonawalla Fincorp '!$B58,'DATA FS'!$A$24:$A$34,0),MATCH('Poonawalla Fincorp '!E$55,'DATA FS'!$B$23:$M$23,0))),"-")</f>
        <v>-</v>
      </c>
      <c r="F58" s="240" t="str">
        <f>IFERROR(IF($H$31="YonY",INDEX('DATA FS'!$B$49:$M$79,MATCH('Poonawalla Fincorp '!$B58,'DATA FS'!$A$49:$A$79,0),MATCH(F$34,'DATA FS'!$B$47:$M$47,0)),INDEX('DATA FS'!$B$24:$M$34,MATCH('Poonawalla Fincorp '!$B58,'DATA FS'!$A$24:$A$34,0),MATCH('Poonawalla Fincorp '!F$55,'DATA FS'!$B$23:$M$23,0))),"-")</f>
        <v>-</v>
      </c>
      <c r="G58" s="248">
        <f>IFERROR(IF($H$31="YonY",INDEX('DATA FS'!$B$49:$M$79,MATCH('Poonawalla Fincorp '!$B58,'DATA FS'!$A$49:$A$79,0),MATCH(G$34,'DATA FS'!$B$47:$M$47,0)),INDEX('DATA FS'!$B$24:$M$34,MATCH('Poonawalla Fincorp '!$B58,'DATA FS'!$A$24:$A$34,0),MATCH('Poonawalla Fincorp '!G$55,'DATA FS'!$B$23:$M$23,0))),"-")</f>
        <v>509.29</v>
      </c>
      <c r="H58" s="240" t="str">
        <f>IFERROR(IF($H$31="YonY",INDEX('DATA FS'!$B$49:$M$79,MATCH('Poonawalla Fincorp '!$B58,'DATA FS'!$A$49:$A$79,0),MATCH(H$34,'DATA FS'!$B$47:$M$47,0)),INDEX('DATA FS'!$B$24:$M$34,MATCH('Poonawalla Fincorp '!$B58,'DATA FS'!$A$24:$A$34,0),MATCH('Poonawalla Fincorp '!H$55,'DATA FS'!$B$23:$M$23,0))),"-")</f>
        <v>-</v>
      </c>
      <c r="I58" s="240" t="str">
        <f>IFERROR(IF($H$31="YonY",INDEX('DATA FS'!$B$49:$M$79,MATCH('Poonawalla Fincorp '!$B58,'DATA FS'!$A$49:$A$79,0),MATCH(I$34,'DATA FS'!$B$47:$M$47,0)),INDEX('DATA FS'!$B$24:$M$34,MATCH('Poonawalla Fincorp '!$B58,'DATA FS'!$A$24:$A$34,0),MATCH('Poonawalla Fincorp '!I$55,'DATA FS'!$B$23:$M$23,0))),"-")</f>
        <v>-</v>
      </c>
      <c r="J58" s="240" t="str">
        <f>IFERROR(IF($H$31="YonY",INDEX('DATA FS'!$B$49:$M$79,MATCH('Poonawalla Fincorp '!$B58,'DATA FS'!$A$49:$A$79,0),MATCH(J$34,'DATA FS'!$B$47:$M$47,0)),INDEX('DATA FS'!$B$24:$M$34,MATCH('Poonawalla Fincorp '!$B58,'DATA FS'!$A$24:$A$34,0),MATCH('Poonawalla Fincorp '!J$55,'DATA FS'!$B$23:$M$23,0))),"-")</f>
        <v>-</v>
      </c>
      <c r="K58" s="248">
        <f>IFERROR(IF($H$31="YonY",INDEX('DATA FS'!$B$49:$M$79,MATCH('Poonawalla Fincorp '!$B58,'DATA FS'!$A$49:$A$79,0),MATCH(K$34,'DATA FS'!$B$47:$M$47,0)),INDEX('DATA FS'!$B$24:$M$34,MATCH('Poonawalla Fincorp '!$B58,'DATA FS'!$A$24:$A$34,0),MATCH('Poonawalla Fincorp '!K$55,'DATA FS'!$B$23:$M$23,0))),"-")</f>
        <v>595.28</v>
      </c>
      <c r="L58" s="240" t="str">
        <f>IFERROR(IF($H$31="YonY",INDEX('DATA FS'!$B$49:$M$79,MATCH('Poonawalla Fincorp '!$B58,'DATA FS'!$A$49:$A$79,0),MATCH(L$34,'DATA FS'!$B$47:$M$47,0)),INDEX('DATA FS'!$B$24:$M$34,MATCH('Poonawalla Fincorp '!$B58,'DATA FS'!$A$24:$A$34,0),MATCH('Poonawalla Fincorp '!L$55,'DATA FS'!$B$23:$M$23,0))),"-")</f>
        <v>-</v>
      </c>
      <c r="M58" s="240" t="str">
        <f>IFERROR(IF($H$31="YonY",INDEX('DATA FS'!$B$49:$M$79,MATCH('Poonawalla Fincorp '!$B58,'DATA FS'!$A$49:$A$79,0),MATCH(M$34,'DATA FS'!$B$47:$M$47,0)),INDEX('DATA FS'!$B$24:$M$34,MATCH('Poonawalla Fincorp '!$B58,'DATA FS'!$A$24:$A$34,0),MATCH('Poonawalla Fincorp '!M$55,'DATA FS'!$B$23:$M$23,0))),"-")</f>
        <v>-</v>
      </c>
      <c r="N58" s="240" t="str">
        <f>IFERROR(IF($H$31="YonY",INDEX('DATA FS'!$B$49:$M$79,MATCH('Poonawalla Fincorp '!$B58,'DATA FS'!$A$49:$A$79,0),MATCH(N$34,'DATA FS'!$B$47:$M$47,0)),INDEX('DATA FS'!$B$24:$M$34,MATCH('Poonawalla Fincorp '!$B58,'DATA FS'!$A$24:$A$34,0),MATCH('Poonawalla Fincorp '!N$55,'DATA FS'!$B$23:$M$23,0))),"-")</f>
        <v>-</v>
      </c>
      <c r="O58" s="366">
        <f>IFERROR(ROUND(AVERAGE(C58,D58,E58,F58,G58,H58,I58,J58,K58,L58,M58,N58),2),"-")</f>
        <v>659.72</v>
      </c>
      <c r="P58" s="367"/>
      <c r="Q58" s="288"/>
      <c r="R58" s="4"/>
      <c r="S58" s="4"/>
      <c r="T58" s="4"/>
      <c r="U58" s="4"/>
      <c r="V58" s="4"/>
      <c r="W58" s="4"/>
      <c r="X58" s="4"/>
      <c r="Y58" s="7"/>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row>
    <row r="59" spans="1:61" ht="15" thickBot="1">
      <c r="B59" s="133"/>
      <c r="C59" s="262"/>
      <c r="D59" s="263"/>
      <c r="E59" s="263"/>
      <c r="F59" s="264"/>
      <c r="G59" s="265"/>
      <c r="H59" s="265"/>
      <c r="I59" s="265"/>
      <c r="J59" s="265"/>
      <c r="K59" s="265"/>
      <c r="L59" s="265"/>
      <c r="M59" s="265"/>
      <c r="N59" s="277"/>
      <c r="O59" s="366"/>
      <c r="P59" s="367"/>
      <c r="Q59" s="286">
        <f>IFERROR(IF($H$31="QonQ",(N58-M58)/M58,(K58-G58)/G58),"-")</f>
        <v>0.16884289893773674</v>
      </c>
      <c r="R59" s="4"/>
      <c r="S59" s="4"/>
      <c r="T59" s="4"/>
      <c r="U59" s="4"/>
      <c r="V59" s="4"/>
      <c r="W59" s="4"/>
      <c r="X59" s="4"/>
      <c r="Y59" s="7"/>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row>
    <row r="60" spans="1:61">
      <c r="B60" s="132" t="s">
        <v>34</v>
      </c>
      <c r="C60" s="266">
        <f>IFERROR(IF($H$31="YonY",INDEX('DATA FS'!$B$49:$M$79,MATCH('Poonawalla Fincorp '!$B60,'DATA FS'!$A$49:$A$79,0),MATCH(C$34,'DATA FS'!$B$47:$M$47,0)),INDEX('DATA FS'!$B$24:$M$34,MATCH('Poonawalla Fincorp '!$B60,'DATA FS'!$A$24:$A$34,0),MATCH('Poonawalla Fincorp '!C$55,'DATA FS'!$B$23:$M$23,0))),"-")</f>
        <v>91.74</v>
      </c>
      <c r="D60" s="267" t="str">
        <f>IFERROR(IF($H$31="YonY",INDEX('DATA FS'!$B$49:$M$79,MATCH('Poonawalla Fincorp '!$B60,'DATA FS'!$A$49:$A$79,0),MATCH(D$34,'DATA FS'!$B$47:$M$47,0)),INDEX('DATA FS'!$B$24:$M$34,MATCH('Poonawalla Fincorp '!$B60,'DATA FS'!$A$24:$A$34,0),MATCH('Poonawalla Fincorp '!D$55,'DATA FS'!$B$23:$M$23,0))),"-")</f>
        <v>-</v>
      </c>
      <c r="E60" s="267" t="str">
        <f>IFERROR(IF($H$31="YonY",INDEX('DATA FS'!$B$49:$M$79,MATCH('Poonawalla Fincorp '!$B60,'DATA FS'!$A$49:$A$79,0),MATCH(E$34,'DATA FS'!$B$47:$M$47,0)),INDEX('DATA FS'!$B$24:$M$34,MATCH('Poonawalla Fincorp '!$B60,'DATA FS'!$A$24:$A$34,0),MATCH('Poonawalla Fincorp '!E$55,'DATA FS'!$B$23:$M$23,0))),"-")</f>
        <v>-</v>
      </c>
      <c r="F60" s="268" t="str">
        <f>IFERROR(IF($H$31="YonY",INDEX('DATA FS'!$B$49:$M$79,MATCH('Poonawalla Fincorp '!$B60,'DATA FS'!$A$49:$A$79,0),MATCH(F$34,'DATA FS'!$B$47:$M$47,0)),INDEX('DATA FS'!$B$24:$M$34,MATCH('Poonawalla Fincorp '!$B60,'DATA FS'!$A$24:$A$34,0),MATCH('Poonawalla Fincorp '!F$55,'DATA FS'!$B$23:$M$23,0))),"-")</f>
        <v>-</v>
      </c>
      <c r="G60" s="269">
        <f>IFERROR(IF($H$31="YonY",INDEX('DATA FS'!$B$49:$M$79,MATCH('Poonawalla Fincorp '!$B60,'DATA FS'!$A$49:$A$79,0),MATCH(G$34,'DATA FS'!$B$47:$M$47,0)),INDEX('DATA FS'!$B$24:$M$34,MATCH('Poonawalla Fincorp '!$B60,'DATA FS'!$A$24:$A$34,0),MATCH('Poonawalla Fincorp '!G$55,'DATA FS'!$B$23:$M$23,0))),"-")</f>
        <v>77.66</v>
      </c>
      <c r="H60" s="270" t="str">
        <f>IFERROR(IF($H$31="YonY",INDEX('DATA FS'!$B$49:$M$79,MATCH('Poonawalla Fincorp '!$B60,'DATA FS'!$A$49:$A$79,0),MATCH(H$34,'DATA FS'!$B$47:$M$47,0)),INDEX('DATA FS'!$B$24:$M$34,MATCH('Poonawalla Fincorp '!$B60,'DATA FS'!$A$24:$A$34,0),MATCH('Poonawalla Fincorp '!H$55,'DATA FS'!$B$23:$M$23,0))),"-")</f>
        <v>-</v>
      </c>
      <c r="I60" s="270" t="str">
        <f>IFERROR(IF($H$31="YonY",INDEX('DATA FS'!$B$49:$M$79,MATCH('Poonawalla Fincorp '!$B60,'DATA FS'!$A$49:$A$79,0),MATCH(I$34,'DATA FS'!$B$47:$M$47,0)),INDEX('DATA FS'!$B$24:$M$34,MATCH('Poonawalla Fincorp '!$B60,'DATA FS'!$A$24:$A$34,0),MATCH('Poonawalla Fincorp '!I$55,'DATA FS'!$B$23:$M$23,0))),"-")</f>
        <v>-</v>
      </c>
      <c r="J60" s="270" t="str">
        <f>IFERROR(IF($H$31="YonY",INDEX('DATA FS'!$B$49:$M$79,MATCH('Poonawalla Fincorp '!$B60,'DATA FS'!$A$49:$A$79,0),MATCH(J$34,'DATA FS'!$B$47:$M$47,0)),INDEX('DATA FS'!$B$24:$M$34,MATCH('Poonawalla Fincorp '!$B60,'DATA FS'!$A$24:$A$34,0),MATCH('Poonawalla Fincorp '!J$55,'DATA FS'!$B$23:$M$23,0))),"-")</f>
        <v>-</v>
      </c>
      <c r="K60" s="269">
        <f>IFERROR(IF($H$31="YonY",INDEX('DATA FS'!$B$49:$M$79,MATCH('Poonawalla Fincorp '!$B60,'DATA FS'!$A$49:$A$79,0),MATCH(K$34,'DATA FS'!$B$47:$M$47,0)),INDEX('DATA FS'!$B$24:$M$34,MATCH('Poonawalla Fincorp '!$B60,'DATA FS'!$A$24:$A$34,0),MATCH('Poonawalla Fincorp '!K$55,'DATA FS'!$B$23:$M$23,0))),"-")</f>
        <v>123.39</v>
      </c>
      <c r="L60" s="270" t="str">
        <f>IFERROR(IF($H$31="YonY",INDEX('DATA FS'!$B$49:$M$79,MATCH('Poonawalla Fincorp '!$B60,'DATA FS'!$A$49:$A$79,0),MATCH(L$34,'DATA FS'!$B$47:$M$47,0)),INDEX('DATA FS'!$B$24:$M$34,MATCH('Poonawalla Fincorp '!$B60,'DATA FS'!$A$24:$A$34,0),MATCH('Poonawalla Fincorp '!L$55,'DATA FS'!$B$23:$M$23,0))),"-")</f>
        <v>-</v>
      </c>
      <c r="M60" s="270" t="str">
        <f>IFERROR(IF($H$31="YonY",INDEX('DATA FS'!$B$49:$M$79,MATCH('Poonawalla Fincorp '!$B60,'DATA FS'!$A$49:$A$79,0),MATCH(M$34,'DATA FS'!$B$47:$M$47,0)),INDEX('DATA FS'!$B$24:$M$34,MATCH('Poonawalla Fincorp '!$B60,'DATA FS'!$A$24:$A$34,0),MATCH('Poonawalla Fincorp '!M$55,'DATA FS'!$B$23:$M$23,0))),"-")</f>
        <v>-</v>
      </c>
      <c r="N60" s="278" t="str">
        <f>IFERROR(IF($H$31="YonY",INDEX('DATA FS'!$B$49:$M$79,MATCH('Poonawalla Fincorp '!$B60,'DATA FS'!$A$49:$A$79,0),MATCH(N$34,'DATA FS'!$B$47:$M$47,0)),INDEX('DATA FS'!$B$24:$M$34,MATCH('Poonawalla Fincorp '!$B60,'DATA FS'!$A$24:$A$34,0),MATCH('Poonawalla Fincorp '!N$55,'DATA FS'!$B$23:$M$23,0))),"-")</f>
        <v>-</v>
      </c>
      <c r="O60" s="366">
        <f>IFERROR(ROUND(AVERAGE(C60,D60,E60,F60,G60,H60,I60,J60,K60,L60,M60,N60),2),"-")</f>
        <v>97.6</v>
      </c>
      <c r="P60" s="367"/>
      <c r="Q60" s="288"/>
      <c r="R60" s="4"/>
      <c r="S60" s="4"/>
      <c r="T60" s="4"/>
      <c r="U60" s="4"/>
      <c r="V60" s="4"/>
      <c r="W60" s="4"/>
      <c r="X60" s="4"/>
      <c r="Y60" s="7"/>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row>
    <row r="61" spans="1:61" ht="15" thickBot="1">
      <c r="B61" s="133"/>
      <c r="C61" s="262"/>
      <c r="D61" s="263"/>
      <c r="E61" s="263"/>
      <c r="F61" s="264"/>
      <c r="G61" s="265"/>
      <c r="H61" s="265"/>
      <c r="I61" s="265"/>
      <c r="J61" s="265"/>
      <c r="K61" s="265"/>
      <c r="L61" s="265"/>
      <c r="M61" s="265"/>
      <c r="N61" s="277"/>
      <c r="O61" s="366"/>
      <c r="P61" s="367"/>
      <c r="Q61" s="286">
        <f>IFERROR(IF($H$31="QonQ",(N60-M60)/M60,(K60-G60)/G60),"-")</f>
        <v>0.58884882822559881</v>
      </c>
      <c r="R61" s="4"/>
      <c r="S61" s="4"/>
      <c r="T61" s="4"/>
      <c r="U61" s="4"/>
      <c r="V61" s="4"/>
      <c r="W61" s="4"/>
      <c r="X61" s="4"/>
      <c r="Y61" s="7"/>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row>
    <row r="62" spans="1:61">
      <c r="B62" s="132" t="s">
        <v>35</v>
      </c>
      <c r="C62" s="266">
        <f>IFERROR(IF($H$31="YonY",INDEX('DATA FS'!$B$49:$M$79,MATCH('Poonawalla Fincorp '!$B62,'DATA FS'!$A$49:$A$79,0),MATCH(C$34,'DATA FS'!$B$47:$M$47,0)),INDEX('DATA FS'!$B$24:$M$34,MATCH('Poonawalla Fincorp '!$B62,'DATA FS'!$A$24:$A$34,0),MATCH('Poonawalla Fincorp '!C$55,'DATA FS'!$B$23:$M$23,0))),"-")</f>
        <v>404.12</v>
      </c>
      <c r="D62" s="267" t="str">
        <f>IFERROR(IF($H$31="YonY",INDEX('DATA FS'!$B$49:$M$79,MATCH('Poonawalla Fincorp '!$B62,'DATA FS'!$A$49:$A$79,0),MATCH(D$34,'DATA FS'!$B$47:$M$47,0)),INDEX('DATA FS'!$B$24:$M$34,MATCH('Poonawalla Fincorp '!$B62,'DATA FS'!$A$24:$A$34,0),MATCH('Poonawalla Fincorp '!D$55,'DATA FS'!$B$23:$M$23,0))),"-")</f>
        <v>-</v>
      </c>
      <c r="E62" s="267" t="str">
        <f>IFERROR(IF($H$31="YonY",INDEX('DATA FS'!$B$49:$M$79,MATCH('Poonawalla Fincorp '!$B62,'DATA FS'!$A$49:$A$79,0),MATCH(E$34,'DATA FS'!$B$47:$M$47,0)),INDEX('DATA FS'!$B$24:$M$34,MATCH('Poonawalla Fincorp '!$B62,'DATA FS'!$A$24:$A$34,0),MATCH('Poonawalla Fincorp '!E$55,'DATA FS'!$B$23:$M$23,0))),"-")</f>
        <v>-</v>
      </c>
      <c r="F62" s="268" t="str">
        <f>IFERROR(IF($H$31="YonY",INDEX('DATA FS'!$B$49:$M$79,MATCH('Poonawalla Fincorp '!$B62,'DATA FS'!$A$49:$A$79,0),MATCH(F$34,'DATA FS'!$B$47:$M$47,0)),INDEX('DATA FS'!$B$24:$M$34,MATCH('Poonawalla Fincorp '!$B62,'DATA FS'!$A$24:$A$34,0),MATCH('Poonawalla Fincorp '!F$55,'DATA FS'!$B$23:$M$23,0))),"-")</f>
        <v>-</v>
      </c>
      <c r="G62" s="269">
        <f>IFERROR(IF($H$31="YonY",INDEX('DATA FS'!$B$49:$M$79,MATCH('Poonawalla Fincorp '!$B62,'DATA FS'!$A$49:$A$79,0),MATCH(G$34,'DATA FS'!$B$47:$M$47,0)),INDEX('DATA FS'!$B$24:$M$34,MATCH('Poonawalla Fincorp '!$B62,'DATA FS'!$A$24:$A$34,0),MATCH('Poonawalla Fincorp '!G$55,'DATA FS'!$B$23:$M$23,0))),"-")</f>
        <v>555</v>
      </c>
      <c r="H62" s="270" t="str">
        <f>IFERROR(IF($H$31="YonY",INDEX('DATA FS'!$B$49:$M$79,MATCH('Poonawalla Fincorp '!$B62,'DATA FS'!$A$49:$A$79,0),MATCH(H$34,'DATA FS'!$B$47:$M$47,0)),INDEX('DATA FS'!$B$24:$M$34,MATCH('Poonawalla Fincorp '!$B62,'DATA FS'!$A$24:$A$34,0),MATCH('Poonawalla Fincorp '!H$55,'DATA FS'!$B$23:$M$23,0))),"-")</f>
        <v>-</v>
      </c>
      <c r="I62" s="270" t="str">
        <f>IFERROR(IF($H$31="YonY",INDEX('DATA FS'!$B$49:$M$79,MATCH('Poonawalla Fincorp '!$B62,'DATA FS'!$A$49:$A$79,0),MATCH(I$34,'DATA FS'!$B$47:$M$47,0)),INDEX('DATA FS'!$B$24:$M$34,MATCH('Poonawalla Fincorp '!$B62,'DATA FS'!$A$24:$A$34,0),MATCH('Poonawalla Fincorp '!I$55,'DATA FS'!$B$23:$M$23,0))),"-")</f>
        <v>-</v>
      </c>
      <c r="J62" s="270" t="str">
        <f>IFERROR(IF($H$31="YonY",INDEX('DATA FS'!$B$49:$M$79,MATCH('Poonawalla Fincorp '!$B62,'DATA FS'!$A$49:$A$79,0),MATCH(J$34,'DATA FS'!$B$47:$M$47,0)),INDEX('DATA FS'!$B$24:$M$34,MATCH('Poonawalla Fincorp '!$B62,'DATA FS'!$A$24:$A$34,0),MATCH('Poonawalla Fincorp '!J$55,'DATA FS'!$B$23:$M$23,0))),"-")</f>
        <v>-</v>
      </c>
      <c r="K62" s="269">
        <f>IFERROR(IF($H$31="YonY",INDEX('DATA FS'!$B$49:$M$79,MATCH('Poonawalla Fincorp '!$B62,'DATA FS'!$A$49:$A$79,0),MATCH(K$34,'DATA FS'!$B$47:$M$47,0)),INDEX('DATA FS'!$B$24:$M$34,MATCH('Poonawalla Fincorp '!$B62,'DATA FS'!$A$24:$A$34,0),MATCH('Poonawalla Fincorp '!K$55,'DATA FS'!$B$23:$M$23,0))),"-")</f>
        <v>741.64</v>
      </c>
      <c r="L62" s="270" t="str">
        <f>IFERROR(IF($H$31="YonY",INDEX('DATA FS'!$B$49:$M$79,MATCH('Poonawalla Fincorp '!$B62,'DATA FS'!$A$49:$A$79,0),MATCH(L$34,'DATA FS'!$B$47:$M$47,0)),INDEX('DATA FS'!$B$24:$M$34,MATCH('Poonawalla Fincorp '!$B62,'DATA FS'!$A$24:$A$34,0),MATCH('Poonawalla Fincorp '!L$55,'DATA FS'!$B$23:$M$23,0))),"-")</f>
        <v>-</v>
      </c>
      <c r="M62" s="270" t="str">
        <f>IFERROR(IF($H$31="YonY",INDEX('DATA FS'!$B$49:$M$79,MATCH('Poonawalla Fincorp '!$B62,'DATA FS'!$A$49:$A$79,0),MATCH(M$34,'DATA FS'!$B$47:$M$47,0)),INDEX('DATA FS'!$B$24:$M$34,MATCH('Poonawalla Fincorp '!$B62,'DATA FS'!$A$24:$A$34,0),MATCH('Poonawalla Fincorp '!M$55,'DATA FS'!$B$23:$M$23,0))),"-")</f>
        <v>-</v>
      </c>
      <c r="N62" s="278" t="str">
        <f>IFERROR(IF($H$31="YonY",INDEX('DATA FS'!$B$49:$M$79,MATCH('Poonawalla Fincorp '!$B62,'DATA FS'!$A$49:$A$79,0),MATCH(N$34,'DATA FS'!$B$47:$M$47,0)),INDEX('DATA FS'!$B$24:$M$34,MATCH('Poonawalla Fincorp '!$B62,'DATA FS'!$A$24:$A$34,0),MATCH('Poonawalla Fincorp '!N$55,'DATA FS'!$B$23:$M$23,0))),"-")</f>
        <v>-</v>
      </c>
      <c r="O62" s="366">
        <f>IFERROR(ROUND(AVERAGE(C62,D62,E62,F62,G62,H62,I62,J62,K62,L62,M62,N62),2),"-")</f>
        <v>566.91999999999996</v>
      </c>
      <c r="P62" s="367"/>
      <c r="Q62" s="288"/>
      <c r="R62" s="4"/>
      <c r="S62" s="4"/>
      <c r="T62" s="4"/>
      <c r="U62" s="4"/>
      <c r="V62" s="4"/>
      <c r="W62" s="4"/>
      <c r="X62" s="4"/>
      <c r="Y62" s="7"/>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row>
    <row r="63" spans="1:61" ht="15" thickBot="1">
      <c r="B63" s="133"/>
      <c r="C63" s="262"/>
      <c r="D63" s="263"/>
      <c r="E63" s="263"/>
      <c r="F63" s="264"/>
      <c r="G63" s="265"/>
      <c r="H63" s="265"/>
      <c r="I63" s="265"/>
      <c r="J63" s="265"/>
      <c r="K63" s="265"/>
      <c r="L63" s="265"/>
      <c r="M63" s="265"/>
      <c r="N63" s="277"/>
      <c r="O63" s="366"/>
      <c r="P63" s="367"/>
      <c r="Q63" s="286">
        <f>IFERROR(IF($H$31="QonQ",(N62-M62)/M62,(K62-G62)/G62),"-")</f>
        <v>0.33628828828828827</v>
      </c>
      <c r="R63" s="4"/>
      <c r="S63" s="4"/>
      <c r="T63" s="4"/>
      <c r="U63" s="4"/>
      <c r="V63" s="4"/>
      <c r="W63" s="4"/>
      <c r="X63" s="4"/>
      <c r="Y63" s="7"/>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row>
    <row r="64" spans="1:61">
      <c r="B64" s="122" t="s">
        <v>36</v>
      </c>
      <c r="C64" s="266">
        <f>IFERROR(IF($H$31="YonY",INDEX('DATA FS'!$B$49:$M$79,MATCH('Poonawalla Fincorp '!$B64,'DATA FS'!$A$49:$A$79,0),MATCH(C$34,'DATA FS'!$B$47:$M$47,0)),INDEX('DATA FS'!$B$24:$M$34,MATCH('Poonawalla Fincorp '!$B64,'DATA FS'!$A$24:$A$34,0),MATCH('Poonawalla Fincorp '!C$55,'DATA FS'!$B$23:$M$23,0))),"-")</f>
        <v>18.68</v>
      </c>
      <c r="D64" s="267" t="str">
        <f>IFERROR(IF($H$31="YonY",INDEX('DATA FS'!$B$49:$M$79,MATCH('Poonawalla Fincorp '!$B64,'DATA FS'!$A$49:$A$79,0),MATCH(D$34,'DATA FS'!$B$47:$M$47,0)),INDEX('DATA FS'!$B$24:$M$34,MATCH('Poonawalla Fincorp '!$B64,'DATA FS'!$A$24:$A$34,0),MATCH('Poonawalla Fincorp '!D$55,'DATA FS'!$B$23:$M$23,0))),"-")</f>
        <v>-</v>
      </c>
      <c r="E64" s="267" t="str">
        <f>IFERROR(IF($H$31="YonY",INDEX('DATA FS'!$B$49:$M$79,MATCH('Poonawalla Fincorp '!$B64,'DATA FS'!$A$49:$A$79,0),MATCH(E$34,'DATA FS'!$B$47:$M$47,0)),INDEX('DATA FS'!$B$24:$M$34,MATCH('Poonawalla Fincorp '!$B64,'DATA FS'!$A$24:$A$34,0),MATCH('Poonawalla Fincorp '!E$55,'DATA FS'!$B$23:$M$23,0))),"-")</f>
        <v>-</v>
      </c>
      <c r="F64" s="268" t="str">
        <f>IFERROR(IF($H$31="YonY",INDEX('DATA FS'!$B$49:$M$79,MATCH('Poonawalla Fincorp '!$B64,'DATA FS'!$A$49:$A$79,0),MATCH(F$34,'DATA FS'!$B$47:$M$47,0)),INDEX('DATA FS'!$B$24:$M$34,MATCH('Poonawalla Fincorp '!$B64,'DATA FS'!$A$24:$A$34,0),MATCH('Poonawalla Fincorp '!F$55,'DATA FS'!$B$23:$M$23,0))),"-")</f>
        <v>-</v>
      </c>
      <c r="G64" s="269">
        <f>IFERROR(IF($H$31="YonY",INDEX('DATA FS'!$B$49:$M$79,MATCH('Poonawalla Fincorp '!$B64,'DATA FS'!$A$49:$A$79,0),MATCH(G$34,'DATA FS'!$B$47:$M$47,0)),INDEX('DATA FS'!$B$24:$M$34,MATCH('Poonawalla Fincorp '!$B64,'DATA FS'!$A$24:$A$34,0),MATCH('Poonawalla Fincorp '!G$55,'DATA FS'!$B$23:$M$23,0))),"-")</f>
        <v>49.25</v>
      </c>
      <c r="H64" s="270" t="str">
        <f>IFERROR(IF($H$31="YonY",INDEX('DATA FS'!$B$49:$M$79,MATCH('Poonawalla Fincorp '!$B64,'DATA FS'!$A$49:$A$79,0),MATCH(H$34,'DATA FS'!$B$47:$M$47,0)),INDEX('DATA FS'!$B$24:$M$34,MATCH('Poonawalla Fincorp '!$B64,'DATA FS'!$A$24:$A$34,0),MATCH('Poonawalla Fincorp '!H$55,'DATA FS'!$B$23:$M$23,0))),"-")</f>
        <v>-</v>
      </c>
      <c r="I64" s="270" t="str">
        <f>IFERROR(IF($H$31="YonY",INDEX('DATA FS'!$B$49:$M$79,MATCH('Poonawalla Fincorp '!$B64,'DATA FS'!$A$49:$A$79,0),MATCH(I$34,'DATA FS'!$B$47:$M$47,0)),INDEX('DATA FS'!$B$24:$M$34,MATCH('Poonawalla Fincorp '!$B64,'DATA FS'!$A$24:$A$34,0),MATCH('Poonawalla Fincorp '!I$55,'DATA FS'!$B$23:$M$23,0))),"-")</f>
        <v>-</v>
      </c>
      <c r="J64" s="270" t="str">
        <f>IFERROR(IF($H$31="YonY",INDEX('DATA FS'!$B$49:$M$79,MATCH('Poonawalla Fincorp '!$B64,'DATA FS'!$A$49:$A$79,0),MATCH(J$34,'DATA FS'!$B$47:$M$47,0)),INDEX('DATA FS'!$B$24:$M$34,MATCH('Poonawalla Fincorp '!$B64,'DATA FS'!$A$24:$A$34,0),MATCH('Poonawalla Fincorp '!J$55,'DATA FS'!$B$23:$M$23,0))),"-")</f>
        <v>-</v>
      </c>
      <c r="K64" s="270" t="str">
        <f>IFERROR(IF($H$31="YonY",INDEX('DATA FS'!$B$49:$M$79,MATCH('Poonawalla Fincorp '!$B64,'DATA FS'!$A$49:$A$79,0),MATCH(K$34,'DATA FS'!$B$47:$M$47,0)),INDEX('DATA FS'!$B$24:$M$34,MATCH('Poonawalla Fincorp '!$B64,'DATA FS'!$A$24:$A$34,0),MATCH('Poonawalla Fincorp '!K$55,'DATA FS'!$B$23:$M$23,0))),"-")</f>
        <v>-</v>
      </c>
      <c r="L64" s="270" t="str">
        <f>IFERROR(IF($H$31="YonY",INDEX('DATA FS'!$B$49:$M$79,MATCH('Poonawalla Fincorp '!$B64,'DATA FS'!$A$49:$A$79,0),MATCH(L$34,'DATA FS'!$B$47:$M$47,0)),INDEX('DATA FS'!$B$24:$M$34,MATCH('Poonawalla Fincorp '!$B64,'DATA FS'!$A$24:$A$34,0),MATCH('Poonawalla Fincorp '!L$55,'DATA FS'!$B$23:$M$23,0))),"-")</f>
        <v>-</v>
      </c>
      <c r="M64" s="270" t="str">
        <f>IFERROR(IF($H$31="YonY",INDEX('DATA FS'!$B$49:$M$79,MATCH('Poonawalla Fincorp '!$B64,'DATA FS'!$A$49:$A$79,0),MATCH(M$34,'DATA FS'!$B$47:$M$47,0)),INDEX('DATA FS'!$B$24:$M$34,MATCH('Poonawalla Fincorp '!$B64,'DATA FS'!$A$24:$A$34,0),MATCH('Poonawalla Fincorp '!M$55,'DATA FS'!$B$23:$M$23,0))),"-")</f>
        <v>-</v>
      </c>
      <c r="N64" s="278" t="str">
        <f>IFERROR(IF($H$31="YonY",INDEX('DATA FS'!$B$49:$M$79,MATCH('Poonawalla Fincorp '!$B64,'DATA FS'!$A$49:$A$79,0),MATCH(N$34,'DATA FS'!$B$47:$M$47,0)),INDEX('DATA FS'!$B$24:$M$34,MATCH('Poonawalla Fincorp '!$B64,'DATA FS'!$A$24:$A$34,0),MATCH('Poonawalla Fincorp '!N$55,'DATA FS'!$B$23:$M$23,0))),"-")</f>
        <v>-</v>
      </c>
      <c r="O64" s="366">
        <f>IFERROR(ROUND(AVERAGE(C64,D64,E64,F64,G64,H64,I64,J64,K64,L64,M64,N64),2),"-")</f>
        <v>33.97</v>
      </c>
      <c r="P64" s="367"/>
      <c r="Q64" s="288"/>
      <c r="R64" s="4"/>
      <c r="S64" s="4"/>
      <c r="T64" s="4"/>
      <c r="U64" s="4"/>
      <c r="V64" s="4"/>
      <c r="W64" s="4"/>
      <c r="X64" s="4"/>
      <c r="Y64" s="7"/>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row>
    <row r="65" spans="2:61" ht="15" thickBot="1">
      <c r="B65" s="123"/>
      <c r="C65" s="262"/>
      <c r="D65" s="263"/>
      <c r="E65" s="263"/>
      <c r="F65" s="264"/>
      <c r="G65" s="265"/>
      <c r="H65" s="265"/>
      <c r="I65" s="265"/>
      <c r="J65" s="265"/>
      <c r="K65" s="265"/>
      <c r="L65" s="265"/>
      <c r="M65" s="265"/>
      <c r="N65" s="277"/>
      <c r="O65" s="366"/>
      <c r="P65" s="367"/>
      <c r="Q65" s="286" t="str">
        <f>IFERROR(IF($H$31="QonQ",(N64-M64)/M64,(K64-G64)/G64),"-")</f>
        <v>-</v>
      </c>
      <c r="R65" s="4"/>
      <c r="S65" s="4"/>
      <c r="T65" s="4"/>
      <c r="U65" s="4"/>
      <c r="V65" s="4"/>
      <c r="W65" s="4"/>
      <c r="X65" s="4"/>
      <c r="Y65" s="7"/>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row>
    <row r="66" spans="2:61" ht="15" thickBot="1">
      <c r="B66" s="82" t="s">
        <v>148</v>
      </c>
      <c r="C66" s="271">
        <f>IFERROR(IF($H$31="YonY",INDEX('DATA FS'!$B$49:$M$79,MATCH('Poonawalla Fincorp '!$B66,'DATA FS'!$A$49:$A$79,0),MATCH(C$34,'DATA FS'!$B$47:$M$47,0)),INDEX('DATA FS'!$B$24:$M$34,MATCH('Poonawalla Fincorp '!$B66,'DATA FS'!$A$24:$A$34,0),MATCH('Poonawalla Fincorp '!C$55,'DATA FS'!$B$23:$M$23,0))),"-")</f>
        <v>-575.41</v>
      </c>
      <c r="D66" s="272" t="str">
        <f>IFERROR(IF($H$31="YonY",INDEX('DATA FS'!$B$49:$M$79,MATCH('Poonawalla Fincorp '!$B66,'DATA FS'!$A$49:$A$79,0),MATCH(D$34,'DATA FS'!$B$47:$M$47,0)),INDEX('DATA FS'!$B$24:$M$34,MATCH('Poonawalla Fincorp '!$B66,'DATA FS'!$A$24:$A$34,0),MATCH('Poonawalla Fincorp '!D$55,'DATA FS'!$B$23:$M$23,0))),"-")</f>
        <v>-</v>
      </c>
      <c r="E66" s="272" t="str">
        <f>IFERROR(IF($H$31="YonY",INDEX('DATA FS'!$B$49:$M$79,MATCH('Poonawalla Fincorp '!$B66,'DATA FS'!$A$49:$A$79,0),MATCH(E$34,'DATA FS'!$B$47:$M$47,0)),INDEX('DATA FS'!$B$24:$M$34,MATCH('Poonawalla Fincorp '!$B66,'DATA FS'!$A$24:$A$34,0),MATCH('Poonawalla Fincorp '!E$55,'DATA FS'!$B$23:$M$23,0))),"-")</f>
        <v>-</v>
      </c>
      <c r="F66" s="273" t="str">
        <f>IFERROR(IF($H$31="YonY",INDEX('DATA FS'!$B$49:$M$79,MATCH('Poonawalla Fincorp '!$B66,'DATA FS'!$A$49:$A$79,0),MATCH(F$34,'DATA FS'!$B$47:$M$47,0)),INDEX('DATA FS'!$B$24:$M$34,MATCH('Poonawalla Fincorp '!$B66,'DATA FS'!$A$24:$A$34,0),MATCH('Poonawalla Fincorp '!F$55,'DATA FS'!$B$23:$M$23,0))),"-")</f>
        <v>-</v>
      </c>
      <c r="G66" s="274">
        <f>IFERROR(IF($H$31="YonY",INDEX('DATA FS'!$B$49:$M$79,MATCH('Poonawalla Fincorp '!$B66,'DATA FS'!$A$49:$A$79,0),MATCH(G$34,'DATA FS'!$B$47:$M$47,0)),INDEX('DATA FS'!$B$24:$M$34,MATCH('Poonawalla Fincorp '!$B66,'DATA FS'!$A$24:$A$34,0),MATCH('Poonawalla Fincorp '!G$55,'DATA FS'!$B$23:$M$23,0))),"-")</f>
        <v>294.83</v>
      </c>
      <c r="H66" s="275" t="str">
        <f>IFERROR(IF($H$31="YonY",INDEX('DATA FS'!$B$49:$M$79,MATCH('Poonawalla Fincorp '!$B66,'DATA FS'!$A$49:$A$79,0),MATCH(H$34,'DATA FS'!$B$47:$M$47,0)),INDEX('DATA FS'!$B$24:$M$34,MATCH('Poonawalla Fincorp '!$B66,'DATA FS'!$A$24:$A$34,0),MATCH('Poonawalla Fincorp '!H$55,'DATA FS'!$B$23:$M$23,0))),"-")</f>
        <v>-</v>
      </c>
      <c r="I66" s="275" t="str">
        <f>IFERROR(IF($H$31="YonY",INDEX('DATA FS'!$B$49:$M$79,MATCH('Poonawalla Fincorp '!$B66,'DATA FS'!$A$49:$A$79,0),MATCH(I$34,'DATA FS'!$B$47:$M$47,0)),INDEX('DATA FS'!$B$24:$M$34,MATCH('Poonawalla Fincorp '!$B66,'DATA FS'!$A$24:$A$34,0),MATCH('Poonawalla Fincorp '!I$55,'DATA FS'!$B$23:$M$23,0))),"-")</f>
        <v>-</v>
      </c>
      <c r="J66" s="275" t="str">
        <f>IFERROR(IF($H$31="YonY",INDEX('DATA FS'!$B$49:$M$79,MATCH('Poonawalla Fincorp '!$B66,'DATA FS'!$A$49:$A$79,0),MATCH(J$34,'DATA FS'!$B$47:$M$47,0)),INDEX('DATA FS'!$B$24:$M$34,MATCH('Poonawalla Fincorp '!$B66,'DATA FS'!$A$24:$A$34,0),MATCH('Poonawalla Fincorp '!J$55,'DATA FS'!$B$23:$M$23,0))),"-")</f>
        <v>-</v>
      </c>
      <c r="K66" s="274">
        <f>IFERROR(IF($H$31="YonY",INDEX('DATA FS'!$B$49:$M$79,MATCH('Poonawalla Fincorp '!$B66,'DATA FS'!$A$49:$A$79,0),MATCH(K$34,'DATA FS'!$B$47:$M$47,0)),INDEX('DATA FS'!$B$24:$M$34,MATCH('Poonawalla Fincorp '!$B66,'DATA FS'!$A$24:$A$34,0),MATCH('Poonawalla Fincorp '!K$55,'DATA FS'!$B$23:$M$23,0))),"-")</f>
        <v>586.29999999999995</v>
      </c>
      <c r="L66" s="275" t="str">
        <f>IFERROR(IF($H$31="YonY",INDEX('DATA FS'!$B$49:$M$79,MATCH('Poonawalla Fincorp '!$B66,'DATA FS'!$A$49:$A$79,0),MATCH(L$34,'DATA FS'!$B$47:$M$47,0)),INDEX('DATA FS'!$B$24:$M$34,MATCH('Poonawalla Fincorp '!$B66,'DATA FS'!$A$24:$A$34,0),MATCH('Poonawalla Fincorp '!L$55,'DATA FS'!$B$23:$M$23,0))),"-")</f>
        <v>-</v>
      </c>
      <c r="M66" s="275" t="str">
        <f>IFERROR(IF($H$31="YonY",INDEX('DATA FS'!$B$49:$M$79,MATCH('Poonawalla Fincorp '!$B66,'DATA FS'!$A$49:$A$79,0),MATCH(M$34,'DATA FS'!$B$47:$M$47,0)),INDEX('DATA FS'!$B$24:$M$34,MATCH('Poonawalla Fincorp '!$B66,'DATA FS'!$A$24:$A$34,0),MATCH('Poonawalla Fincorp '!M$55,'DATA FS'!$B$23:$M$23,0))),"-")</f>
        <v>-</v>
      </c>
      <c r="N66" s="279" t="str">
        <f>IFERROR(IF($H$31="YonY",INDEX('DATA FS'!$B$49:$M$79,MATCH('Poonawalla Fincorp '!$B66,'DATA FS'!$A$49:$A$79,0),MATCH(N$34,'DATA FS'!$B$47:$M$47,0)),INDEX('DATA FS'!$B$24:$M$34,MATCH('Poonawalla Fincorp '!$B66,'DATA FS'!$A$24:$A$34,0),MATCH('Poonawalla Fincorp '!N$55,'DATA FS'!$B$23:$M$23,0))),"-")</f>
        <v>-</v>
      </c>
      <c r="O66" s="366">
        <f>IFERROR(ROUND(AVERAGE(C66,D66,E66,F66,G66,H66,I66,J66,K66,L66,M66,N66),2),"-")</f>
        <v>101.91</v>
      </c>
      <c r="P66" s="367"/>
      <c r="Q66" s="286">
        <f>IFERROR(IF($H$31="QonQ",(N66-M66)/M66,(K66-G66)/G66),"-")</f>
        <v>0.98860360207577247</v>
      </c>
      <c r="R66" s="4"/>
      <c r="S66" s="4"/>
      <c r="T66" s="4"/>
      <c r="U66" s="4"/>
      <c r="V66" s="4"/>
      <c r="W66" s="4"/>
      <c r="X66" s="4"/>
      <c r="Y66" s="7"/>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row>
    <row r="67" spans="2:61" ht="9.4499999999999993" customHeight="1" thickBot="1">
      <c r="B67" s="31" t="s">
        <v>330</v>
      </c>
      <c r="C67" s="406"/>
      <c r="D67" s="407"/>
      <c r="E67" s="407"/>
      <c r="F67" s="408"/>
      <c r="G67" s="71"/>
      <c r="H67" s="72"/>
      <c r="I67" s="72"/>
      <c r="J67" s="73"/>
      <c r="K67" s="406"/>
      <c r="L67" s="407"/>
      <c r="M67" s="407"/>
      <c r="N67" s="408"/>
      <c r="O67" s="7"/>
      <c r="P67" s="65"/>
      <c r="Q67" s="64"/>
      <c r="R67" s="4"/>
      <c r="S67" s="4"/>
      <c r="T67" s="4"/>
      <c r="U67" s="4"/>
      <c r="V67" s="4"/>
      <c r="W67" s="4"/>
      <c r="X67" s="4"/>
      <c r="Y67" s="7"/>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row>
    <row r="68" spans="2:61" ht="7.95" customHeight="1">
      <c r="B68" s="2"/>
      <c r="C68" s="2"/>
      <c r="D68" s="2"/>
      <c r="E68" s="2"/>
      <c r="F68" s="2"/>
      <c r="G68" s="2"/>
      <c r="H68" s="2"/>
      <c r="I68" s="2"/>
      <c r="J68" s="2"/>
      <c r="K68" s="2"/>
      <c r="L68" s="2"/>
      <c r="M68" s="2"/>
      <c r="N68" s="2"/>
      <c r="O68" s="6"/>
      <c r="P68" s="2"/>
      <c r="Q68" s="2"/>
      <c r="R68" s="2"/>
      <c r="S68" s="2"/>
      <c r="T68" s="2"/>
      <c r="U68" s="2"/>
      <c r="V68" s="2"/>
      <c r="W68" s="2"/>
      <c r="X68" s="2"/>
      <c r="Y68" s="6"/>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row>
    <row r="69" spans="2:61" ht="14.55" customHeight="1">
      <c r="B69" s="401" t="s">
        <v>140</v>
      </c>
      <c r="C69" s="401"/>
      <c r="D69" s="401"/>
      <c r="E69" s="401"/>
      <c r="F69" s="401"/>
      <c r="G69" s="401"/>
      <c r="H69" s="401"/>
      <c r="I69" s="401"/>
      <c r="J69" s="401"/>
      <c r="K69" s="401"/>
      <c r="L69" s="401"/>
      <c r="M69" s="401"/>
      <c r="N69" s="402"/>
      <c r="O69" s="363" t="s">
        <v>141</v>
      </c>
      <c r="P69" s="364"/>
      <c r="Q69" s="364"/>
      <c r="R69" s="364"/>
      <c r="S69" s="364"/>
      <c r="T69" s="364"/>
      <c r="U69" s="364"/>
      <c r="V69" s="364"/>
      <c r="W69" s="364"/>
      <c r="X69" s="365"/>
      <c r="Y69" s="363" t="s">
        <v>286</v>
      </c>
      <c r="Z69" s="364"/>
      <c r="AA69" s="364"/>
      <c r="AB69" s="364"/>
      <c r="AC69" s="364"/>
      <c r="AD69" s="364"/>
      <c r="AE69" s="364"/>
      <c r="AF69" s="364"/>
      <c r="AG69" s="364"/>
      <c r="AH69" s="364"/>
      <c r="AI69" s="364"/>
      <c r="AJ69" s="3"/>
      <c r="AK69" s="3"/>
      <c r="AL69" s="352"/>
      <c r="AM69" s="3"/>
      <c r="AN69" s="3"/>
      <c r="AO69" s="3"/>
      <c r="AP69" s="3"/>
      <c r="AQ69" s="3"/>
      <c r="AR69" s="3"/>
      <c r="AS69" s="3"/>
      <c r="AT69" s="3"/>
      <c r="AU69" s="3"/>
      <c r="AV69" s="3"/>
      <c r="AW69" s="3"/>
      <c r="AX69" s="3"/>
      <c r="AY69" s="3"/>
      <c r="AZ69" s="3"/>
      <c r="BA69" s="3"/>
      <c r="BB69" s="3"/>
      <c r="BC69" s="3"/>
      <c r="BD69" s="3"/>
      <c r="BE69" s="3"/>
      <c r="BF69" s="3"/>
      <c r="BG69" s="3"/>
      <c r="BH69" s="3"/>
      <c r="BI69" s="3"/>
    </row>
    <row r="70" spans="2:61" ht="15.45" customHeight="1">
      <c r="B70" s="401"/>
      <c r="C70" s="401"/>
      <c r="D70" s="401"/>
      <c r="E70" s="401"/>
      <c r="F70" s="401"/>
      <c r="G70" s="401"/>
      <c r="H70" s="401"/>
      <c r="I70" s="401"/>
      <c r="J70" s="401"/>
      <c r="K70" s="401"/>
      <c r="L70" s="401"/>
      <c r="M70" s="401"/>
      <c r="N70" s="402"/>
      <c r="O70" s="363"/>
      <c r="P70" s="364"/>
      <c r="Q70" s="364"/>
      <c r="R70" s="364"/>
      <c r="S70" s="364"/>
      <c r="T70" s="364"/>
      <c r="U70" s="364"/>
      <c r="V70" s="364"/>
      <c r="W70" s="364"/>
      <c r="X70" s="365"/>
      <c r="Y70" s="363"/>
      <c r="Z70" s="364"/>
      <c r="AA70" s="364"/>
      <c r="AB70" s="364"/>
      <c r="AC70" s="364"/>
      <c r="AD70" s="364"/>
      <c r="AE70" s="364"/>
      <c r="AF70" s="364"/>
      <c r="AG70" s="364"/>
      <c r="AH70" s="364"/>
      <c r="AI70" s="364"/>
      <c r="AJ70" s="3"/>
      <c r="AK70" s="3"/>
      <c r="AL70" s="352"/>
      <c r="AM70" s="3"/>
      <c r="AN70" s="3"/>
      <c r="AO70" s="3"/>
      <c r="AP70" s="3"/>
      <c r="AQ70" s="3"/>
      <c r="AR70" s="3"/>
      <c r="AS70" s="3"/>
      <c r="AT70" s="3"/>
      <c r="AU70" s="3"/>
      <c r="AV70" s="3"/>
      <c r="AW70" s="3"/>
      <c r="AX70" s="3"/>
      <c r="AY70" s="3"/>
      <c r="AZ70" s="3"/>
      <c r="BA70" s="3"/>
      <c r="BB70" s="3"/>
      <c r="BC70" s="3"/>
      <c r="BD70" s="3"/>
      <c r="BE70" s="3"/>
      <c r="BF70" s="3"/>
      <c r="BG70" s="3"/>
      <c r="BH70" s="3"/>
      <c r="BI70" s="3"/>
    </row>
    <row r="71" spans="2:61">
      <c r="B71" s="4"/>
      <c r="C71" s="4"/>
      <c r="D71" s="4"/>
      <c r="E71" s="4"/>
      <c r="F71" s="4"/>
      <c r="G71" s="4"/>
      <c r="H71" s="4"/>
      <c r="I71" s="4"/>
      <c r="J71" s="4"/>
      <c r="K71" s="4"/>
      <c r="L71" s="4"/>
      <c r="M71" s="4"/>
      <c r="N71" s="4"/>
      <c r="O71" s="7"/>
      <c r="P71" s="4"/>
      <c r="Q71" s="4"/>
      <c r="R71" s="4"/>
      <c r="S71" s="4"/>
      <c r="T71" s="4"/>
      <c r="U71" s="4"/>
      <c r="V71" s="4"/>
      <c r="W71" s="4"/>
      <c r="X71" s="4"/>
      <c r="Y71" s="7"/>
      <c r="Z71" s="4"/>
      <c r="AA71" s="4"/>
      <c r="AB71" s="4"/>
      <c r="AC71" s="4"/>
      <c r="AD71" s="4"/>
      <c r="AE71" s="4"/>
      <c r="AF71" s="4"/>
      <c r="AG71" s="4"/>
      <c r="AH71" s="4"/>
      <c r="AI71" s="4"/>
      <c r="AJ71" s="4"/>
      <c r="AK71" s="4"/>
      <c r="AL71" s="342"/>
      <c r="AM71" s="4"/>
      <c r="AN71" s="4"/>
      <c r="AO71" s="4"/>
      <c r="AP71" s="4"/>
      <c r="AQ71" s="4"/>
      <c r="AR71" s="4"/>
      <c r="AS71" s="4"/>
      <c r="AT71" s="4"/>
      <c r="AU71" s="4"/>
      <c r="AV71" s="4"/>
      <c r="AW71" s="4"/>
      <c r="AX71" s="4"/>
      <c r="AY71" s="4"/>
      <c r="AZ71" s="4"/>
      <c r="BA71" s="4"/>
      <c r="BB71" s="4"/>
      <c r="BC71" s="4"/>
      <c r="BD71" s="4"/>
      <c r="BE71" s="4"/>
      <c r="BF71" s="4"/>
      <c r="BG71" s="4"/>
      <c r="BH71" s="4"/>
      <c r="BI71" s="4"/>
    </row>
    <row r="72" spans="2:61">
      <c r="B72" s="4"/>
      <c r="C72" s="4"/>
      <c r="D72" s="4"/>
      <c r="E72" s="4"/>
      <c r="F72" s="4"/>
      <c r="G72" s="4"/>
      <c r="H72" s="4"/>
      <c r="I72" s="4"/>
      <c r="J72" s="4"/>
      <c r="K72" s="4"/>
      <c r="L72" s="4"/>
      <c r="M72" s="4"/>
      <c r="N72" s="4"/>
      <c r="O72" s="7"/>
      <c r="P72" s="4"/>
      <c r="Q72" s="4"/>
      <c r="R72" s="4"/>
      <c r="S72" s="4"/>
      <c r="T72" s="4"/>
      <c r="U72" s="4"/>
      <c r="V72" s="4"/>
      <c r="W72" s="4"/>
      <c r="X72" s="4"/>
      <c r="Y72" s="7"/>
      <c r="Z72" s="4"/>
      <c r="AA72" s="4"/>
      <c r="AB72" s="4"/>
      <c r="AC72" s="4"/>
      <c r="AD72" s="4"/>
      <c r="AE72" s="4"/>
      <c r="AF72" s="4"/>
      <c r="AG72" s="4"/>
      <c r="AH72" s="4"/>
      <c r="AI72" s="4"/>
      <c r="AJ72" s="4"/>
      <c r="AK72" s="4"/>
      <c r="AL72" s="342"/>
      <c r="AM72" s="4"/>
      <c r="AN72" s="4"/>
      <c r="AO72" s="4"/>
      <c r="AP72" s="4"/>
      <c r="AQ72" s="4"/>
      <c r="AR72" s="4"/>
      <c r="AS72" s="4"/>
      <c r="AT72" s="4"/>
      <c r="AU72" s="4"/>
      <c r="AV72" s="4"/>
      <c r="AW72" s="4"/>
      <c r="AX72" s="4"/>
      <c r="AY72" s="4"/>
      <c r="AZ72" s="4"/>
      <c r="BA72" s="4"/>
      <c r="BB72" s="4"/>
      <c r="BC72" s="4"/>
      <c r="BD72" s="4"/>
      <c r="BE72" s="4"/>
      <c r="BF72" s="4"/>
      <c r="BG72" s="4"/>
      <c r="BH72" s="4"/>
      <c r="BI72" s="4"/>
    </row>
    <row r="73" spans="2:61">
      <c r="B73" s="4"/>
      <c r="C73" s="4"/>
      <c r="D73" s="4"/>
      <c r="E73" s="4"/>
      <c r="F73" s="4"/>
      <c r="G73" s="4"/>
      <c r="H73" s="4"/>
      <c r="I73" s="4"/>
      <c r="J73" s="4"/>
      <c r="K73" s="4"/>
      <c r="L73" s="4"/>
      <c r="M73" s="4"/>
      <c r="N73" s="4"/>
      <c r="O73" s="7"/>
      <c r="P73" s="4"/>
      <c r="Q73" s="4"/>
      <c r="R73" s="4"/>
      <c r="S73" s="4"/>
      <c r="T73" s="4"/>
      <c r="U73" s="4"/>
      <c r="V73" s="4"/>
      <c r="W73" s="4"/>
      <c r="X73" s="4"/>
      <c r="Y73" s="7"/>
      <c r="Z73" s="4"/>
      <c r="AA73" s="4"/>
      <c r="AB73" s="4"/>
      <c r="AC73" s="4"/>
      <c r="AD73" s="4"/>
      <c r="AE73" s="4"/>
      <c r="AF73" s="4"/>
      <c r="AG73" s="4"/>
      <c r="AH73" s="4"/>
      <c r="AI73" s="4"/>
      <c r="AJ73" s="4"/>
      <c r="AK73" s="4"/>
      <c r="AL73" s="342"/>
      <c r="AM73" s="4"/>
      <c r="AN73" s="4"/>
      <c r="AO73" s="4"/>
      <c r="AP73" s="4"/>
      <c r="AQ73" s="4"/>
      <c r="AR73" s="4"/>
      <c r="AS73" s="4"/>
      <c r="AT73" s="4"/>
      <c r="AU73" s="4"/>
      <c r="AV73" s="4"/>
      <c r="AW73" s="4"/>
      <c r="AX73" s="4"/>
      <c r="AY73" s="4"/>
      <c r="AZ73" s="4"/>
      <c r="BA73" s="4"/>
      <c r="BB73" s="4"/>
      <c r="BC73" s="4"/>
      <c r="BD73" s="4"/>
      <c r="BE73" s="4"/>
      <c r="BF73" s="4"/>
      <c r="BG73" s="4"/>
      <c r="BH73" s="4"/>
      <c r="BI73" s="4"/>
    </row>
    <row r="74" spans="2:61">
      <c r="B74" s="4"/>
      <c r="C74" s="4"/>
      <c r="D74" s="4"/>
      <c r="E74" s="4"/>
      <c r="F74" s="4"/>
      <c r="G74" s="4"/>
      <c r="H74" s="4"/>
      <c r="I74" s="4"/>
      <c r="J74" s="4"/>
      <c r="K74" s="4"/>
      <c r="L74" s="4"/>
      <c r="M74" s="4"/>
      <c r="N74" s="4"/>
      <c r="O74" s="7"/>
      <c r="P74" s="4"/>
      <c r="Q74" s="4"/>
      <c r="R74" s="4"/>
      <c r="S74" s="4"/>
      <c r="T74" s="4"/>
      <c r="U74" s="4"/>
      <c r="V74" s="4"/>
      <c r="W74" s="4"/>
      <c r="X74" s="4"/>
      <c r="Y74" s="7"/>
      <c r="Z74" s="4"/>
      <c r="AA74" s="4"/>
      <c r="AB74" s="4"/>
      <c r="AC74" s="4"/>
      <c r="AD74" s="4"/>
      <c r="AE74" s="4"/>
      <c r="AF74" s="4"/>
      <c r="AG74" s="4"/>
      <c r="AH74" s="4"/>
      <c r="AI74" s="4"/>
      <c r="AJ74" s="4"/>
      <c r="AK74" s="4"/>
      <c r="AL74" s="342"/>
      <c r="AM74" s="4"/>
      <c r="AN74" s="4"/>
      <c r="AO74" s="4"/>
      <c r="AP74" s="4"/>
      <c r="AQ74" s="4"/>
      <c r="AR74" s="4"/>
      <c r="AS74" s="4"/>
      <c r="AT74" s="4"/>
      <c r="AU74" s="4"/>
      <c r="AV74" s="4"/>
      <c r="AW74" s="4"/>
      <c r="AX74" s="4"/>
      <c r="AY74" s="4"/>
      <c r="AZ74" s="4"/>
      <c r="BA74" s="4"/>
      <c r="BB74" s="4"/>
      <c r="BC74" s="4"/>
      <c r="BD74" s="4"/>
      <c r="BE74" s="4"/>
      <c r="BF74" s="4"/>
      <c r="BG74" s="4"/>
      <c r="BH74" s="4"/>
      <c r="BI74" s="4"/>
    </row>
    <row r="75" spans="2:61">
      <c r="B75" s="4"/>
      <c r="C75" s="4"/>
      <c r="D75" s="4"/>
      <c r="E75" s="4"/>
      <c r="F75" s="4"/>
      <c r="G75" s="4"/>
      <c r="H75" s="4"/>
      <c r="I75" s="4"/>
      <c r="J75" s="4"/>
      <c r="K75" s="4"/>
      <c r="L75" s="4"/>
      <c r="M75" s="4"/>
      <c r="N75" s="4"/>
      <c r="O75" s="7"/>
      <c r="P75" s="4"/>
      <c r="Q75" s="4"/>
      <c r="R75" s="4"/>
      <c r="S75" s="4"/>
      <c r="T75" s="4"/>
      <c r="U75" s="4"/>
      <c r="V75" s="4"/>
      <c r="W75" s="4"/>
      <c r="X75" s="4"/>
      <c r="Y75" s="7"/>
      <c r="Z75" s="4"/>
      <c r="AA75" s="4"/>
      <c r="AB75" s="4"/>
      <c r="AC75" s="4"/>
      <c r="AD75" s="4"/>
      <c r="AE75" s="4"/>
      <c r="AF75" s="4"/>
      <c r="AG75" s="4"/>
      <c r="AH75" s="4"/>
      <c r="AI75" s="4"/>
      <c r="AJ75" s="4"/>
      <c r="AK75" s="4"/>
      <c r="AL75" s="342"/>
      <c r="AM75" s="4"/>
      <c r="AN75" s="4"/>
      <c r="AO75" s="4"/>
      <c r="AP75" s="4"/>
      <c r="AQ75" s="4"/>
      <c r="AR75" s="4"/>
      <c r="AS75" s="4"/>
      <c r="AT75" s="4"/>
      <c r="AU75" s="4"/>
      <c r="AV75" s="4"/>
      <c r="AW75" s="4"/>
      <c r="AX75" s="4"/>
      <c r="AY75" s="4"/>
      <c r="AZ75" s="4"/>
      <c r="BA75" s="4"/>
      <c r="BB75" s="4"/>
      <c r="BC75" s="4"/>
      <c r="BD75" s="4"/>
      <c r="BE75" s="4"/>
      <c r="BF75" s="4"/>
      <c r="BG75" s="4"/>
      <c r="BH75" s="4"/>
      <c r="BI75" s="4"/>
    </row>
    <row r="76" spans="2:61">
      <c r="B76" s="4"/>
      <c r="C76" s="4"/>
      <c r="D76" s="4"/>
      <c r="E76" s="4"/>
      <c r="F76" s="4"/>
      <c r="G76" s="4"/>
      <c r="H76" s="4"/>
      <c r="I76" s="4"/>
      <c r="J76" s="4"/>
      <c r="K76" s="4"/>
      <c r="L76" s="4"/>
      <c r="M76" s="4"/>
      <c r="N76" s="4"/>
      <c r="O76" s="7"/>
      <c r="P76" s="4"/>
      <c r="Q76" s="4"/>
      <c r="R76" s="4"/>
      <c r="S76" s="4"/>
      <c r="T76" s="4"/>
      <c r="U76" s="4"/>
      <c r="V76" s="4"/>
      <c r="W76" s="4"/>
      <c r="X76" s="4"/>
      <c r="Y76" s="7"/>
      <c r="Z76" s="4"/>
      <c r="AA76" s="4"/>
      <c r="AB76" s="4"/>
      <c r="AC76" s="4"/>
      <c r="AD76" s="4"/>
      <c r="AE76" s="4"/>
      <c r="AF76" s="4"/>
      <c r="AG76" s="4"/>
      <c r="AH76" s="4"/>
      <c r="AI76" s="4"/>
      <c r="AJ76" s="4"/>
      <c r="AK76" s="4"/>
      <c r="AL76" s="342"/>
      <c r="AM76" s="4"/>
      <c r="AN76" s="4"/>
      <c r="AO76" s="4"/>
      <c r="AP76" s="4"/>
      <c r="AQ76" s="4"/>
      <c r="AR76" s="4"/>
      <c r="AS76" s="4"/>
      <c r="AT76" s="4"/>
      <c r="AU76" s="4"/>
      <c r="AV76" s="4"/>
      <c r="AW76" s="4"/>
      <c r="AX76" s="4"/>
      <c r="AY76" s="4"/>
      <c r="AZ76" s="4"/>
      <c r="BA76" s="4"/>
      <c r="BB76" s="4"/>
      <c r="BC76" s="4"/>
      <c r="BD76" s="4"/>
      <c r="BE76" s="4"/>
      <c r="BF76" s="4"/>
      <c r="BG76" s="4"/>
      <c r="BH76" s="4"/>
      <c r="BI76" s="4"/>
    </row>
    <row r="77" spans="2:61">
      <c r="B77" s="4"/>
      <c r="C77" s="4"/>
      <c r="D77" s="4"/>
      <c r="E77" s="4"/>
      <c r="F77" s="4"/>
      <c r="G77" s="4"/>
      <c r="H77" s="4"/>
      <c r="I77" s="4"/>
      <c r="J77" s="4"/>
      <c r="K77" s="4"/>
      <c r="L77" s="4"/>
      <c r="M77" s="4"/>
      <c r="N77" s="4"/>
      <c r="O77" s="7"/>
      <c r="P77" s="4"/>
      <c r="Q77" s="4"/>
      <c r="R77" s="4"/>
      <c r="S77" s="4"/>
      <c r="T77" s="4"/>
      <c r="U77" s="4"/>
      <c r="V77" s="4"/>
      <c r="W77" s="4"/>
      <c r="X77" s="4"/>
      <c r="Y77" s="7"/>
      <c r="Z77" s="4"/>
      <c r="AA77" s="4"/>
      <c r="AB77" s="4"/>
      <c r="AC77" s="4"/>
      <c r="AD77" s="4"/>
      <c r="AE77" s="4"/>
      <c r="AF77" s="4"/>
      <c r="AG77" s="4"/>
      <c r="AH77" s="4"/>
      <c r="AI77" s="4"/>
      <c r="AJ77" s="4"/>
      <c r="AK77" s="4"/>
      <c r="AL77" s="342"/>
      <c r="AM77" s="4"/>
      <c r="AN77" s="4"/>
      <c r="AO77" s="4"/>
      <c r="AP77" s="4"/>
      <c r="AQ77" s="4"/>
      <c r="AR77" s="4"/>
      <c r="AS77" s="4"/>
      <c r="AT77" s="4"/>
      <c r="AU77" s="4"/>
      <c r="AV77" s="4"/>
      <c r="AW77" s="4"/>
      <c r="AX77" s="4"/>
      <c r="AY77" s="4"/>
      <c r="AZ77" s="4"/>
      <c r="BA77" s="4"/>
      <c r="BB77" s="4"/>
      <c r="BC77" s="4"/>
      <c r="BD77" s="4"/>
      <c r="BE77" s="4"/>
      <c r="BF77" s="4"/>
      <c r="BG77" s="4"/>
      <c r="BH77" s="4"/>
      <c r="BI77" s="4"/>
    </row>
    <row r="78" spans="2:61">
      <c r="B78" s="4"/>
      <c r="C78" s="4"/>
      <c r="D78" s="4"/>
      <c r="E78" s="4"/>
      <c r="F78" s="4"/>
      <c r="G78" s="4"/>
      <c r="H78" s="4"/>
      <c r="I78" s="4"/>
      <c r="J78" s="4"/>
      <c r="K78" s="4"/>
      <c r="L78" s="4"/>
      <c r="M78" s="4"/>
      <c r="N78" s="4"/>
      <c r="O78" s="7"/>
      <c r="P78" s="4"/>
      <c r="Q78" s="4"/>
      <c r="R78" s="4"/>
      <c r="S78" s="4"/>
      <c r="T78" s="4"/>
      <c r="U78" s="4"/>
      <c r="V78" s="4"/>
      <c r="W78" s="4"/>
      <c r="X78" s="4"/>
      <c r="Y78" s="7"/>
      <c r="Z78" s="4"/>
      <c r="AA78" s="4"/>
      <c r="AB78" s="4"/>
      <c r="AC78" s="4"/>
      <c r="AD78" s="4"/>
      <c r="AE78" s="4"/>
      <c r="AF78" s="4"/>
      <c r="AG78" s="4"/>
      <c r="AH78" s="4"/>
      <c r="AI78" s="4"/>
      <c r="AJ78" s="4"/>
      <c r="AK78" s="4"/>
      <c r="AL78" s="342"/>
      <c r="AM78" s="4"/>
      <c r="AN78" s="4"/>
      <c r="AO78" s="4"/>
      <c r="AP78" s="4"/>
      <c r="AQ78" s="4"/>
      <c r="AR78" s="4"/>
      <c r="AS78" s="4"/>
      <c r="AT78" s="4"/>
      <c r="AU78" s="4"/>
      <c r="AV78" s="4"/>
      <c r="AW78" s="4"/>
      <c r="AX78" s="4"/>
      <c r="AY78" s="4"/>
      <c r="AZ78" s="4"/>
      <c r="BA78" s="4"/>
      <c r="BB78" s="4"/>
      <c r="BC78" s="4"/>
      <c r="BD78" s="4"/>
      <c r="BE78" s="4"/>
      <c r="BF78" s="4"/>
      <c r="BG78" s="4"/>
      <c r="BH78" s="4"/>
      <c r="BI78" s="4"/>
    </row>
    <row r="79" spans="2:61">
      <c r="B79" s="4"/>
      <c r="C79" s="4"/>
      <c r="D79" s="4"/>
      <c r="E79" s="4"/>
      <c r="F79" s="4"/>
      <c r="G79" s="4"/>
      <c r="H79" s="4"/>
      <c r="I79" s="4"/>
      <c r="J79" s="4"/>
      <c r="K79" s="4"/>
      <c r="L79" s="4"/>
      <c r="M79" s="4"/>
      <c r="N79" s="4"/>
      <c r="O79" s="7"/>
      <c r="P79" s="4"/>
      <c r="Q79" s="4"/>
      <c r="R79" s="4"/>
      <c r="S79" s="4"/>
      <c r="T79" s="4"/>
      <c r="U79" s="4"/>
      <c r="V79" s="4"/>
      <c r="W79" s="4"/>
      <c r="X79" s="4"/>
      <c r="Y79" s="7"/>
      <c r="Z79" s="4"/>
      <c r="AA79" s="4"/>
      <c r="AB79" s="4"/>
      <c r="AC79" s="4"/>
      <c r="AD79" s="4"/>
      <c r="AE79" s="4"/>
      <c r="AF79" s="4"/>
      <c r="AG79" s="4"/>
      <c r="AH79" s="4"/>
      <c r="AI79" s="4"/>
      <c r="AJ79" s="4"/>
      <c r="AK79" s="4"/>
      <c r="AL79" s="342"/>
      <c r="AM79" s="4"/>
      <c r="AN79" s="4"/>
      <c r="AO79" s="4"/>
      <c r="AP79" s="4"/>
      <c r="AQ79" s="4"/>
      <c r="AR79" s="4"/>
      <c r="AS79" s="4"/>
      <c r="AT79" s="4"/>
      <c r="AU79" s="4"/>
      <c r="AV79" s="4"/>
      <c r="AW79" s="4"/>
      <c r="AX79" s="4"/>
      <c r="AY79" s="4"/>
      <c r="AZ79" s="4"/>
      <c r="BA79" s="4"/>
      <c r="BB79" s="4"/>
      <c r="BC79" s="4"/>
      <c r="BD79" s="4"/>
      <c r="BE79" s="4"/>
      <c r="BF79" s="4"/>
      <c r="BG79" s="4"/>
      <c r="BH79" s="4"/>
      <c r="BI79" s="4"/>
    </row>
    <row r="80" spans="2:61">
      <c r="B80" s="4"/>
      <c r="C80" s="4"/>
      <c r="D80" s="4"/>
      <c r="E80" s="4"/>
      <c r="F80" s="4"/>
      <c r="G80" s="4"/>
      <c r="H80" s="4"/>
      <c r="I80" s="4"/>
      <c r="J80" s="4"/>
      <c r="K80" s="4"/>
      <c r="L80" s="4"/>
      <c r="M80" s="4"/>
      <c r="N80" s="4"/>
      <c r="O80" s="7"/>
      <c r="P80" s="4"/>
      <c r="Q80" s="4"/>
      <c r="R80" s="4"/>
      <c r="S80" s="4"/>
      <c r="T80" s="4"/>
      <c r="U80" s="4"/>
      <c r="V80" s="4"/>
      <c r="W80" s="4"/>
      <c r="X80" s="4"/>
      <c r="Y80" s="7"/>
      <c r="Z80" s="4"/>
      <c r="AA80" s="4"/>
      <c r="AB80" s="4"/>
      <c r="AC80" s="4"/>
      <c r="AD80" s="4"/>
      <c r="AE80" s="4"/>
      <c r="AF80" s="4"/>
      <c r="AG80" s="4"/>
      <c r="AH80" s="4"/>
      <c r="AI80" s="4"/>
      <c r="AJ80" s="4"/>
      <c r="AK80" s="4"/>
      <c r="AL80" s="342"/>
      <c r="AM80" s="4"/>
      <c r="AN80" s="4"/>
      <c r="AO80" s="4"/>
      <c r="AP80" s="4"/>
      <c r="AQ80" s="4"/>
      <c r="AR80" s="4"/>
      <c r="AS80" s="4"/>
      <c r="AT80" s="4"/>
      <c r="AU80" s="4"/>
      <c r="AV80" s="4"/>
      <c r="AW80" s="4"/>
      <c r="AX80" s="4"/>
      <c r="AY80" s="4"/>
      <c r="AZ80" s="4"/>
      <c r="BA80" s="4"/>
      <c r="BB80" s="4"/>
      <c r="BC80" s="4"/>
      <c r="BD80" s="4"/>
      <c r="BE80" s="4"/>
      <c r="BF80" s="4"/>
      <c r="BG80" s="4"/>
      <c r="BH80" s="4"/>
      <c r="BI80" s="4"/>
    </row>
    <row r="81" spans="2:61">
      <c r="B81" s="4"/>
      <c r="C81" s="4"/>
      <c r="D81" s="4"/>
      <c r="E81" s="4"/>
      <c r="F81" s="4"/>
      <c r="G81" s="4"/>
      <c r="H81" s="4"/>
      <c r="I81" s="4"/>
      <c r="J81" s="4"/>
      <c r="K81" s="4"/>
      <c r="L81" s="4"/>
      <c r="M81" s="4"/>
      <c r="N81" s="4"/>
      <c r="O81" s="7"/>
      <c r="P81" s="4"/>
      <c r="Q81" s="4"/>
      <c r="R81" s="4"/>
      <c r="S81" s="4"/>
      <c r="T81" s="4"/>
      <c r="U81" s="4"/>
      <c r="V81" s="4"/>
      <c r="W81" s="4"/>
      <c r="X81" s="4"/>
      <c r="Y81" s="7"/>
      <c r="Z81" s="4"/>
      <c r="AA81" s="4"/>
      <c r="AB81" s="4"/>
      <c r="AC81" s="4"/>
      <c r="AD81" s="4"/>
      <c r="AE81" s="4"/>
      <c r="AF81" s="4"/>
      <c r="AG81" s="4"/>
      <c r="AH81" s="4"/>
      <c r="AI81" s="4"/>
      <c r="AJ81" s="4"/>
      <c r="AK81" s="4"/>
      <c r="AL81" s="342"/>
      <c r="AM81" s="4"/>
      <c r="AN81" s="4"/>
      <c r="AO81" s="4"/>
      <c r="AP81" s="4"/>
      <c r="AQ81" s="4"/>
      <c r="AR81" s="4"/>
      <c r="AS81" s="4"/>
      <c r="AT81" s="4"/>
      <c r="AU81" s="4"/>
      <c r="AV81" s="4"/>
      <c r="AW81" s="4"/>
      <c r="AX81" s="4"/>
      <c r="AY81" s="4"/>
      <c r="AZ81" s="4"/>
      <c r="BA81" s="4"/>
      <c r="BB81" s="4"/>
      <c r="BC81" s="4"/>
      <c r="BD81" s="4"/>
      <c r="BE81" s="4"/>
      <c r="BF81" s="4"/>
      <c r="BG81" s="4"/>
      <c r="BH81" s="4"/>
      <c r="BI81" s="4"/>
    </row>
    <row r="82" spans="2:61">
      <c r="B82" s="4"/>
      <c r="C82" s="4"/>
      <c r="D82" s="4"/>
      <c r="E82" s="4"/>
      <c r="F82" s="4"/>
      <c r="G82" s="4"/>
      <c r="H82" s="4"/>
      <c r="I82" s="4"/>
      <c r="J82" s="4"/>
      <c r="K82" s="4"/>
      <c r="L82" s="4"/>
      <c r="M82" s="4"/>
      <c r="N82" s="4"/>
      <c r="O82" s="7"/>
      <c r="P82" s="4"/>
      <c r="Q82" s="4"/>
      <c r="R82" s="4"/>
      <c r="S82" s="4"/>
      <c r="T82" s="4"/>
      <c r="U82" s="4"/>
      <c r="V82" s="4"/>
      <c r="W82" s="4"/>
      <c r="X82" s="4"/>
      <c r="Y82" s="7"/>
      <c r="Z82" s="4"/>
      <c r="AA82" s="4"/>
      <c r="AB82" s="4"/>
      <c r="AC82" s="4"/>
      <c r="AD82" s="4"/>
      <c r="AE82" s="4"/>
      <c r="AF82" s="4"/>
      <c r="AG82" s="4"/>
      <c r="AH82" s="4"/>
      <c r="AI82" s="4"/>
      <c r="AJ82" s="4"/>
      <c r="AK82" s="4"/>
      <c r="AL82" s="342"/>
      <c r="AM82" s="4"/>
      <c r="AN82" s="4"/>
      <c r="AO82" s="4"/>
      <c r="AP82" s="4"/>
      <c r="AQ82" s="4"/>
      <c r="AR82" s="4"/>
      <c r="AS82" s="4"/>
      <c r="AT82" s="4"/>
      <c r="AU82" s="4"/>
      <c r="AV82" s="4"/>
      <c r="AW82" s="4"/>
      <c r="AX82" s="4"/>
      <c r="AY82" s="4"/>
      <c r="AZ82" s="4"/>
      <c r="BA82" s="4"/>
      <c r="BB82" s="4"/>
      <c r="BC82" s="4"/>
      <c r="BD82" s="4"/>
      <c r="BE82" s="4"/>
      <c r="BF82" s="4"/>
      <c r="BG82" s="4"/>
      <c r="BH82" s="4"/>
      <c r="BI82" s="4"/>
    </row>
    <row r="83" spans="2:61">
      <c r="B83" s="4"/>
      <c r="C83" s="4"/>
      <c r="D83" s="4"/>
      <c r="E83" s="4"/>
      <c r="F83" s="4"/>
      <c r="G83" s="4"/>
      <c r="H83" s="4"/>
      <c r="I83" s="4"/>
      <c r="J83" s="4"/>
      <c r="K83" s="4"/>
      <c r="L83" s="4"/>
      <c r="M83" s="4"/>
      <c r="N83" s="4"/>
      <c r="O83" s="7"/>
      <c r="P83" s="4"/>
      <c r="Q83" s="4"/>
      <c r="R83" s="4"/>
      <c r="S83" s="4"/>
      <c r="T83" s="4"/>
      <c r="U83" s="4"/>
      <c r="V83" s="4"/>
      <c r="W83" s="4"/>
      <c r="X83" s="4"/>
      <c r="Y83" s="7"/>
      <c r="Z83" s="4"/>
      <c r="AA83" s="4"/>
      <c r="AB83" s="4"/>
      <c r="AC83" s="4"/>
      <c r="AD83" s="4"/>
      <c r="AE83" s="4"/>
      <c r="AF83" s="4"/>
      <c r="AG83" s="4"/>
      <c r="AH83" s="4"/>
      <c r="AI83" s="4"/>
      <c r="AJ83" s="4"/>
      <c r="AK83" s="4"/>
      <c r="AL83" s="342"/>
      <c r="AM83" s="4"/>
      <c r="AN83" s="4"/>
      <c r="AO83" s="4"/>
      <c r="AP83" s="4"/>
      <c r="AQ83" s="4"/>
      <c r="AR83" s="4"/>
      <c r="AS83" s="4"/>
      <c r="AT83" s="4"/>
      <c r="AU83" s="4"/>
      <c r="AV83" s="4"/>
      <c r="AW83" s="4"/>
      <c r="AX83" s="4"/>
      <c r="AY83" s="4"/>
      <c r="AZ83" s="4"/>
      <c r="BA83" s="4"/>
      <c r="BB83" s="4"/>
      <c r="BC83" s="4"/>
      <c r="BD83" s="4"/>
      <c r="BE83" s="4"/>
      <c r="BF83" s="4"/>
      <c r="BG83" s="4"/>
      <c r="BH83" s="4"/>
      <c r="BI83" s="4"/>
    </row>
    <row r="84" spans="2:61">
      <c r="B84" s="4"/>
      <c r="C84" s="4"/>
      <c r="D84" s="4"/>
      <c r="E84" s="4"/>
      <c r="F84" s="4"/>
      <c r="G84" s="4"/>
      <c r="H84" s="4"/>
      <c r="I84" s="4"/>
      <c r="J84" s="4"/>
      <c r="K84" s="4"/>
      <c r="L84" s="4"/>
      <c r="M84" s="4"/>
      <c r="N84" s="4"/>
      <c r="O84" s="7"/>
      <c r="P84" s="4"/>
      <c r="Q84" s="4"/>
      <c r="R84" s="4"/>
      <c r="S84" s="4"/>
      <c r="T84" s="4"/>
      <c r="U84" s="4"/>
      <c r="V84" s="4"/>
      <c r="W84" s="4"/>
      <c r="X84" s="4"/>
      <c r="Y84" s="7"/>
      <c r="Z84" s="4"/>
      <c r="AA84" s="4"/>
      <c r="AB84" s="4"/>
      <c r="AC84" s="4"/>
      <c r="AD84" s="4"/>
      <c r="AE84" s="4"/>
      <c r="AF84" s="4"/>
      <c r="AG84" s="4"/>
      <c r="AH84" s="4"/>
      <c r="AI84" s="4"/>
      <c r="AJ84" s="4"/>
      <c r="AK84" s="4"/>
      <c r="AL84" s="342"/>
      <c r="AM84" s="4"/>
      <c r="AN84" s="4"/>
      <c r="AO84" s="4"/>
      <c r="AP84" s="4"/>
      <c r="AQ84" s="4"/>
      <c r="AR84" s="4"/>
      <c r="AS84" s="4"/>
      <c r="AT84" s="4"/>
      <c r="AU84" s="4"/>
      <c r="AV84" s="4"/>
      <c r="AW84" s="4"/>
      <c r="AX84" s="4"/>
      <c r="AY84" s="4"/>
      <c r="AZ84" s="4"/>
      <c r="BA84" s="4"/>
      <c r="BB84" s="4"/>
      <c r="BC84" s="4"/>
      <c r="BD84" s="4"/>
      <c r="BE84" s="4"/>
      <c r="BF84" s="4"/>
      <c r="BG84" s="4"/>
      <c r="BH84" s="4"/>
      <c r="BI84" s="4"/>
    </row>
    <row r="85" spans="2:61">
      <c r="B85" s="4"/>
      <c r="C85" s="4"/>
      <c r="D85" s="4"/>
      <c r="E85" s="4"/>
      <c r="F85" s="4"/>
      <c r="G85" s="4"/>
      <c r="H85" s="4"/>
      <c r="I85" s="4"/>
      <c r="J85" s="4"/>
      <c r="K85" s="4"/>
      <c r="L85" s="4"/>
      <c r="M85" s="4"/>
      <c r="N85" s="4"/>
      <c r="O85" s="7"/>
      <c r="P85" s="4"/>
      <c r="Q85" s="4"/>
      <c r="R85" s="4"/>
      <c r="S85" s="4"/>
      <c r="T85" s="4"/>
      <c r="U85" s="4"/>
      <c r="V85" s="4"/>
      <c r="W85" s="4"/>
      <c r="X85" s="4"/>
      <c r="Y85" s="7"/>
      <c r="Z85" s="4"/>
      <c r="AA85" s="4"/>
      <c r="AB85" s="4"/>
      <c r="AC85" s="4"/>
      <c r="AD85" s="4"/>
      <c r="AE85" s="4"/>
      <c r="AF85" s="4"/>
      <c r="AG85" s="4"/>
      <c r="AH85" s="4"/>
      <c r="AI85" s="4"/>
      <c r="AJ85" s="4"/>
      <c r="AK85" s="4"/>
      <c r="AL85" s="342"/>
      <c r="AM85" s="4"/>
      <c r="AN85" s="4"/>
      <c r="AO85" s="4"/>
      <c r="AP85" s="4"/>
      <c r="AQ85" s="4"/>
      <c r="AR85" s="4"/>
      <c r="AS85" s="4"/>
      <c r="AT85" s="4"/>
      <c r="AU85" s="4"/>
      <c r="AV85" s="4"/>
      <c r="AW85" s="4"/>
      <c r="AX85" s="4"/>
      <c r="AY85" s="4"/>
      <c r="AZ85" s="4"/>
      <c r="BA85" s="4"/>
      <c r="BB85" s="4"/>
      <c r="BC85" s="4"/>
      <c r="BD85" s="4"/>
      <c r="BE85" s="4"/>
      <c r="BF85" s="4"/>
      <c r="BG85" s="4"/>
      <c r="BH85" s="4"/>
      <c r="BI85" s="4"/>
    </row>
    <row r="86" spans="2:61">
      <c r="B86" s="4"/>
      <c r="C86" s="4"/>
      <c r="D86" s="4"/>
      <c r="E86" s="4"/>
      <c r="F86" s="4"/>
      <c r="G86" s="4"/>
      <c r="H86" s="4"/>
      <c r="I86" s="4"/>
      <c r="J86" s="4"/>
      <c r="K86" s="4"/>
      <c r="L86" s="4"/>
      <c r="M86" s="4"/>
      <c r="N86" s="4"/>
      <c r="O86" s="7"/>
      <c r="P86" s="4"/>
      <c r="Q86" s="4"/>
      <c r="R86" s="4"/>
      <c r="S86" s="4"/>
      <c r="T86" s="4"/>
      <c r="U86" s="4"/>
      <c r="V86" s="4"/>
      <c r="W86" s="4"/>
      <c r="X86" s="4"/>
      <c r="Y86" s="7"/>
      <c r="Z86" s="4"/>
      <c r="AA86" s="4"/>
      <c r="AB86" s="4"/>
      <c r="AC86" s="4"/>
      <c r="AD86" s="4"/>
      <c r="AE86" s="4"/>
      <c r="AF86" s="4"/>
      <c r="AG86" s="4"/>
      <c r="AH86" s="4"/>
      <c r="AI86" s="4"/>
      <c r="AJ86" s="4"/>
      <c r="AK86" s="4"/>
      <c r="AL86" s="342"/>
      <c r="AM86" s="4"/>
      <c r="AN86" s="4"/>
      <c r="AO86" s="4"/>
      <c r="AP86" s="4"/>
      <c r="AQ86" s="4"/>
      <c r="AR86" s="4"/>
      <c r="AS86" s="4"/>
      <c r="AT86" s="4"/>
      <c r="AU86" s="4"/>
      <c r="AV86" s="4"/>
      <c r="AW86" s="4"/>
      <c r="AX86" s="4"/>
      <c r="AY86" s="4"/>
      <c r="AZ86" s="4"/>
      <c r="BA86" s="4"/>
      <c r="BB86" s="4"/>
      <c r="BC86" s="4"/>
      <c r="BD86" s="4"/>
      <c r="BE86" s="4"/>
      <c r="BF86" s="4"/>
      <c r="BG86" s="4"/>
      <c r="BH86" s="4"/>
      <c r="BI86" s="4"/>
    </row>
    <row r="87" spans="2:61">
      <c r="B87" s="4"/>
      <c r="C87" s="4"/>
      <c r="D87" s="4"/>
      <c r="E87" s="4"/>
      <c r="F87" s="4"/>
      <c r="G87" s="4"/>
      <c r="H87" s="4"/>
      <c r="I87" s="4"/>
      <c r="J87" s="4"/>
      <c r="K87" s="4"/>
      <c r="L87" s="4"/>
      <c r="M87" s="4"/>
      <c r="N87" s="4"/>
      <c r="O87" s="7"/>
      <c r="P87" s="4"/>
      <c r="Q87" s="4"/>
      <c r="R87" s="4"/>
      <c r="S87" s="4"/>
      <c r="T87" s="4"/>
      <c r="U87" s="4"/>
      <c r="V87" s="4"/>
      <c r="W87" s="4"/>
      <c r="X87" s="4"/>
      <c r="Y87" s="7"/>
      <c r="Z87" s="4"/>
      <c r="AA87" s="4"/>
      <c r="AB87" s="4"/>
      <c r="AC87" s="4"/>
      <c r="AD87" s="4"/>
      <c r="AE87" s="4"/>
      <c r="AF87" s="4"/>
      <c r="AG87" s="4"/>
      <c r="AH87" s="4"/>
      <c r="AI87" s="4"/>
      <c r="AJ87" s="4"/>
      <c r="AK87" s="4"/>
      <c r="AL87" s="342"/>
      <c r="AM87" s="4"/>
      <c r="AN87" s="4"/>
      <c r="AO87" s="4"/>
      <c r="AP87" s="4"/>
      <c r="AQ87" s="4"/>
      <c r="AR87" s="4"/>
      <c r="AS87" s="4"/>
      <c r="AT87" s="4"/>
      <c r="AU87" s="4"/>
      <c r="AV87" s="4"/>
      <c r="AW87" s="4"/>
      <c r="AX87" s="4"/>
      <c r="AY87" s="4"/>
      <c r="AZ87" s="4"/>
      <c r="BA87" s="4"/>
      <c r="BB87" s="4"/>
      <c r="BC87" s="4"/>
      <c r="BD87" s="4"/>
      <c r="BE87" s="4"/>
      <c r="BF87" s="4"/>
      <c r="BG87" s="4"/>
      <c r="BH87" s="4"/>
      <c r="BI87" s="4"/>
    </row>
    <row r="88" spans="2:61">
      <c r="B88" s="4"/>
      <c r="C88" s="4"/>
      <c r="D88" s="4"/>
      <c r="E88" s="4"/>
      <c r="F88" s="4"/>
      <c r="G88" s="4"/>
      <c r="H88" s="4"/>
      <c r="I88" s="4"/>
      <c r="J88" s="4"/>
      <c r="K88" s="4"/>
      <c r="L88" s="4"/>
      <c r="M88" s="4"/>
      <c r="N88" s="4"/>
      <c r="O88" s="7"/>
      <c r="P88" s="4"/>
      <c r="Q88" s="4"/>
      <c r="R88" s="4"/>
      <c r="S88" s="4"/>
      <c r="T88" s="4"/>
      <c r="U88" s="4"/>
      <c r="V88" s="4"/>
      <c r="W88" s="4"/>
      <c r="X88" s="4"/>
      <c r="Y88" s="7"/>
      <c r="Z88" s="4"/>
      <c r="AA88" s="4"/>
      <c r="AB88" s="4"/>
      <c r="AC88" s="4"/>
      <c r="AD88" s="4"/>
      <c r="AE88" s="4"/>
      <c r="AF88" s="4"/>
      <c r="AG88" s="4"/>
      <c r="AH88" s="4"/>
      <c r="AI88" s="4"/>
      <c r="AJ88" s="4"/>
      <c r="AK88" s="4"/>
      <c r="AL88" s="342"/>
      <c r="AM88" s="4"/>
      <c r="AN88" s="4"/>
      <c r="AO88" s="4"/>
      <c r="AP88" s="4"/>
      <c r="AQ88" s="4"/>
      <c r="AR88" s="4"/>
      <c r="AS88" s="4"/>
      <c r="AT88" s="4"/>
      <c r="AU88" s="4"/>
      <c r="AV88" s="4"/>
      <c r="AW88" s="4"/>
      <c r="AX88" s="4"/>
      <c r="AY88" s="4"/>
      <c r="AZ88" s="4"/>
      <c r="BA88" s="4"/>
      <c r="BB88" s="4"/>
      <c r="BC88" s="4"/>
      <c r="BD88" s="4"/>
      <c r="BE88" s="4"/>
      <c r="BF88" s="4"/>
      <c r="BG88" s="4"/>
      <c r="BH88" s="4"/>
      <c r="BI88" s="4"/>
    </row>
    <row r="89" spans="2:61">
      <c r="B89" s="4"/>
      <c r="C89" s="4"/>
      <c r="D89" s="4"/>
      <c r="E89" s="4"/>
      <c r="F89" s="4"/>
      <c r="G89" s="4"/>
      <c r="H89" s="4"/>
      <c r="I89" s="4"/>
      <c r="J89" s="4"/>
      <c r="K89" s="4"/>
      <c r="L89" s="4"/>
      <c r="M89" s="4"/>
      <c r="N89" s="4"/>
      <c r="O89" s="7"/>
      <c r="P89" s="4"/>
      <c r="Q89" s="4"/>
      <c r="R89" s="4"/>
      <c r="S89" s="4"/>
      <c r="T89" s="4"/>
      <c r="U89" s="4"/>
      <c r="V89" s="4"/>
      <c r="W89" s="4"/>
      <c r="X89" s="4"/>
      <c r="Y89" s="7"/>
      <c r="Z89" s="4"/>
      <c r="AA89" s="4"/>
      <c r="AB89" s="4"/>
      <c r="AC89" s="4"/>
      <c r="AD89" s="4"/>
      <c r="AE89" s="4"/>
      <c r="AF89" s="4"/>
      <c r="AG89" s="4"/>
      <c r="AH89" s="4"/>
      <c r="AI89" s="4"/>
      <c r="AJ89" s="4"/>
      <c r="AK89" s="4"/>
      <c r="AL89" s="342"/>
      <c r="AM89" s="4"/>
      <c r="AN89" s="4"/>
      <c r="AO89" s="4"/>
      <c r="AP89" s="4"/>
      <c r="AQ89" s="4"/>
      <c r="AR89" s="4"/>
      <c r="AS89" s="4"/>
      <c r="AT89" s="4"/>
      <c r="AU89" s="4"/>
      <c r="AV89" s="4"/>
      <c r="AW89" s="4"/>
      <c r="AX89" s="4"/>
      <c r="AY89" s="4"/>
      <c r="AZ89" s="4"/>
      <c r="BA89" s="4"/>
      <c r="BB89" s="4"/>
      <c r="BC89" s="4"/>
      <c r="BD89" s="4"/>
      <c r="BE89" s="4"/>
      <c r="BF89" s="4"/>
      <c r="BG89" s="4"/>
      <c r="BH89" s="4"/>
      <c r="BI89" s="4"/>
    </row>
    <row r="90" spans="2:61">
      <c r="B90" s="4"/>
      <c r="C90" s="4"/>
      <c r="D90" s="4"/>
      <c r="E90" s="4"/>
      <c r="F90" s="4"/>
      <c r="G90" s="4"/>
      <c r="H90" s="4"/>
      <c r="I90" s="4"/>
      <c r="J90" s="4"/>
      <c r="K90" s="4"/>
      <c r="L90" s="4"/>
      <c r="M90" s="4"/>
      <c r="N90" s="4"/>
      <c r="O90" s="7"/>
      <c r="P90" s="4"/>
      <c r="Q90" s="4"/>
      <c r="R90" s="4"/>
      <c r="S90" s="4"/>
      <c r="T90" s="4"/>
      <c r="U90" s="4"/>
      <c r="V90" s="4"/>
      <c r="W90" s="4"/>
      <c r="X90" s="4"/>
      <c r="Y90" s="7"/>
      <c r="Z90" s="4"/>
      <c r="AA90" s="4"/>
      <c r="AB90" s="4"/>
      <c r="AC90" s="4"/>
      <c r="AD90" s="4"/>
      <c r="AE90" s="4"/>
      <c r="AF90" s="4"/>
      <c r="AG90" s="4"/>
      <c r="AH90" s="4"/>
      <c r="AI90" s="4"/>
      <c r="AJ90" s="4"/>
      <c r="AK90" s="4"/>
      <c r="AL90" s="342"/>
      <c r="AM90" s="4"/>
      <c r="AN90" s="4"/>
      <c r="AO90" s="4"/>
      <c r="AP90" s="4"/>
      <c r="AQ90" s="4"/>
      <c r="AR90" s="4"/>
      <c r="AS90" s="4"/>
      <c r="AT90" s="4"/>
      <c r="AU90" s="4"/>
      <c r="AV90" s="4"/>
      <c r="AW90" s="4"/>
      <c r="AX90" s="4"/>
      <c r="AY90" s="4"/>
      <c r="AZ90" s="4"/>
      <c r="BA90" s="4"/>
      <c r="BB90" s="4"/>
      <c r="BC90" s="4"/>
      <c r="BD90" s="4"/>
      <c r="BE90" s="4"/>
      <c r="BF90" s="4"/>
      <c r="BG90" s="4"/>
      <c r="BH90" s="4"/>
      <c r="BI90" s="4"/>
    </row>
    <row r="91" spans="2:61">
      <c r="B91" s="4"/>
      <c r="C91" s="4"/>
      <c r="D91" s="4"/>
      <c r="E91" s="4"/>
      <c r="F91" s="4"/>
      <c r="G91" s="4"/>
      <c r="H91" s="4"/>
      <c r="I91" s="4"/>
      <c r="J91" s="4"/>
      <c r="K91" s="4"/>
      <c r="L91" s="4"/>
      <c r="M91" s="4"/>
      <c r="N91" s="4"/>
      <c r="O91" s="7"/>
      <c r="P91" s="4"/>
      <c r="Q91" s="4"/>
      <c r="R91" s="4"/>
      <c r="S91" s="4"/>
      <c r="T91" s="4"/>
      <c r="U91" s="4"/>
      <c r="V91" s="4"/>
      <c r="W91" s="4"/>
      <c r="X91" s="4"/>
      <c r="Y91" s="7"/>
      <c r="Z91" s="4"/>
      <c r="AA91" s="4"/>
      <c r="AB91" s="4"/>
      <c r="AC91" s="4"/>
      <c r="AD91" s="4"/>
      <c r="AE91" s="4"/>
      <c r="AF91" s="4"/>
      <c r="AG91" s="4"/>
      <c r="AH91" s="4"/>
      <c r="AI91" s="4"/>
      <c r="AJ91" s="4"/>
      <c r="AK91" s="4"/>
      <c r="AL91" s="342"/>
      <c r="AM91" s="4"/>
      <c r="AN91" s="4"/>
      <c r="AO91" s="4"/>
      <c r="AP91" s="4"/>
      <c r="AQ91" s="4"/>
      <c r="AR91" s="4"/>
      <c r="AS91" s="4"/>
      <c r="AT91" s="4"/>
      <c r="AU91" s="4"/>
      <c r="AV91" s="4"/>
      <c r="AW91" s="4"/>
      <c r="AX91" s="4"/>
      <c r="AY91" s="4"/>
      <c r="AZ91" s="4"/>
      <c r="BA91" s="4"/>
      <c r="BB91" s="4"/>
      <c r="BC91" s="4"/>
      <c r="BD91" s="4"/>
      <c r="BE91" s="4"/>
      <c r="BF91" s="4"/>
      <c r="BG91" s="4"/>
      <c r="BH91" s="4"/>
      <c r="BI91" s="4"/>
    </row>
    <row r="92" spans="2:61">
      <c r="B92" s="4"/>
      <c r="C92" s="4"/>
      <c r="D92" s="4"/>
      <c r="E92" s="4"/>
      <c r="F92" s="4"/>
      <c r="G92" s="4"/>
      <c r="H92" s="4"/>
      <c r="I92" s="4"/>
      <c r="J92" s="4"/>
      <c r="K92" s="4"/>
      <c r="L92" s="4"/>
      <c r="M92" s="4"/>
      <c r="N92" s="4"/>
      <c r="O92" s="7"/>
      <c r="P92" s="4"/>
      <c r="Q92" s="4"/>
      <c r="R92" s="4"/>
      <c r="S92" s="4"/>
      <c r="T92" s="4"/>
      <c r="U92" s="4"/>
      <c r="V92" s="4"/>
      <c r="W92" s="4"/>
      <c r="X92" s="4"/>
      <c r="Y92" s="7"/>
      <c r="Z92" s="4"/>
      <c r="AA92" s="4"/>
      <c r="AB92" s="4"/>
      <c r="AC92" s="4"/>
      <c r="AD92" s="4"/>
      <c r="AE92" s="4"/>
      <c r="AF92" s="4"/>
      <c r="AG92" s="4"/>
      <c r="AH92" s="4"/>
      <c r="AI92" s="4"/>
      <c r="AJ92" s="4"/>
      <c r="AK92" s="4"/>
      <c r="AL92" s="342"/>
      <c r="AM92" s="4"/>
      <c r="AN92" s="4"/>
      <c r="AO92" s="4"/>
      <c r="AP92" s="4"/>
      <c r="AQ92" s="4"/>
      <c r="AR92" s="4"/>
      <c r="AS92" s="4"/>
      <c r="AT92" s="4"/>
      <c r="AU92" s="4"/>
      <c r="AV92" s="4"/>
      <c r="AW92" s="4"/>
      <c r="AX92" s="4"/>
      <c r="AY92" s="4"/>
      <c r="AZ92" s="4"/>
      <c r="BA92" s="4"/>
      <c r="BB92" s="4"/>
      <c r="BC92" s="4"/>
      <c r="BD92" s="4"/>
      <c r="BE92" s="4"/>
      <c r="BF92" s="4"/>
      <c r="BG92" s="4"/>
      <c r="BH92" s="4"/>
      <c r="BI92" s="4"/>
    </row>
    <row r="93" spans="2:61">
      <c r="B93" s="4"/>
      <c r="C93" s="4"/>
      <c r="D93" s="4"/>
      <c r="E93" s="4"/>
      <c r="F93" s="4"/>
      <c r="G93" s="4"/>
      <c r="H93" s="4"/>
      <c r="I93" s="4"/>
      <c r="J93" s="4"/>
      <c r="K93" s="4"/>
      <c r="L93" s="4"/>
      <c r="M93" s="4"/>
      <c r="N93" s="4"/>
      <c r="O93" s="7"/>
      <c r="P93" s="4"/>
      <c r="Q93" s="4"/>
      <c r="R93" s="4"/>
      <c r="S93" s="4"/>
      <c r="T93" s="4"/>
      <c r="U93" s="4"/>
      <c r="V93" s="4"/>
      <c r="W93" s="4"/>
      <c r="X93" s="4"/>
      <c r="Y93" s="7"/>
      <c r="Z93" s="4"/>
      <c r="AA93" s="4"/>
      <c r="AB93" s="4"/>
      <c r="AC93" s="4"/>
      <c r="AD93" s="4"/>
      <c r="AE93" s="4"/>
      <c r="AF93" s="4"/>
      <c r="AG93" s="4"/>
      <c r="AH93" s="4"/>
      <c r="AI93" s="4"/>
      <c r="AJ93" s="4"/>
      <c r="AK93" s="4"/>
      <c r="AL93" s="342"/>
      <c r="AM93" s="4"/>
      <c r="AN93" s="4"/>
      <c r="AO93" s="4"/>
      <c r="AP93" s="4"/>
      <c r="AQ93" s="4"/>
      <c r="AR93" s="4"/>
      <c r="AS93" s="4"/>
      <c r="AT93" s="4"/>
      <c r="AU93" s="4"/>
      <c r="AV93" s="4"/>
      <c r="AW93" s="4"/>
      <c r="AX93" s="4"/>
      <c r="AY93" s="4"/>
      <c r="AZ93" s="4"/>
      <c r="BA93" s="4"/>
      <c r="BB93" s="4"/>
      <c r="BC93" s="4"/>
      <c r="BD93" s="4"/>
      <c r="BE93" s="4"/>
      <c r="BF93" s="4"/>
      <c r="BG93" s="4"/>
      <c r="BH93" s="4"/>
      <c r="BI93" s="4"/>
    </row>
    <row r="94" spans="2:61">
      <c r="B94" s="4"/>
      <c r="C94" s="4"/>
      <c r="D94" s="4"/>
      <c r="E94" s="4"/>
      <c r="F94" s="4"/>
      <c r="G94" s="4"/>
      <c r="H94" s="4"/>
      <c r="I94" s="4"/>
      <c r="J94" s="4"/>
      <c r="K94" s="4"/>
      <c r="L94" s="4"/>
      <c r="M94" s="4"/>
      <c r="N94" s="4"/>
      <c r="O94" s="7"/>
      <c r="P94" s="4"/>
      <c r="Q94" s="4"/>
      <c r="R94" s="4"/>
      <c r="S94" s="4"/>
      <c r="T94" s="4"/>
      <c r="U94" s="4"/>
      <c r="V94" s="4"/>
      <c r="W94" s="4"/>
      <c r="X94" s="4"/>
      <c r="Y94" s="7"/>
      <c r="Z94" s="4"/>
      <c r="AA94" s="4"/>
      <c r="AB94" s="4"/>
      <c r="AC94" s="4"/>
      <c r="AD94" s="4"/>
      <c r="AE94" s="4"/>
      <c r="AF94" s="4"/>
      <c r="AG94" s="4"/>
      <c r="AH94" s="4"/>
      <c r="AI94" s="4"/>
      <c r="AJ94" s="4"/>
      <c r="AK94" s="4"/>
      <c r="AL94" s="342"/>
      <c r="AM94" s="4"/>
      <c r="AN94" s="4"/>
      <c r="AO94" s="4"/>
      <c r="AP94" s="4"/>
      <c r="AQ94" s="4"/>
      <c r="AR94" s="4"/>
      <c r="AS94" s="4"/>
      <c r="AT94" s="4"/>
      <c r="AU94" s="4"/>
      <c r="AV94" s="4"/>
      <c r="AW94" s="4"/>
      <c r="AX94" s="4"/>
      <c r="AY94" s="4"/>
      <c r="AZ94" s="4"/>
      <c r="BA94" s="4"/>
      <c r="BB94" s="4"/>
      <c r="BC94" s="4"/>
      <c r="BD94" s="4"/>
      <c r="BE94" s="4"/>
      <c r="BF94" s="4"/>
      <c r="BG94" s="4"/>
      <c r="BH94" s="4"/>
      <c r="BI94" s="4"/>
    </row>
    <row r="95" spans="2:61">
      <c r="B95" s="4"/>
      <c r="C95" s="4"/>
      <c r="D95" s="4"/>
      <c r="E95" s="4"/>
      <c r="F95" s="4"/>
      <c r="G95" s="4"/>
      <c r="H95" s="4"/>
      <c r="I95" s="4"/>
      <c r="J95" s="4"/>
      <c r="K95" s="4"/>
      <c r="L95" s="4"/>
      <c r="M95" s="4"/>
      <c r="N95" s="4"/>
      <c r="O95" s="7"/>
      <c r="P95" s="4"/>
      <c r="Q95" s="4"/>
      <c r="R95" s="4"/>
      <c r="S95" s="4"/>
      <c r="T95" s="4"/>
      <c r="U95" s="4"/>
      <c r="V95" s="4"/>
      <c r="W95" s="4"/>
      <c r="X95" s="4"/>
      <c r="Y95" s="7"/>
      <c r="Z95" s="4"/>
      <c r="AA95" s="4"/>
      <c r="AB95" s="4"/>
      <c r="AC95" s="4"/>
      <c r="AD95" s="4"/>
      <c r="AE95" s="4"/>
      <c r="AF95" s="4"/>
      <c r="AG95" s="4"/>
      <c r="AH95" s="4"/>
      <c r="AI95" s="4"/>
      <c r="AJ95" s="4"/>
      <c r="AK95" s="4"/>
      <c r="AL95" s="342"/>
      <c r="AM95" s="4"/>
      <c r="AN95" s="4"/>
      <c r="AO95" s="4"/>
      <c r="AP95" s="4"/>
      <c r="AQ95" s="4"/>
      <c r="AR95" s="4"/>
      <c r="AS95" s="4"/>
      <c r="AT95" s="4"/>
      <c r="AU95" s="4"/>
      <c r="AV95" s="4"/>
      <c r="AW95" s="4"/>
      <c r="AX95" s="4"/>
      <c r="AY95" s="4"/>
      <c r="AZ95" s="4"/>
      <c r="BA95" s="4"/>
      <c r="BB95" s="4"/>
      <c r="BC95" s="4"/>
      <c r="BD95" s="4"/>
      <c r="BE95" s="4"/>
      <c r="BF95" s="4"/>
      <c r="BG95" s="4"/>
      <c r="BH95" s="4"/>
      <c r="BI95" s="4"/>
    </row>
    <row r="96" spans="2:61">
      <c r="B96" s="4"/>
      <c r="C96" s="4"/>
      <c r="D96" s="4"/>
      <c r="E96" s="4"/>
      <c r="F96" s="4"/>
      <c r="G96" s="4"/>
      <c r="H96" s="4"/>
      <c r="I96" s="4"/>
      <c r="J96" s="4"/>
      <c r="K96" s="4"/>
      <c r="L96" s="4"/>
      <c r="M96" s="4"/>
      <c r="N96" s="4"/>
      <c r="O96" s="7"/>
      <c r="P96" s="4"/>
      <c r="Q96" s="4"/>
      <c r="R96" s="4"/>
      <c r="S96" s="4"/>
      <c r="T96" s="4"/>
      <c r="U96" s="4"/>
      <c r="V96" s="4"/>
      <c r="W96" s="4"/>
      <c r="X96" s="4"/>
      <c r="Y96" s="7"/>
      <c r="Z96" s="4"/>
      <c r="AA96" s="4"/>
      <c r="AB96" s="4"/>
      <c r="AC96" s="4"/>
      <c r="AD96" s="4"/>
      <c r="AE96" s="4"/>
      <c r="AF96" s="4"/>
      <c r="AG96" s="4"/>
      <c r="AH96" s="4"/>
      <c r="AI96" s="4"/>
      <c r="AJ96" s="4"/>
      <c r="AK96" s="4"/>
      <c r="AL96" s="342"/>
      <c r="AM96" s="4"/>
      <c r="AN96" s="4"/>
      <c r="AO96" s="4"/>
      <c r="AP96" s="4"/>
      <c r="AQ96" s="4"/>
      <c r="AR96" s="4"/>
      <c r="AS96" s="4"/>
      <c r="AT96" s="4"/>
      <c r="AU96" s="4"/>
      <c r="AV96" s="4"/>
      <c r="AW96" s="4"/>
      <c r="AX96" s="4"/>
      <c r="AY96" s="4"/>
      <c r="AZ96" s="4"/>
      <c r="BA96" s="4"/>
      <c r="BB96" s="4"/>
      <c r="BC96" s="4"/>
      <c r="BD96" s="4"/>
      <c r="BE96" s="4"/>
      <c r="BF96" s="4"/>
      <c r="BG96" s="4"/>
      <c r="BH96" s="4"/>
      <c r="BI96" s="4"/>
    </row>
    <row r="97" spans="2:61">
      <c r="B97" s="4"/>
      <c r="C97" s="4"/>
      <c r="D97" s="4"/>
      <c r="E97" s="4"/>
      <c r="F97" s="4"/>
      <c r="G97" s="4"/>
      <c r="H97" s="4"/>
      <c r="I97" s="4"/>
      <c r="J97" s="4"/>
      <c r="K97" s="4"/>
      <c r="L97" s="4"/>
      <c r="M97" s="4"/>
      <c r="N97" s="4"/>
      <c r="O97" s="7"/>
      <c r="P97" s="4"/>
      <c r="Q97" s="4"/>
      <c r="R97" s="4"/>
      <c r="S97" s="4"/>
      <c r="T97" s="4"/>
      <c r="U97" s="4"/>
      <c r="V97" s="4"/>
      <c r="W97" s="4"/>
      <c r="X97" s="4"/>
      <c r="Y97" s="7"/>
      <c r="Z97" s="4"/>
      <c r="AA97" s="4"/>
      <c r="AB97" s="4"/>
      <c r="AC97" s="4"/>
      <c r="AD97" s="4"/>
      <c r="AE97" s="4"/>
      <c r="AF97" s="4"/>
      <c r="AG97" s="4"/>
      <c r="AH97" s="4"/>
      <c r="AI97" s="4"/>
      <c r="AJ97" s="4"/>
      <c r="AK97" s="4"/>
      <c r="AL97" s="342"/>
      <c r="AM97" s="4"/>
      <c r="AN97" s="4"/>
      <c r="AO97" s="4"/>
      <c r="AP97" s="4"/>
      <c r="AQ97" s="4"/>
      <c r="AR97" s="4"/>
      <c r="AS97" s="4"/>
      <c r="AT97" s="4"/>
      <c r="AU97" s="4"/>
      <c r="AV97" s="4"/>
      <c r="AW97" s="4"/>
      <c r="AX97" s="4"/>
      <c r="AY97" s="4"/>
      <c r="AZ97" s="4"/>
      <c r="BA97" s="4"/>
      <c r="BB97" s="4"/>
      <c r="BC97" s="4"/>
      <c r="BD97" s="4"/>
      <c r="BE97" s="4"/>
      <c r="BF97" s="4"/>
      <c r="BG97" s="4"/>
      <c r="BH97" s="4"/>
      <c r="BI97" s="4"/>
    </row>
    <row r="98" spans="2:61">
      <c r="B98" s="4"/>
      <c r="C98" s="4"/>
      <c r="D98" s="4"/>
      <c r="E98" s="4"/>
      <c r="F98" s="4"/>
      <c r="G98" s="4"/>
      <c r="H98" s="4"/>
      <c r="I98" s="4"/>
      <c r="J98" s="4"/>
      <c r="K98" s="4"/>
      <c r="L98" s="4"/>
      <c r="M98" s="4"/>
      <c r="N98" s="4"/>
      <c r="O98" s="7"/>
      <c r="P98" s="4"/>
      <c r="Q98" s="4"/>
      <c r="R98" s="4"/>
      <c r="S98" s="4"/>
      <c r="T98" s="4"/>
      <c r="U98" s="4"/>
      <c r="V98" s="4"/>
      <c r="W98" s="4"/>
      <c r="X98" s="4"/>
      <c r="Y98" s="7"/>
      <c r="Z98" s="4"/>
      <c r="AA98" s="4"/>
      <c r="AB98" s="4"/>
      <c r="AC98" s="4"/>
      <c r="AD98" s="4"/>
      <c r="AE98" s="4"/>
      <c r="AF98" s="4"/>
      <c r="AG98" s="4"/>
      <c r="AH98" s="4"/>
      <c r="AI98" s="4"/>
      <c r="AJ98" s="4"/>
      <c r="AK98" s="4"/>
      <c r="AL98" s="342"/>
      <c r="AM98" s="4"/>
      <c r="AN98" s="4"/>
      <c r="AO98" s="4"/>
      <c r="AP98" s="4"/>
      <c r="AQ98" s="4"/>
      <c r="AR98" s="4"/>
      <c r="AS98" s="4"/>
      <c r="AT98" s="4"/>
      <c r="AU98" s="4"/>
      <c r="AV98" s="4"/>
      <c r="AW98" s="4"/>
      <c r="AX98" s="4"/>
      <c r="AY98" s="4"/>
      <c r="AZ98" s="4"/>
      <c r="BA98" s="4"/>
      <c r="BB98" s="4"/>
      <c r="BC98" s="4"/>
      <c r="BD98" s="4"/>
      <c r="BE98" s="4"/>
      <c r="BF98" s="4"/>
      <c r="BG98" s="4"/>
      <c r="BH98" s="4"/>
      <c r="BI98" s="4"/>
    </row>
    <row r="99" spans="2:61">
      <c r="B99" s="4"/>
      <c r="C99" s="4"/>
      <c r="D99" s="4"/>
      <c r="E99" s="4"/>
      <c r="F99" s="4"/>
      <c r="G99" s="4"/>
      <c r="H99" s="4"/>
      <c r="I99" s="4"/>
      <c r="J99" s="4"/>
      <c r="K99" s="4"/>
      <c r="L99" s="4"/>
      <c r="M99" s="4"/>
      <c r="N99" s="4"/>
      <c r="O99" s="7"/>
      <c r="P99" s="4"/>
      <c r="Q99" s="4"/>
      <c r="R99" s="4"/>
      <c r="S99" s="4"/>
      <c r="T99" s="4"/>
      <c r="U99" s="4"/>
      <c r="V99" s="4"/>
      <c r="W99" s="4"/>
      <c r="X99" s="4"/>
      <c r="Y99" s="7"/>
      <c r="Z99" s="4"/>
      <c r="AA99" s="4"/>
      <c r="AB99" s="4"/>
      <c r="AC99" s="4"/>
      <c r="AD99" s="4"/>
      <c r="AE99" s="4"/>
      <c r="AF99" s="4"/>
      <c r="AG99" s="4"/>
      <c r="AH99" s="4"/>
      <c r="AI99" s="4"/>
      <c r="AJ99" s="4"/>
      <c r="AK99" s="4"/>
      <c r="AL99" s="342"/>
      <c r="AM99" s="4"/>
      <c r="AN99" s="4"/>
      <c r="AO99" s="4"/>
      <c r="AP99" s="4"/>
      <c r="AQ99" s="4"/>
      <c r="AR99" s="4"/>
      <c r="AS99" s="4"/>
      <c r="AT99" s="4"/>
      <c r="AU99" s="4"/>
      <c r="AV99" s="4"/>
      <c r="AW99" s="4"/>
      <c r="AX99" s="4"/>
      <c r="AY99" s="4"/>
      <c r="AZ99" s="4"/>
      <c r="BA99" s="4"/>
      <c r="BB99" s="4"/>
      <c r="BC99" s="4"/>
      <c r="BD99" s="4"/>
      <c r="BE99" s="4"/>
      <c r="BF99" s="4"/>
      <c r="BG99" s="4"/>
      <c r="BH99" s="4"/>
      <c r="BI99" s="4"/>
    </row>
    <row r="100" spans="2:61">
      <c r="B100" s="4"/>
      <c r="C100" s="4"/>
      <c r="D100" s="4"/>
      <c r="E100" s="4"/>
      <c r="F100" s="4"/>
      <c r="G100" s="4"/>
      <c r="H100" s="4"/>
      <c r="I100" s="4"/>
      <c r="J100" s="4"/>
      <c r="K100" s="4"/>
      <c r="L100" s="4"/>
      <c r="M100" s="4"/>
      <c r="N100" s="4"/>
      <c r="O100" s="7"/>
      <c r="P100" s="4"/>
      <c r="Q100" s="4"/>
      <c r="R100" s="4"/>
      <c r="S100" s="4"/>
      <c r="T100" s="4"/>
      <c r="U100" s="4"/>
      <c r="V100" s="4"/>
      <c r="W100" s="4"/>
      <c r="X100" s="4"/>
      <c r="Y100" s="7"/>
      <c r="Z100" s="4"/>
      <c r="AA100" s="4"/>
      <c r="AB100" s="4"/>
      <c r="AC100" s="4"/>
      <c r="AD100" s="4"/>
      <c r="AE100" s="4"/>
      <c r="AF100" s="4"/>
      <c r="AG100" s="4"/>
      <c r="AH100" s="4"/>
      <c r="AI100" s="4"/>
      <c r="AJ100" s="4"/>
      <c r="AK100" s="4"/>
      <c r="AL100" s="342"/>
      <c r="AM100" s="4"/>
      <c r="AN100" s="4"/>
      <c r="AO100" s="4"/>
      <c r="AP100" s="4"/>
      <c r="AQ100" s="4"/>
      <c r="AR100" s="4"/>
      <c r="AS100" s="4"/>
      <c r="AT100" s="4"/>
      <c r="AU100" s="4"/>
      <c r="AV100" s="4"/>
      <c r="AW100" s="4"/>
      <c r="AX100" s="4"/>
      <c r="AY100" s="4"/>
      <c r="AZ100" s="4"/>
      <c r="BA100" s="4"/>
      <c r="BB100" s="4"/>
      <c r="BC100" s="4"/>
      <c r="BD100" s="4"/>
      <c r="BE100" s="4"/>
      <c r="BF100" s="4"/>
      <c r="BG100" s="4"/>
      <c r="BH100" s="4"/>
      <c r="BI100" s="4"/>
    </row>
    <row r="101" spans="2:61">
      <c r="B101" s="4"/>
      <c r="C101" s="4"/>
      <c r="D101" s="4"/>
      <c r="E101" s="4"/>
      <c r="F101" s="4"/>
      <c r="G101" s="4"/>
      <c r="H101" s="4"/>
      <c r="I101" s="4"/>
      <c r="J101" s="4"/>
      <c r="K101" s="4"/>
      <c r="L101" s="4"/>
      <c r="M101" s="4"/>
      <c r="N101" s="4"/>
      <c r="O101" s="7"/>
      <c r="P101" s="4"/>
      <c r="Q101" s="4"/>
      <c r="R101" s="4"/>
      <c r="S101" s="4"/>
      <c r="T101" s="4"/>
      <c r="U101" s="4"/>
      <c r="V101" s="4"/>
      <c r="W101" s="4"/>
      <c r="X101" s="4"/>
      <c r="Y101" s="7"/>
      <c r="Z101" s="4"/>
      <c r="AA101" s="4"/>
      <c r="AB101" s="4"/>
      <c r="AC101" s="4"/>
      <c r="AD101" s="4"/>
      <c r="AE101" s="4"/>
      <c r="AF101" s="4"/>
      <c r="AG101" s="4"/>
      <c r="AH101" s="4"/>
      <c r="AI101" s="4"/>
      <c r="AJ101" s="4"/>
      <c r="AK101" s="4"/>
      <c r="AL101" s="342"/>
      <c r="AM101" s="4"/>
      <c r="AN101" s="4"/>
      <c r="AO101" s="4"/>
      <c r="AP101" s="4"/>
      <c r="AQ101" s="4"/>
      <c r="AR101" s="4"/>
      <c r="AS101" s="4"/>
      <c r="AT101" s="4"/>
      <c r="AU101" s="4"/>
      <c r="AV101" s="4"/>
      <c r="AW101" s="4"/>
      <c r="AX101" s="4"/>
      <c r="AY101" s="4"/>
      <c r="AZ101" s="4"/>
      <c r="BA101" s="4"/>
      <c r="BB101" s="4"/>
      <c r="BC101" s="4"/>
      <c r="BD101" s="4"/>
      <c r="BE101" s="4"/>
      <c r="BF101" s="4"/>
      <c r="BG101" s="4"/>
      <c r="BH101" s="4"/>
      <c r="BI101" s="4"/>
    </row>
    <row r="102" spans="2:61">
      <c r="B102" s="4"/>
      <c r="C102" s="4"/>
      <c r="D102" s="4"/>
      <c r="E102" s="4"/>
      <c r="F102" s="4"/>
      <c r="G102" s="4"/>
      <c r="H102" s="4"/>
      <c r="I102" s="4"/>
      <c r="J102" s="4"/>
      <c r="K102" s="4"/>
      <c r="L102" s="4"/>
      <c r="M102" s="4"/>
      <c r="N102" s="4"/>
      <c r="O102" s="7"/>
      <c r="P102" s="4"/>
      <c r="Q102" s="4"/>
      <c r="R102" s="4"/>
      <c r="S102" s="4"/>
      <c r="T102" s="4"/>
      <c r="U102" s="4"/>
      <c r="V102" s="4"/>
      <c r="W102" s="4"/>
      <c r="X102" s="4"/>
      <c r="Y102" s="7"/>
      <c r="Z102" s="4"/>
      <c r="AA102" s="4"/>
      <c r="AB102" s="4"/>
      <c r="AC102" s="4"/>
      <c r="AD102" s="4"/>
      <c r="AE102" s="4"/>
      <c r="AF102" s="4"/>
      <c r="AG102" s="4"/>
      <c r="AH102" s="4"/>
      <c r="AI102" s="4"/>
      <c r="AJ102" s="4"/>
      <c r="AK102" s="4"/>
      <c r="AL102" s="342"/>
      <c r="AM102" s="4"/>
      <c r="AN102" s="4"/>
      <c r="AO102" s="4"/>
      <c r="AP102" s="4"/>
      <c r="AQ102" s="4"/>
      <c r="AR102" s="4"/>
      <c r="AS102" s="4"/>
      <c r="AT102" s="4"/>
      <c r="AU102" s="4"/>
      <c r="AV102" s="4"/>
      <c r="AW102" s="4"/>
      <c r="AX102" s="4"/>
      <c r="AY102" s="4"/>
      <c r="AZ102" s="4"/>
      <c r="BA102" s="4"/>
      <c r="BB102" s="4"/>
      <c r="BC102" s="4"/>
      <c r="BD102" s="4"/>
      <c r="BE102" s="4"/>
      <c r="BF102" s="4"/>
      <c r="BG102" s="4"/>
      <c r="BH102" s="4"/>
      <c r="BI102" s="4"/>
    </row>
    <row r="103" spans="2:61">
      <c r="B103" s="4"/>
      <c r="C103" s="4"/>
      <c r="D103" s="4"/>
      <c r="E103" s="4"/>
      <c r="F103" s="4"/>
      <c r="G103" s="4"/>
      <c r="H103" s="4"/>
      <c r="I103" s="4"/>
      <c r="J103" s="4"/>
      <c r="K103" s="4"/>
      <c r="L103" s="4"/>
      <c r="M103" s="4"/>
      <c r="N103" s="4"/>
      <c r="O103" s="7"/>
      <c r="P103" s="4"/>
      <c r="Q103" s="4"/>
      <c r="R103" s="4"/>
      <c r="S103" s="4"/>
      <c r="T103" s="4"/>
      <c r="U103" s="4"/>
      <c r="V103" s="4"/>
      <c r="W103" s="4"/>
      <c r="X103" s="4"/>
      <c r="Y103" s="7"/>
      <c r="Z103" s="4"/>
      <c r="AA103" s="4"/>
      <c r="AB103" s="4"/>
      <c r="AC103" s="4"/>
      <c r="AD103" s="4"/>
      <c r="AE103" s="4"/>
      <c r="AF103" s="4"/>
      <c r="AG103" s="4"/>
      <c r="AH103" s="4"/>
      <c r="AI103" s="4"/>
      <c r="AJ103" s="4"/>
      <c r="AK103" s="4"/>
      <c r="AL103" s="342"/>
      <c r="AM103" s="4"/>
      <c r="AN103" s="4"/>
      <c r="AO103" s="4"/>
      <c r="AP103" s="4"/>
      <c r="AQ103" s="4"/>
      <c r="AR103" s="4"/>
      <c r="AS103" s="4"/>
      <c r="AT103" s="4"/>
      <c r="AU103" s="4"/>
      <c r="AV103" s="4"/>
      <c r="AW103" s="4"/>
      <c r="AX103" s="4"/>
      <c r="AY103" s="4"/>
      <c r="AZ103" s="4"/>
      <c r="BA103" s="4"/>
      <c r="BB103" s="4"/>
      <c r="BC103" s="4"/>
      <c r="BD103" s="4"/>
      <c r="BE103" s="4"/>
      <c r="BF103" s="4"/>
      <c r="BG103" s="4"/>
      <c r="BH103" s="4"/>
      <c r="BI103" s="4"/>
    </row>
    <row r="104" spans="2:61" ht="14.55" customHeight="1">
      <c r="B104" s="4"/>
      <c r="C104" s="4"/>
      <c r="D104" s="4"/>
      <c r="E104" s="4"/>
      <c r="F104" s="4"/>
      <c r="G104" s="4"/>
      <c r="H104" s="4"/>
      <c r="I104" s="4"/>
      <c r="J104" s="4"/>
      <c r="K104" s="4"/>
      <c r="L104" s="4"/>
      <c r="M104" s="4"/>
      <c r="N104" s="4"/>
      <c r="O104" s="7"/>
      <c r="P104" s="4"/>
      <c r="Q104" s="4"/>
      <c r="R104" s="4"/>
      <c r="S104" s="4"/>
      <c r="T104" s="4"/>
      <c r="U104" s="4"/>
      <c r="V104" s="4"/>
      <c r="W104" s="4"/>
      <c r="X104" s="4"/>
      <c r="Y104" s="7"/>
      <c r="Z104" s="4"/>
      <c r="AA104" s="4"/>
      <c r="AB104" s="4"/>
      <c r="AC104" s="4"/>
      <c r="AD104" s="4"/>
      <c r="AE104" s="4"/>
      <c r="AF104" s="4"/>
      <c r="AG104" s="4"/>
      <c r="AH104" s="4"/>
      <c r="AI104" s="4"/>
      <c r="AJ104" s="4"/>
      <c r="AK104" s="4"/>
      <c r="AL104" s="342"/>
      <c r="AM104" s="4"/>
      <c r="AN104" s="4"/>
      <c r="AO104" s="4"/>
      <c r="AP104" s="4"/>
      <c r="AQ104" s="4"/>
      <c r="AR104" s="4"/>
      <c r="AS104" s="4"/>
      <c r="AT104" s="4"/>
      <c r="AU104" s="4"/>
      <c r="AV104" s="4"/>
      <c r="AW104" s="4"/>
      <c r="AX104" s="4"/>
      <c r="AY104" s="4"/>
      <c r="AZ104" s="4"/>
      <c r="BA104" s="4"/>
      <c r="BB104" s="4"/>
      <c r="BC104" s="4"/>
      <c r="BD104" s="4"/>
      <c r="BE104" s="4"/>
      <c r="BF104" s="4"/>
      <c r="BG104" s="4"/>
      <c r="BH104" s="4"/>
      <c r="BI104" s="4"/>
    </row>
    <row r="105" spans="2:61" ht="14.55" customHeight="1">
      <c r="B105" s="4"/>
      <c r="C105" s="4"/>
      <c r="D105" s="4"/>
      <c r="E105" s="4"/>
      <c r="F105" s="4"/>
      <c r="G105" s="4"/>
      <c r="H105" s="4"/>
      <c r="I105" s="4"/>
      <c r="J105" s="4"/>
      <c r="K105" s="4"/>
      <c r="L105" s="4"/>
      <c r="M105" s="4"/>
      <c r="N105" s="4"/>
      <c r="O105" s="7"/>
      <c r="P105" s="4"/>
      <c r="Q105" s="4"/>
      <c r="R105" s="4"/>
      <c r="S105" s="4"/>
      <c r="T105" s="4"/>
      <c r="U105" s="4"/>
      <c r="V105" s="4"/>
      <c r="W105" s="4"/>
      <c r="X105" s="4"/>
      <c r="Y105" s="7"/>
      <c r="Z105" s="4"/>
      <c r="AA105" s="4"/>
      <c r="AB105" s="4"/>
      <c r="AC105" s="4"/>
      <c r="AD105" s="4"/>
      <c r="AE105" s="4"/>
      <c r="AF105" s="4"/>
      <c r="AG105" s="4"/>
      <c r="AH105" s="4"/>
      <c r="AI105" s="4"/>
      <c r="AJ105" s="4"/>
      <c r="AK105" s="4"/>
      <c r="AL105" s="342"/>
      <c r="AM105" s="4"/>
      <c r="AN105" s="4"/>
      <c r="AO105" s="4"/>
      <c r="AP105" s="4"/>
      <c r="AQ105" s="4"/>
      <c r="AR105" s="4"/>
      <c r="AS105" s="4"/>
      <c r="AT105" s="4"/>
      <c r="AU105" s="4"/>
      <c r="AV105" s="4"/>
      <c r="AW105" s="4"/>
      <c r="AX105" s="4"/>
      <c r="AY105" s="4"/>
      <c r="AZ105" s="4"/>
      <c r="BA105" s="4"/>
      <c r="BB105" s="4"/>
      <c r="BC105" s="4"/>
      <c r="BD105" s="4"/>
      <c r="BE105" s="4"/>
      <c r="BF105" s="4"/>
      <c r="BG105" s="4"/>
      <c r="BH105" s="4"/>
      <c r="BI105" s="4"/>
    </row>
    <row r="106" spans="2:61">
      <c r="B106" s="4"/>
      <c r="C106" s="4"/>
      <c r="D106" s="4"/>
      <c r="E106" s="4"/>
      <c r="F106" s="4"/>
      <c r="G106" s="4"/>
      <c r="H106" s="4"/>
      <c r="I106" s="4"/>
      <c r="J106" s="4"/>
      <c r="K106" s="4"/>
      <c r="L106" s="4"/>
      <c r="M106" s="4"/>
      <c r="N106" s="4"/>
      <c r="O106" s="7"/>
      <c r="P106" s="4"/>
      <c r="Q106" s="4"/>
      <c r="R106" s="4"/>
      <c r="S106" s="4"/>
      <c r="T106" s="4"/>
      <c r="U106" s="4"/>
      <c r="V106" s="4"/>
      <c r="W106" s="4"/>
      <c r="X106" s="119"/>
      <c r="Y106" s="4"/>
      <c r="Z106" s="4"/>
      <c r="AA106" s="4"/>
      <c r="AB106" s="4"/>
      <c r="AC106" s="4"/>
      <c r="AD106" s="4"/>
      <c r="AE106" s="4"/>
      <c r="AF106" s="4"/>
      <c r="AG106" s="4"/>
      <c r="AH106" s="4"/>
      <c r="AI106" s="4"/>
      <c r="AJ106" s="4"/>
      <c r="AK106" s="4"/>
      <c r="AL106" s="342"/>
      <c r="AM106" s="4"/>
      <c r="AN106" s="4"/>
      <c r="AO106" s="4"/>
      <c r="AP106" s="4"/>
      <c r="AQ106" s="4"/>
      <c r="AR106" s="4"/>
      <c r="AS106" s="4"/>
      <c r="AT106" s="4"/>
      <c r="AU106" s="4"/>
      <c r="AV106" s="4"/>
      <c r="AW106" s="4"/>
      <c r="AX106" s="4"/>
      <c r="AY106" s="4"/>
      <c r="AZ106" s="4"/>
      <c r="BA106" s="4"/>
      <c r="BB106" s="4"/>
      <c r="BC106" s="4"/>
      <c r="BD106" s="4"/>
      <c r="BE106" s="4"/>
      <c r="BF106" s="4"/>
      <c r="BG106" s="4"/>
      <c r="BH106" s="4"/>
      <c r="BI106" s="4"/>
    </row>
    <row r="107" spans="2:61">
      <c r="B107" s="4"/>
      <c r="C107" s="4"/>
      <c r="D107" s="4"/>
      <c r="E107" s="4"/>
      <c r="F107" s="4"/>
      <c r="G107" s="4"/>
      <c r="H107" s="4"/>
      <c r="I107" s="4"/>
      <c r="J107" s="4"/>
      <c r="K107" s="4"/>
      <c r="L107" s="4"/>
      <c r="M107" s="4"/>
      <c r="N107" s="119"/>
      <c r="O107" s="16"/>
      <c r="P107" s="4"/>
      <c r="Q107" s="4"/>
      <c r="R107" s="4"/>
      <c r="S107" s="4"/>
      <c r="T107" s="4"/>
      <c r="U107" s="4"/>
      <c r="V107" s="4"/>
      <c r="W107" s="4"/>
      <c r="X107" s="119"/>
      <c r="Y107" s="4"/>
      <c r="Z107" s="4"/>
      <c r="AA107" s="4"/>
      <c r="AB107" s="4"/>
      <c r="AC107" s="4"/>
      <c r="AD107" s="4"/>
      <c r="AE107" s="4"/>
      <c r="AF107" s="4"/>
      <c r="AG107" s="4"/>
      <c r="AH107" s="4"/>
      <c r="AI107" s="4"/>
      <c r="AJ107" s="4"/>
      <c r="AK107" s="4"/>
      <c r="AL107" s="342"/>
      <c r="AM107" s="4"/>
      <c r="AN107" s="4"/>
      <c r="AO107" s="4"/>
      <c r="AP107" s="4"/>
      <c r="AQ107" s="4"/>
      <c r="AR107" s="4"/>
      <c r="AS107" s="4"/>
      <c r="AT107" s="4"/>
      <c r="AU107" s="4"/>
      <c r="AV107" s="4"/>
      <c r="AW107" s="4"/>
      <c r="AX107" s="4"/>
      <c r="AY107" s="4"/>
      <c r="AZ107" s="4"/>
      <c r="BA107" s="4"/>
      <c r="BB107" s="4"/>
      <c r="BC107" s="4"/>
      <c r="BD107" s="4"/>
      <c r="BE107" s="4"/>
      <c r="BF107" s="4"/>
      <c r="BG107" s="4"/>
      <c r="BH107" s="4"/>
      <c r="BI107" s="4"/>
    </row>
    <row r="108" spans="2:61">
      <c r="B108" s="4"/>
      <c r="C108" s="4"/>
      <c r="D108" s="4"/>
      <c r="E108" s="4"/>
      <c r="F108" s="4"/>
      <c r="G108" s="4"/>
      <c r="H108" s="4"/>
      <c r="I108" s="4"/>
      <c r="J108" s="4"/>
      <c r="K108" s="4"/>
      <c r="L108" s="4"/>
      <c r="M108" s="4"/>
      <c r="N108" s="119"/>
      <c r="O108" s="16"/>
      <c r="P108" s="4"/>
      <c r="Q108" s="4"/>
      <c r="R108" s="4"/>
      <c r="S108" s="4"/>
      <c r="T108" s="4"/>
      <c r="U108" s="4"/>
      <c r="V108" s="4"/>
      <c r="W108" s="4"/>
      <c r="X108" s="119"/>
      <c r="Y108" s="4"/>
      <c r="Z108" s="4"/>
      <c r="AA108" s="4"/>
      <c r="AB108" s="4"/>
      <c r="AC108" s="4"/>
      <c r="AD108" s="4"/>
      <c r="AE108" s="4"/>
      <c r="AF108" s="4"/>
      <c r="AG108" s="4"/>
      <c r="AH108" s="4"/>
      <c r="AI108" s="4"/>
      <c r="AJ108" s="4"/>
      <c r="AK108" s="4"/>
      <c r="AL108" s="342"/>
      <c r="AM108" s="4"/>
      <c r="AN108" s="4"/>
      <c r="AO108" s="4"/>
      <c r="AP108" s="4"/>
      <c r="AQ108" s="4"/>
      <c r="AR108" s="4"/>
      <c r="AS108" s="4"/>
      <c r="AT108" s="4"/>
      <c r="AU108" s="4"/>
      <c r="AV108" s="4"/>
      <c r="AW108" s="4"/>
      <c r="AX108" s="4"/>
      <c r="AY108" s="4"/>
      <c r="AZ108" s="4"/>
      <c r="BA108" s="4"/>
      <c r="BB108" s="4"/>
      <c r="BC108" s="4"/>
      <c r="BD108" s="4"/>
      <c r="BE108" s="4"/>
      <c r="BF108" s="4"/>
      <c r="BG108" s="4"/>
      <c r="BH108" s="4"/>
      <c r="BI108" s="4"/>
    </row>
    <row r="109" spans="2:61">
      <c r="B109" s="4"/>
      <c r="C109" s="4"/>
      <c r="D109" s="4"/>
      <c r="E109" s="4"/>
      <c r="F109" s="4"/>
      <c r="G109" s="4"/>
      <c r="H109" s="4"/>
      <c r="I109" s="4"/>
      <c r="J109" s="4"/>
      <c r="K109" s="4"/>
      <c r="L109" s="4"/>
      <c r="M109" s="4"/>
      <c r="N109" s="119"/>
      <c r="O109" s="16"/>
      <c r="P109" s="4"/>
      <c r="Q109" s="4"/>
      <c r="R109" s="4"/>
      <c r="S109" s="4"/>
      <c r="T109" s="4"/>
      <c r="U109" s="4"/>
      <c r="V109" s="4"/>
      <c r="W109" s="4"/>
      <c r="X109" s="119"/>
      <c r="Y109" s="4"/>
      <c r="Z109" s="4"/>
      <c r="AA109" s="4"/>
      <c r="AB109" s="4"/>
      <c r="AC109" s="4"/>
      <c r="AD109" s="4"/>
      <c r="AE109" s="4"/>
      <c r="AF109" s="4"/>
      <c r="AG109" s="4"/>
      <c r="AH109" s="4"/>
      <c r="AI109" s="4"/>
      <c r="AJ109" s="4"/>
      <c r="AK109" s="4"/>
      <c r="AL109" s="342"/>
      <c r="AM109" s="4"/>
      <c r="AN109" s="4"/>
      <c r="AO109" s="4"/>
      <c r="AP109" s="4"/>
      <c r="AQ109" s="4"/>
      <c r="AR109" s="4"/>
      <c r="AS109" s="4"/>
      <c r="AT109" s="4"/>
      <c r="AU109" s="4"/>
      <c r="AV109" s="4"/>
      <c r="AW109" s="4"/>
      <c r="AX109" s="4"/>
      <c r="AY109" s="4"/>
      <c r="AZ109" s="4"/>
      <c r="BA109" s="4"/>
      <c r="BB109" s="4"/>
      <c r="BC109" s="4"/>
      <c r="BD109" s="4"/>
      <c r="BE109" s="4"/>
      <c r="BF109" s="4"/>
      <c r="BG109" s="4"/>
      <c r="BH109" s="4"/>
      <c r="BI109" s="4"/>
    </row>
    <row r="110" spans="2:61">
      <c r="B110" s="4"/>
      <c r="C110" s="4"/>
      <c r="D110" s="4"/>
      <c r="E110" s="4"/>
      <c r="F110" s="4"/>
      <c r="G110" s="4"/>
      <c r="H110" s="4"/>
      <c r="I110" s="4"/>
      <c r="J110" s="4"/>
      <c r="K110" s="4"/>
      <c r="L110" s="4"/>
      <c r="M110" s="4"/>
      <c r="N110" s="119"/>
      <c r="O110" s="16"/>
      <c r="P110" s="4"/>
      <c r="Q110" s="4"/>
      <c r="R110" s="4"/>
      <c r="S110" s="4"/>
      <c r="T110" s="4"/>
      <c r="U110" s="4"/>
      <c r="V110" s="4"/>
      <c r="W110" s="4"/>
      <c r="X110" s="119"/>
      <c r="Y110" s="4"/>
      <c r="Z110" s="4"/>
      <c r="AA110" s="4"/>
      <c r="AB110" s="4"/>
      <c r="AC110" s="4"/>
      <c r="AD110" s="4"/>
      <c r="AE110" s="4"/>
      <c r="AF110" s="4"/>
      <c r="AG110" s="4"/>
      <c r="AH110" s="4"/>
      <c r="AI110" s="4"/>
      <c r="AJ110" s="4"/>
      <c r="AK110" s="4"/>
      <c r="AL110" s="342"/>
      <c r="AM110" s="4"/>
      <c r="AN110" s="4"/>
      <c r="AO110" s="4"/>
      <c r="AP110" s="4"/>
      <c r="AQ110" s="4"/>
      <c r="AR110" s="4"/>
      <c r="AS110" s="4"/>
      <c r="AT110" s="4"/>
      <c r="AU110" s="4"/>
      <c r="AV110" s="4"/>
      <c r="AW110" s="4"/>
      <c r="AX110" s="4"/>
      <c r="AY110" s="4"/>
      <c r="AZ110" s="4"/>
      <c r="BA110" s="4"/>
      <c r="BB110" s="4"/>
      <c r="BC110" s="4"/>
      <c r="BD110" s="4"/>
      <c r="BE110" s="4"/>
      <c r="BF110" s="4"/>
      <c r="BG110" s="4"/>
      <c r="BH110" s="4"/>
      <c r="BI110" s="4"/>
    </row>
    <row r="111" spans="2:61">
      <c r="B111" s="4"/>
      <c r="C111" s="4"/>
      <c r="D111" s="4"/>
      <c r="E111" s="4"/>
      <c r="F111" s="4"/>
      <c r="G111" s="4"/>
      <c r="H111" s="4"/>
      <c r="I111" s="4"/>
      <c r="J111" s="4"/>
      <c r="K111" s="4"/>
      <c r="L111" s="4"/>
      <c r="M111" s="4"/>
      <c r="N111" s="119"/>
      <c r="O111" s="16"/>
      <c r="P111" s="4"/>
      <c r="Q111" s="4"/>
      <c r="R111" s="4"/>
      <c r="S111" s="4"/>
      <c r="T111" s="4"/>
      <c r="U111" s="4"/>
      <c r="V111" s="4"/>
      <c r="W111" s="4"/>
      <c r="X111" s="119"/>
      <c r="Y111" s="4"/>
      <c r="Z111" s="4"/>
      <c r="AA111" s="4"/>
      <c r="AB111" s="4"/>
      <c r="AC111" s="4"/>
      <c r="AD111" s="4"/>
      <c r="AE111" s="4"/>
      <c r="AF111" s="4"/>
      <c r="AG111" s="4"/>
      <c r="AH111" s="4"/>
      <c r="AI111" s="4"/>
      <c r="AJ111" s="4"/>
      <c r="AK111" s="4"/>
      <c r="AL111" s="342"/>
      <c r="AM111" s="4"/>
      <c r="AN111" s="4"/>
      <c r="AO111" s="4"/>
      <c r="AP111" s="4"/>
      <c r="AQ111" s="4"/>
      <c r="AR111" s="4"/>
      <c r="AS111" s="4"/>
      <c r="AT111" s="4"/>
      <c r="AU111" s="4"/>
      <c r="AV111" s="4"/>
      <c r="AW111" s="4"/>
      <c r="AX111" s="4"/>
      <c r="AY111" s="4"/>
      <c r="AZ111" s="4"/>
      <c r="BA111" s="4"/>
      <c r="BB111" s="4"/>
      <c r="BC111" s="4"/>
      <c r="BD111" s="4"/>
      <c r="BE111" s="4"/>
      <c r="BF111" s="4"/>
      <c r="BG111" s="4"/>
      <c r="BH111" s="4"/>
      <c r="BI111" s="4"/>
    </row>
    <row r="112" spans="2:61">
      <c r="B112" s="4"/>
      <c r="C112" s="4"/>
      <c r="D112" s="4"/>
      <c r="E112" s="4"/>
      <c r="F112" s="4"/>
      <c r="G112" s="4"/>
      <c r="H112" s="4"/>
      <c r="I112" s="4"/>
      <c r="J112" s="4"/>
      <c r="K112" s="4"/>
      <c r="L112" s="4"/>
      <c r="M112" s="4"/>
      <c r="N112" s="119"/>
      <c r="O112" s="16"/>
      <c r="P112" s="4"/>
      <c r="Q112" s="4"/>
      <c r="R112" s="4"/>
      <c r="S112" s="4"/>
      <c r="T112" s="4"/>
      <c r="U112" s="4"/>
      <c r="V112" s="4"/>
      <c r="W112" s="4"/>
      <c r="X112" s="119"/>
      <c r="Y112" s="4"/>
      <c r="Z112" s="4"/>
      <c r="AA112" s="4"/>
      <c r="AB112" s="4"/>
      <c r="AC112" s="4"/>
      <c r="AD112" s="4"/>
      <c r="AE112" s="4"/>
      <c r="AF112" s="4"/>
      <c r="AG112" s="4"/>
      <c r="AH112" s="4"/>
      <c r="AI112" s="4"/>
      <c r="AJ112" s="4"/>
      <c r="AK112" s="4"/>
      <c r="AL112" s="342"/>
      <c r="AM112" s="4"/>
      <c r="AN112" s="4"/>
      <c r="AO112" s="4"/>
      <c r="AP112" s="4"/>
      <c r="AQ112" s="4"/>
      <c r="AR112" s="4"/>
      <c r="AS112" s="4"/>
      <c r="AT112" s="4"/>
      <c r="AU112" s="4"/>
      <c r="AV112" s="4"/>
      <c r="AW112" s="4"/>
      <c r="AX112" s="4"/>
      <c r="AY112" s="4"/>
      <c r="AZ112" s="4"/>
      <c r="BA112" s="4"/>
      <c r="BB112" s="4"/>
      <c r="BC112" s="4"/>
      <c r="BD112" s="4"/>
      <c r="BE112" s="4"/>
      <c r="BF112" s="4"/>
      <c r="BG112" s="4"/>
      <c r="BH112" s="4"/>
      <c r="BI112" s="4"/>
    </row>
    <row r="113" spans="2:61">
      <c r="B113" s="4"/>
      <c r="C113" s="4"/>
      <c r="D113" s="4"/>
      <c r="E113" s="4"/>
      <c r="F113" s="4"/>
      <c r="G113" s="4"/>
      <c r="H113" s="4"/>
      <c r="I113" s="4"/>
      <c r="J113" s="4"/>
      <c r="K113" s="4"/>
      <c r="L113" s="4"/>
      <c r="M113" s="4"/>
      <c r="N113" s="16"/>
      <c r="O113" s="342"/>
      <c r="P113" s="4"/>
      <c r="Q113" s="4"/>
      <c r="R113" s="4"/>
      <c r="S113" s="4"/>
      <c r="T113" s="4"/>
      <c r="U113" s="4"/>
      <c r="V113" s="4"/>
      <c r="W113" s="4"/>
      <c r="X113" s="119"/>
      <c r="Y113" s="4"/>
      <c r="Z113" s="4"/>
      <c r="AA113" s="4"/>
      <c r="AB113" s="4"/>
      <c r="AC113" s="4"/>
      <c r="AD113" s="4"/>
      <c r="AE113" s="4"/>
      <c r="AF113" s="4"/>
      <c r="AG113" s="4"/>
      <c r="AH113" s="4"/>
      <c r="AI113" s="4"/>
      <c r="AJ113" s="4"/>
      <c r="AK113" s="4"/>
      <c r="AL113" s="342"/>
      <c r="AM113" s="4"/>
      <c r="AN113" s="4"/>
      <c r="AO113" s="4"/>
      <c r="AP113" s="4"/>
      <c r="AQ113" s="4"/>
      <c r="AR113" s="4"/>
      <c r="AS113" s="4"/>
      <c r="AT113" s="4"/>
      <c r="AU113" s="4"/>
      <c r="AV113" s="4"/>
      <c r="AW113" s="4"/>
      <c r="AX113" s="4"/>
      <c r="AY113" s="4"/>
      <c r="AZ113" s="4"/>
      <c r="BA113" s="4"/>
      <c r="BB113" s="4"/>
      <c r="BC113" s="4"/>
      <c r="BD113" s="4"/>
      <c r="BE113" s="4"/>
      <c r="BF113" s="4"/>
      <c r="BG113" s="4"/>
      <c r="BH113" s="4"/>
      <c r="BI113" s="4"/>
    </row>
    <row r="114" spans="2:61">
      <c r="B114" s="4"/>
      <c r="C114" s="4"/>
      <c r="D114" s="4"/>
      <c r="E114" s="4"/>
      <c r="F114" s="4"/>
      <c r="G114" s="4"/>
      <c r="H114" s="4"/>
      <c r="I114" s="4"/>
      <c r="J114" s="4"/>
      <c r="K114" s="4"/>
      <c r="L114" s="4"/>
      <c r="M114" s="4"/>
      <c r="N114" s="4"/>
      <c r="O114" s="342"/>
      <c r="P114" s="4"/>
      <c r="Q114" s="4"/>
      <c r="R114" s="4"/>
      <c r="S114" s="4"/>
      <c r="T114" s="4"/>
      <c r="U114" s="4"/>
      <c r="V114" s="4"/>
      <c r="W114" s="4"/>
      <c r="X114" s="119"/>
      <c r="Y114" s="4"/>
      <c r="Z114" s="4"/>
      <c r="AA114" s="4"/>
      <c r="AB114" s="4"/>
      <c r="AC114" s="4"/>
      <c r="AD114" s="4"/>
      <c r="AE114" s="4"/>
      <c r="AF114" s="4"/>
      <c r="AG114" s="4"/>
      <c r="AH114" s="4"/>
      <c r="AI114" s="4"/>
      <c r="AJ114" s="4"/>
      <c r="AK114" s="4"/>
      <c r="AL114" s="342"/>
      <c r="AM114" s="4"/>
      <c r="AN114" s="4"/>
      <c r="AO114" s="4"/>
      <c r="AP114" s="4"/>
      <c r="AQ114" s="4"/>
      <c r="AR114" s="4"/>
      <c r="AS114" s="4"/>
      <c r="AT114" s="4"/>
      <c r="AU114" s="4"/>
      <c r="AV114" s="4"/>
      <c r="AW114" s="4"/>
      <c r="AX114" s="4"/>
      <c r="AY114" s="4"/>
      <c r="AZ114" s="4"/>
      <c r="BA114" s="4"/>
      <c r="BB114" s="4"/>
      <c r="BC114" s="4"/>
      <c r="BD114" s="4"/>
      <c r="BE114" s="4"/>
      <c r="BF114" s="4"/>
      <c r="BG114" s="4"/>
      <c r="BH114" s="4"/>
      <c r="BI114" s="4"/>
    </row>
    <row r="115" spans="2:61">
      <c r="B115" s="4"/>
      <c r="C115" s="4"/>
      <c r="D115" s="4"/>
      <c r="E115" s="4"/>
      <c r="F115" s="4"/>
      <c r="G115" s="4"/>
      <c r="H115" s="4"/>
      <c r="I115" s="4"/>
      <c r="J115" s="4"/>
      <c r="K115" s="4"/>
      <c r="L115" s="4"/>
      <c r="M115" s="4"/>
      <c r="N115" s="4"/>
      <c r="O115" s="342"/>
      <c r="P115" s="4"/>
      <c r="Q115" s="4"/>
      <c r="R115" s="4"/>
      <c r="S115" s="4"/>
      <c r="T115" s="4"/>
      <c r="U115" s="4"/>
      <c r="V115" s="4"/>
      <c r="W115" s="4"/>
      <c r="X115" s="119"/>
      <c r="Y115" s="4"/>
      <c r="Z115" s="4"/>
      <c r="AA115" s="4"/>
      <c r="AB115" s="4"/>
      <c r="AC115" s="4"/>
      <c r="AD115" s="4"/>
      <c r="AE115" s="4"/>
      <c r="AF115" s="4"/>
      <c r="AG115" s="4"/>
      <c r="AH115" s="4"/>
      <c r="AI115" s="4"/>
      <c r="AJ115" s="4"/>
      <c r="AK115" s="4"/>
      <c r="AL115" s="342"/>
      <c r="AM115" s="4"/>
      <c r="AN115" s="4"/>
      <c r="AO115" s="4"/>
      <c r="AP115" s="4"/>
      <c r="AQ115" s="4"/>
      <c r="AR115" s="4"/>
      <c r="AS115" s="4"/>
      <c r="AT115" s="4"/>
      <c r="AU115" s="4"/>
      <c r="AV115" s="4"/>
      <c r="AW115" s="4"/>
      <c r="AX115" s="4"/>
      <c r="AY115" s="4"/>
      <c r="AZ115" s="4"/>
      <c r="BA115" s="4"/>
      <c r="BB115" s="4"/>
      <c r="BC115" s="4"/>
      <c r="BD115" s="4"/>
      <c r="BE115" s="4"/>
      <c r="BF115" s="4"/>
      <c r="BG115" s="4"/>
      <c r="BH115" s="4"/>
      <c r="BI115" s="4"/>
    </row>
    <row r="116" spans="2:61">
      <c r="B116" s="4"/>
      <c r="C116" s="4"/>
      <c r="D116" s="4"/>
      <c r="E116" s="4"/>
      <c r="F116" s="4"/>
      <c r="G116" s="4"/>
      <c r="H116" s="4"/>
      <c r="I116" s="4"/>
      <c r="J116" s="4"/>
      <c r="K116" s="4"/>
      <c r="L116" s="4"/>
      <c r="M116" s="4"/>
      <c r="N116" s="4"/>
      <c r="O116" s="342"/>
      <c r="P116" s="4"/>
      <c r="Q116" s="4"/>
      <c r="R116" s="4"/>
      <c r="S116" s="4"/>
      <c r="T116" s="4"/>
      <c r="U116" s="4"/>
      <c r="V116" s="4"/>
      <c r="W116" s="4"/>
      <c r="X116" s="119"/>
      <c r="Y116" s="4"/>
      <c r="Z116" s="4"/>
      <c r="AA116" s="4"/>
      <c r="AB116" s="4"/>
      <c r="AC116" s="4"/>
      <c r="AD116" s="4"/>
      <c r="AE116" s="4"/>
      <c r="AF116" s="4"/>
      <c r="AG116" s="4"/>
      <c r="AH116" s="4"/>
      <c r="AI116" s="4"/>
      <c r="AJ116" s="4"/>
      <c r="AK116" s="4"/>
      <c r="AL116" s="342"/>
      <c r="AM116" s="4"/>
      <c r="AN116" s="4"/>
      <c r="AO116" s="4"/>
      <c r="AP116" s="4"/>
      <c r="AQ116" s="4"/>
      <c r="AR116" s="4"/>
      <c r="AS116" s="4"/>
      <c r="AT116" s="4"/>
      <c r="AU116" s="4"/>
      <c r="AV116" s="4"/>
      <c r="AW116" s="4"/>
      <c r="AX116" s="4"/>
      <c r="AY116" s="4"/>
      <c r="AZ116" s="4"/>
      <c r="BA116" s="4"/>
      <c r="BB116" s="4"/>
      <c r="BC116" s="4"/>
      <c r="BD116" s="4"/>
      <c r="BE116" s="4"/>
      <c r="BF116" s="4"/>
      <c r="BG116" s="4"/>
      <c r="BH116" s="4"/>
      <c r="BI116" s="4"/>
    </row>
    <row r="117" spans="2:61">
      <c r="B117" s="4"/>
      <c r="C117" s="4"/>
      <c r="D117" s="4"/>
      <c r="E117" s="4"/>
      <c r="F117" s="4"/>
      <c r="G117" s="4"/>
      <c r="H117" s="4"/>
      <c r="I117" s="4"/>
      <c r="J117" s="4"/>
      <c r="K117" s="4"/>
      <c r="L117" s="4"/>
      <c r="M117" s="4"/>
      <c r="N117" s="4"/>
      <c r="O117" s="342"/>
      <c r="P117" s="4"/>
      <c r="Q117" s="4"/>
      <c r="R117" s="4"/>
      <c r="S117" s="4"/>
      <c r="T117" s="4"/>
      <c r="U117" s="4"/>
      <c r="V117" s="4"/>
      <c r="W117" s="4"/>
      <c r="X117" s="119"/>
      <c r="Y117" s="4"/>
      <c r="Z117" s="4"/>
      <c r="AA117" s="4"/>
      <c r="AB117" s="4"/>
      <c r="AC117" s="4"/>
      <c r="AD117" s="4"/>
      <c r="AE117" s="4"/>
      <c r="AF117" s="4"/>
      <c r="AG117" s="4"/>
      <c r="AH117" s="4"/>
      <c r="AI117" s="4"/>
      <c r="AJ117" s="4"/>
      <c r="AK117" s="4"/>
      <c r="AL117" s="342"/>
      <c r="AM117" s="4"/>
      <c r="AN117" s="4"/>
      <c r="AO117" s="4"/>
      <c r="AP117" s="4"/>
      <c r="AQ117" s="4"/>
      <c r="AR117" s="4"/>
      <c r="AS117" s="4"/>
      <c r="AT117" s="4"/>
      <c r="AU117" s="4"/>
      <c r="AV117" s="4"/>
      <c r="AW117" s="4"/>
      <c r="AX117" s="4"/>
      <c r="AY117" s="4"/>
      <c r="AZ117" s="4"/>
      <c r="BA117" s="4"/>
      <c r="BB117" s="4"/>
      <c r="BC117" s="4"/>
      <c r="BD117" s="4"/>
      <c r="BE117" s="4"/>
      <c r="BF117" s="4"/>
      <c r="BG117" s="4"/>
      <c r="BH117" s="4"/>
      <c r="BI117" s="4"/>
    </row>
    <row r="118" spans="2:61">
      <c r="B118" s="4"/>
      <c r="C118" s="4"/>
      <c r="D118" s="4"/>
      <c r="E118" s="4"/>
      <c r="F118" s="4"/>
      <c r="G118" s="4"/>
      <c r="H118" s="4"/>
      <c r="I118" s="4"/>
      <c r="J118" s="4"/>
      <c r="K118" s="4"/>
      <c r="L118" s="4"/>
      <c r="M118" s="4"/>
      <c r="N118" s="4"/>
      <c r="O118" s="342"/>
      <c r="P118" s="4"/>
      <c r="Q118" s="4"/>
      <c r="R118" s="4"/>
      <c r="S118" s="4"/>
      <c r="T118" s="4"/>
      <c r="U118" s="4"/>
      <c r="V118" s="4"/>
      <c r="W118" s="4"/>
      <c r="X118" s="119"/>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row>
    <row r="119" spans="2:61">
      <c r="B119" s="4"/>
      <c r="C119" s="4"/>
      <c r="D119" s="4"/>
      <c r="E119" s="4"/>
      <c r="F119" s="4"/>
      <c r="G119" s="4"/>
      <c r="H119" s="4"/>
      <c r="I119" s="4"/>
      <c r="J119" s="4"/>
      <c r="K119" s="4"/>
      <c r="L119" s="4"/>
      <c r="M119" s="4"/>
      <c r="N119" s="4"/>
      <c r="O119" s="342"/>
      <c r="P119" s="4"/>
      <c r="Q119" s="4"/>
      <c r="R119" s="4"/>
      <c r="S119" s="4"/>
      <c r="T119" s="4"/>
      <c r="U119" s="4"/>
      <c r="V119" s="4"/>
      <c r="W119" s="4"/>
      <c r="X119" s="119"/>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row>
    <row r="120" spans="2:61">
      <c r="B120" s="4"/>
      <c r="C120" s="4"/>
      <c r="D120" s="4"/>
      <c r="E120" s="4"/>
      <c r="F120" s="4"/>
      <c r="G120" s="4"/>
      <c r="H120" s="4"/>
      <c r="I120" s="4"/>
      <c r="J120" s="4"/>
      <c r="K120" s="4"/>
      <c r="L120" s="4"/>
      <c r="M120" s="4"/>
      <c r="N120" s="4"/>
      <c r="O120" s="342"/>
      <c r="P120" s="4"/>
      <c r="Q120" s="4"/>
      <c r="R120" s="4"/>
      <c r="S120" s="4"/>
      <c r="T120" s="4"/>
      <c r="U120" s="4"/>
      <c r="V120" s="4"/>
      <c r="W120" s="4"/>
      <c r="X120" s="119"/>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row>
    <row r="121" spans="2:61">
      <c r="B121" s="4"/>
      <c r="C121" s="4"/>
      <c r="D121" s="4"/>
      <c r="E121" s="4"/>
      <c r="F121" s="4"/>
      <c r="G121" s="4"/>
      <c r="H121" s="4"/>
      <c r="I121" s="4"/>
      <c r="J121" s="4"/>
      <c r="K121" s="4"/>
      <c r="L121" s="4"/>
      <c r="M121" s="4"/>
      <c r="N121" s="4"/>
      <c r="O121" s="342"/>
      <c r="P121" s="4"/>
      <c r="Q121" s="4"/>
      <c r="R121" s="4"/>
      <c r="S121" s="4"/>
      <c r="T121" s="4"/>
      <c r="U121" s="4"/>
      <c r="V121" s="4"/>
      <c r="W121" s="4"/>
      <c r="X121" s="119"/>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row>
    <row r="122" spans="2:61">
      <c r="B122" s="4"/>
      <c r="C122" s="4"/>
      <c r="D122" s="4"/>
      <c r="E122" s="4"/>
      <c r="F122" s="4"/>
      <c r="G122" s="4"/>
      <c r="H122" s="4"/>
      <c r="I122" s="4"/>
      <c r="J122" s="4"/>
      <c r="K122" s="4"/>
      <c r="L122" s="4"/>
      <c r="M122" s="4"/>
      <c r="N122" s="4"/>
      <c r="O122" s="342"/>
      <c r="P122" s="4"/>
      <c r="Q122" s="4"/>
      <c r="R122" s="4"/>
      <c r="S122" s="4"/>
      <c r="T122" s="4"/>
      <c r="U122" s="4"/>
      <c r="V122" s="4"/>
      <c r="W122" s="4"/>
      <c r="X122" s="119"/>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row>
    <row r="123" spans="2:61">
      <c r="B123" s="4"/>
      <c r="C123" s="4"/>
      <c r="D123" s="4"/>
      <c r="E123" s="4"/>
      <c r="F123" s="4"/>
      <c r="G123" s="4"/>
      <c r="H123" s="4"/>
      <c r="I123" s="4"/>
      <c r="J123" s="4"/>
      <c r="K123" s="4"/>
      <c r="L123" s="4"/>
      <c r="M123" s="4"/>
      <c r="N123" s="4"/>
      <c r="O123" s="342"/>
      <c r="P123" s="4"/>
      <c r="Q123" s="4"/>
      <c r="R123" s="4"/>
      <c r="S123" s="4"/>
      <c r="T123" s="4"/>
      <c r="U123" s="4"/>
      <c r="V123" s="4"/>
      <c r="W123" s="4"/>
      <c r="X123" s="119"/>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row>
    <row r="124" spans="2:61">
      <c r="B124" s="4"/>
      <c r="C124" s="4"/>
      <c r="D124" s="4"/>
      <c r="E124" s="4"/>
      <c r="F124" s="4"/>
      <c r="G124" s="4"/>
      <c r="H124" s="4"/>
      <c r="I124" s="4"/>
      <c r="J124" s="4"/>
      <c r="K124" s="4"/>
      <c r="L124" s="4"/>
      <c r="M124" s="4"/>
      <c r="N124" s="4"/>
      <c r="O124" s="342"/>
      <c r="P124" s="4"/>
      <c r="Q124" s="4"/>
      <c r="R124" s="4"/>
      <c r="S124" s="4"/>
      <c r="T124" s="4"/>
      <c r="U124" s="4"/>
      <c r="V124" s="4"/>
      <c r="W124" s="4"/>
      <c r="X124" s="119"/>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row>
    <row r="125" spans="2:61">
      <c r="B125" s="4"/>
      <c r="C125" s="4"/>
      <c r="D125" s="4"/>
      <c r="E125" s="4"/>
      <c r="F125" s="4"/>
      <c r="G125" s="4"/>
      <c r="H125" s="4"/>
      <c r="I125" s="4"/>
      <c r="J125" s="4"/>
      <c r="K125" s="4"/>
      <c r="L125" s="4"/>
      <c r="M125" s="4"/>
      <c r="N125" s="4"/>
      <c r="O125" s="342"/>
      <c r="P125" s="4"/>
      <c r="Q125" s="4"/>
      <c r="R125" s="4"/>
      <c r="S125" s="4"/>
      <c r="T125" s="4"/>
      <c r="U125" s="4"/>
      <c r="V125" s="4"/>
      <c r="W125" s="4"/>
      <c r="X125" s="119"/>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row>
    <row r="126" spans="2:61">
      <c r="B126" s="4"/>
      <c r="C126" s="4"/>
      <c r="D126" s="4"/>
      <c r="E126" s="4"/>
      <c r="F126" s="4"/>
      <c r="G126" s="4"/>
      <c r="H126" s="4"/>
      <c r="I126" s="4"/>
      <c r="J126" s="4"/>
      <c r="K126" s="4"/>
      <c r="L126" s="4"/>
      <c r="M126" s="4"/>
      <c r="N126" s="4"/>
      <c r="O126" s="342"/>
      <c r="P126" s="4"/>
      <c r="Q126" s="4"/>
      <c r="R126" s="4"/>
      <c r="S126" s="4"/>
      <c r="T126" s="4"/>
      <c r="U126" s="4"/>
      <c r="V126" s="4"/>
      <c r="W126" s="4"/>
      <c r="X126" s="119"/>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row>
    <row r="127" spans="2:61">
      <c r="B127" s="4"/>
      <c r="C127" s="4"/>
      <c r="D127" s="4"/>
      <c r="E127" s="4"/>
      <c r="F127" s="4"/>
      <c r="G127" s="4"/>
      <c r="H127" s="4"/>
      <c r="I127" s="4"/>
      <c r="J127" s="4"/>
      <c r="K127" s="4"/>
      <c r="L127" s="4"/>
      <c r="M127" s="4"/>
      <c r="N127" s="4"/>
      <c r="O127" s="342"/>
      <c r="P127" s="4"/>
      <c r="Q127" s="4"/>
      <c r="R127" s="4"/>
      <c r="S127" s="4"/>
      <c r="T127" s="4"/>
      <c r="U127" s="4"/>
      <c r="V127" s="4"/>
      <c r="W127" s="4"/>
      <c r="X127" s="119"/>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row>
    <row r="128" spans="2:61">
      <c r="B128" s="4"/>
      <c r="C128" s="4"/>
      <c r="D128" s="4"/>
      <c r="E128" s="4"/>
      <c r="F128" s="4"/>
      <c r="G128" s="4"/>
      <c r="H128" s="4"/>
      <c r="I128" s="4"/>
      <c r="J128" s="4"/>
      <c r="K128" s="4"/>
      <c r="L128" s="4"/>
      <c r="M128" s="4"/>
      <c r="N128" s="4"/>
      <c r="O128" s="342"/>
      <c r="P128" s="4"/>
      <c r="Q128" s="4"/>
      <c r="R128" s="4"/>
      <c r="S128" s="4"/>
      <c r="T128" s="4"/>
      <c r="U128" s="4"/>
      <c r="V128" s="4"/>
      <c r="W128" s="4"/>
      <c r="X128" s="119"/>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row>
    <row r="129" spans="2:61">
      <c r="B129" s="4"/>
      <c r="C129" s="4"/>
      <c r="D129" s="4"/>
      <c r="E129" s="4"/>
      <c r="F129" s="4"/>
      <c r="G129" s="4"/>
      <c r="H129" s="4"/>
      <c r="I129" s="4"/>
      <c r="J129" s="4"/>
      <c r="K129" s="4"/>
      <c r="L129" s="4"/>
      <c r="M129" s="4"/>
      <c r="N129" s="4"/>
      <c r="O129" s="342"/>
      <c r="P129" s="4"/>
      <c r="Q129" s="4"/>
      <c r="R129" s="4"/>
      <c r="S129" s="4"/>
      <c r="T129" s="4"/>
      <c r="U129" s="4"/>
      <c r="V129" s="4"/>
      <c r="W129" s="4"/>
      <c r="X129" s="119"/>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row>
    <row r="130" spans="2:61">
      <c r="B130" s="4"/>
      <c r="C130" s="4"/>
      <c r="D130" s="4"/>
      <c r="E130" s="4"/>
      <c r="F130" s="4"/>
      <c r="G130" s="4"/>
      <c r="H130" s="4"/>
      <c r="I130" s="4"/>
      <c r="J130" s="4"/>
      <c r="K130" s="4"/>
      <c r="L130" s="4"/>
      <c r="M130" s="4"/>
      <c r="N130" s="4"/>
      <c r="O130" s="342"/>
      <c r="P130" s="4"/>
      <c r="Q130" s="4"/>
      <c r="R130" s="4"/>
      <c r="S130" s="4"/>
      <c r="T130" s="4"/>
      <c r="U130" s="4"/>
      <c r="V130" s="4"/>
      <c r="W130" s="4"/>
      <c r="X130" s="119"/>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row>
    <row r="131" spans="2:61">
      <c r="B131" s="4"/>
      <c r="C131" s="4"/>
      <c r="D131" s="4"/>
      <c r="E131" s="4"/>
      <c r="F131" s="4"/>
      <c r="G131" s="4"/>
      <c r="H131" s="4"/>
      <c r="I131" s="4"/>
      <c r="J131" s="4"/>
      <c r="K131" s="4"/>
      <c r="L131" s="4"/>
      <c r="M131" s="4"/>
      <c r="N131" s="4"/>
      <c r="O131" s="342"/>
      <c r="P131" s="4"/>
      <c r="Q131" s="4"/>
      <c r="R131" s="4"/>
      <c r="S131" s="4"/>
      <c r="T131" s="4"/>
      <c r="U131" s="4"/>
      <c r="V131" s="4"/>
      <c r="W131" s="4"/>
      <c r="X131" s="119"/>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row>
    <row r="132" spans="2:61">
      <c r="B132" s="4"/>
      <c r="C132" s="4"/>
      <c r="D132" s="4"/>
      <c r="E132" s="4"/>
      <c r="F132" s="4"/>
      <c r="G132" s="4"/>
      <c r="H132" s="4"/>
      <c r="I132" s="4"/>
      <c r="J132" s="4"/>
      <c r="K132" s="4"/>
      <c r="L132" s="4"/>
      <c r="M132" s="4"/>
      <c r="N132" s="4"/>
      <c r="O132" s="342"/>
      <c r="P132" s="4"/>
      <c r="Q132" s="4"/>
      <c r="R132" s="4"/>
      <c r="S132" s="4"/>
      <c r="T132" s="4"/>
      <c r="U132" s="4"/>
      <c r="V132" s="4"/>
      <c r="W132" s="4"/>
      <c r="X132" s="119"/>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row>
    <row r="133" spans="2:61">
      <c r="B133" s="4"/>
      <c r="C133" s="4"/>
      <c r="D133" s="4"/>
      <c r="E133" s="4"/>
      <c r="F133" s="4"/>
      <c r="G133" s="4"/>
      <c r="H133" s="4"/>
      <c r="I133" s="4"/>
      <c r="J133" s="4"/>
      <c r="K133" s="4"/>
      <c r="L133" s="4"/>
      <c r="M133" s="4"/>
      <c r="N133" s="4"/>
      <c r="O133" s="342"/>
      <c r="P133" s="4"/>
      <c r="Q133" s="4"/>
      <c r="R133" s="4"/>
      <c r="S133" s="4"/>
      <c r="T133" s="4"/>
      <c r="U133" s="4"/>
      <c r="V133" s="4"/>
      <c r="W133" s="4"/>
      <c r="X133" s="119"/>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row>
    <row r="134" spans="2:61">
      <c r="B134" s="4"/>
      <c r="C134" s="4"/>
      <c r="D134" s="4"/>
      <c r="E134" s="4"/>
      <c r="F134" s="4"/>
      <c r="G134" s="4"/>
      <c r="H134" s="4"/>
      <c r="I134" s="4"/>
      <c r="J134" s="4"/>
      <c r="K134" s="4"/>
      <c r="L134" s="4"/>
      <c r="M134" s="4"/>
      <c r="N134" s="4"/>
      <c r="O134" s="342"/>
      <c r="P134" s="4"/>
      <c r="Q134" s="4"/>
      <c r="R134" s="4"/>
      <c r="S134" s="4"/>
      <c r="T134" s="4"/>
      <c r="U134" s="4"/>
      <c r="V134" s="4"/>
      <c r="W134" s="4"/>
      <c r="X134" s="119"/>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row>
    <row r="135" spans="2:61">
      <c r="B135" s="4"/>
      <c r="C135" s="4"/>
      <c r="D135" s="4"/>
      <c r="E135" s="4"/>
      <c r="F135" s="4"/>
      <c r="G135" s="4"/>
      <c r="H135" s="4"/>
      <c r="I135" s="4"/>
      <c r="J135" s="4"/>
      <c r="K135" s="4"/>
      <c r="L135" s="4"/>
      <c r="M135" s="4"/>
      <c r="N135" s="4"/>
      <c r="O135" s="342"/>
      <c r="P135" s="4"/>
      <c r="Q135" s="4"/>
      <c r="R135" s="4"/>
      <c r="S135" s="4"/>
      <c r="T135" s="4"/>
      <c r="U135" s="4"/>
      <c r="V135" s="4"/>
      <c r="W135" s="4"/>
      <c r="X135" s="119"/>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row>
    <row r="136" spans="2:61">
      <c r="B136" s="4"/>
      <c r="C136" s="4"/>
      <c r="D136" s="4"/>
      <c r="E136" s="4"/>
      <c r="F136" s="4"/>
      <c r="G136" s="4"/>
      <c r="H136" s="4"/>
      <c r="I136" s="4"/>
      <c r="J136" s="4"/>
      <c r="K136" s="4"/>
      <c r="L136" s="4"/>
      <c r="M136" s="4"/>
      <c r="N136" s="4"/>
      <c r="O136" s="342"/>
      <c r="P136" s="4"/>
      <c r="Q136" s="4"/>
      <c r="R136" s="4"/>
      <c r="S136" s="4"/>
      <c r="T136" s="4"/>
      <c r="U136" s="4"/>
      <c r="V136" s="4"/>
      <c r="W136" s="4"/>
      <c r="X136" s="119"/>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row>
    <row r="137" spans="2:61">
      <c r="B137" s="4"/>
      <c r="C137" s="4"/>
      <c r="D137" s="4"/>
      <c r="E137" s="4"/>
      <c r="F137" s="4"/>
      <c r="G137" s="4"/>
      <c r="H137" s="4"/>
      <c r="I137" s="4"/>
      <c r="J137" s="4"/>
      <c r="K137" s="4"/>
      <c r="L137" s="4"/>
      <c r="M137" s="4"/>
      <c r="N137" s="4"/>
      <c r="O137" s="342"/>
      <c r="P137" s="4"/>
      <c r="Q137" s="4"/>
      <c r="R137" s="4"/>
      <c r="S137" s="4"/>
      <c r="T137" s="4"/>
      <c r="U137" s="4"/>
      <c r="V137" s="4"/>
      <c r="W137" s="4"/>
      <c r="X137" s="119"/>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row>
    <row r="138" spans="2:61">
      <c r="B138" s="4"/>
      <c r="C138" s="4"/>
      <c r="D138" s="4"/>
      <c r="E138" s="4"/>
      <c r="F138" s="4"/>
      <c r="G138" s="4"/>
      <c r="H138" s="4"/>
      <c r="I138" s="4"/>
      <c r="J138" s="4"/>
      <c r="K138" s="4"/>
      <c r="L138" s="4"/>
      <c r="M138" s="4"/>
      <c r="N138" s="4"/>
      <c r="O138" s="342"/>
      <c r="P138" s="4"/>
      <c r="Q138" s="4"/>
      <c r="R138" s="4"/>
      <c r="S138" s="4"/>
      <c r="T138" s="4"/>
      <c r="U138" s="4"/>
      <c r="V138" s="4"/>
      <c r="W138" s="4"/>
      <c r="X138" s="119"/>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row>
    <row r="139" spans="2:61">
      <c r="B139" s="4"/>
      <c r="C139" s="4"/>
      <c r="D139" s="4"/>
      <c r="E139" s="4"/>
      <c r="F139" s="4"/>
      <c r="G139" s="4"/>
      <c r="H139" s="4"/>
      <c r="I139" s="4"/>
      <c r="J139" s="4"/>
      <c r="K139" s="4"/>
      <c r="L139" s="4"/>
      <c r="M139" s="4"/>
      <c r="N139" s="4"/>
      <c r="O139" s="342"/>
      <c r="P139" s="4"/>
      <c r="Q139" s="4"/>
      <c r="R139" s="4"/>
      <c r="S139" s="4"/>
      <c r="T139" s="4"/>
      <c r="U139" s="4"/>
      <c r="V139" s="4"/>
      <c r="W139" s="4"/>
      <c r="X139" s="119"/>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row>
    <row r="140" spans="2:61">
      <c r="B140" s="4"/>
      <c r="C140" s="4"/>
      <c r="D140" s="4"/>
      <c r="E140" s="4"/>
      <c r="F140" s="4"/>
      <c r="G140" s="4"/>
      <c r="H140" s="4"/>
      <c r="I140" s="4"/>
      <c r="J140" s="4"/>
      <c r="K140" s="4"/>
      <c r="L140" s="4"/>
      <c r="M140" s="4"/>
      <c r="N140" s="4"/>
      <c r="O140" s="342"/>
      <c r="P140" s="4"/>
      <c r="Q140" s="4"/>
      <c r="R140" s="4"/>
      <c r="S140" s="4"/>
      <c r="T140" s="4"/>
      <c r="U140" s="4"/>
      <c r="V140" s="4"/>
      <c r="W140" s="4"/>
      <c r="X140" s="119"/>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row>
    <row r="141" spans="2:61">
      <c r="B141" s="4"/>
      <c r="C141" s="4"/>
      <c r="D141" s="4"/>
      <c r="E141" s="4"/>
      <c r="F141" s="4"/>
      <c r="G141" s="4"/>
      <c r="H141" s="4"/>
      <c r="I141" s="4"/>
      <c r="J141" s="4"/>
      <c r="K141" s="4"/>
      <c r="L141" s="4"/>
      <c r="M141" s="4"/>
      <c r="N141" s="4"/>
      <c r="O141" s="16"/>
      <c r="P141" s="4"/>
      <c r="Q141" s="4"/>
      <c r="R141" s="4"/>
      <c r="S141" s="4"/>
      <c r="T141" s="4"/>
      <c r="U141" s="4"/>
      <c r="V141" s="4"/>
      <c r="W141" s="4"/>
      <c r="X141" s="119"/>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row>
    <row r="142" spans="2:61">
      <c r="B142" s="4"/>
      <c r="C142" s="4"/>
      <c r="D142" s="4"/>
      <c r="E142" s="4"/>
      <c r="F142" s="4"/>
      <c r="G142" s="4"/>
      <c r="H142" s="4"/>
      <c r="I142" s="4"/>
      <c r="J142" s="4"/>
      <c r="K142" s="4"/>
      <c r="L142" s="4"/>
      <c r="M142" s="4"/>
      <c r="N142" s="4"/>
      <c r="O142" s="16"/>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row>
    <row r="143" spans="2:61">
      <c r="B143" s="4"/>
      <c r="C143" s="4"/>
      <c r="D143" s="4"/>
      <c r="E143" s="4"/>
      <c r="F143" s="4"/>
      <c r="G143" s="4"/>
      <c r="H143" s="4"/>
      <c r="I143" s="4"/>
      <c r="J143" s="4"/>
      <c r="K143" s="4"/>
      <c r="L143" s="4"/>
      <c r="M143" s="4"/>
      <c r="N143" s="4"/>
      <c r="O143" s="16"/>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row>
    <row r="144" spans="2:61">
      <c r="B144" s="4"/>
      <c r="C144" s="4"/>
      <c r="D144" s="4"/>
      <c r="E144" s="4"/>
      <c r="F144" s="4"/>
      <c r="G144" s="4"/>
      <c r="H144" s="4"/>
      <c r="I144" s="4"/>
      <c r="J144" s="4"/>
      <c r="K144" s="4"/>
      <c r="L144" s="4"/>
      <c r="M144" s="4"/>
      <c r="N144" s="4"/>
      <c r="O144" s="16"/>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row>
    <row r="145" spans="2:61">
      <c r="B145" s="4"/>
      <c r="C145" s="4"/>
      <c r="D145" s="4"/>
      <c r="E145" s="4"/>
      <c r="F145" s="4"/>
      <c r="G145" s="4"/>
      <c r="H145" s="4"/>
      <c r="I145" s="4"/>
      <c r="J145" s="4"/>
      <c r="K145" s="4"/>
      <c r="L145" s="4"/>
      <c r="M145" s="4"/>
      <c r="N145" s="4"/>
      <c r="O145" s="16"/>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row>
    <row r="146" spans="2:61">
      <c r="B146" s="4"/>
      <c r="C146" s="4"/>
      <c r="D146" s="4"/>
      <c r="E146" s="4"/>
      <c r="F146" s="4"/>
      <c r="G146" s="4"/>
      <c r="H146" s="4"/>
      <c r="I146" s="4"/>
      <c r="J146" s="4"/>
      <c r="K146" s="4"/>
      <c r="L146" s="4"/>
      <c r="M146" s="4"/>
      <c r="N146" s="4"/>
      <c r="O146" s="16"/>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row>
    <row r="147" spans="2:61">
      <c r="B147" s="4"/>
      <c r="C147" s="4"/>
      <c r="D147" s="4"/>
      <c r="E147" s="4"/>
      <c r="F147" s="4"/>
      <c r="G147" s="4"/>
      <c r="H147" s="4"/>
      <c r="I147" s="4"/>
      <c r="J147" s="4"/>
      <c r="K147" s="4"/>
      <c r="L147" s="4"/>
      <c r="M147" s="4"/>
      <c r="N147" s="4"/>
      <c r="O147" s="16"/>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row>
    <row r="148" spans="2:61">
      <c r="B148" s="4"/>
      <c r="C148" s="4"/>
      <c r="D148" s="4"/>
      <c r="E148" s="4"/>
      <c r="F148" s="4"/>
      <c r="G148" s="4"/>
      <c r="H148" s="4"/>
      <c r="I148" s="4"/>
      <c r="J148" s="4"/>
      <c r="K148" s="4"/>
      <c r="L148" s="4"/>
      <c r="M148" s="4"/>
      <c r="N148" s="4"/>
      <c r="O148" s="16"/>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row>
    <row r="149" spans="2:61">
      <c r="B149" s="4"/>
      <c r="C149" s="4"/>
      <c r="D149" s="4"/>
      <c r="E149" s="4"/>
      <c r="F149" s="4"/>
      <c r="G149" s="4"/>
      <c r="H149" s="4"/>
      <c r="I149" s="4"/>
      <c r="J149" s="4"/>
      <c r="K149" s="4"/>
      <c r="L149" s="4"/>
      <c r="M149" s="4"/>
      <c r="N149" s="4"/>
      <c r="O149" s="16"/>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row>
    <row r="150" spans="2:61">
      <c r="B150" s="4"/>
      <c r="C150" s="4"/>
      <c r="D150" s="4"/>
      <c r="E150" s="4"/>
      <c r="F150" s="4"/>
      <c r="G150" s="4"/>
      <c r="H150" s="4"/>
      <c r="I150" s="4"/>
      <c r="J150" s="4"/>
      <c r="K150" s="4"/>
      <c r="L150" s="4"/>
      <c r="M150" s="4"/>
      <c r="N150" s="4"/>
      <c r="O150" s="16"/>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row>
    <row r="151" spans="2:61">
      <c r="B151" s="4"/>
      <c r="C151" s="4"/>
      <c r="D151" s="4"/>
      <c r="E151" s="4"/>
      <c r="F151" s="4"/>
      <c r="G151" s="4"/>
      <c r="H151" s="4"/>
      <c r="I151" s="4"/>
      <c r="J151" s="4"/>
      <c r="K151" s="4"/>
      <c r="L151" s="4"/>
      <c r="M151" s="4"/>
      <c r="N151" s="4"/>
      <c r="O151" s="16"/>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row>
    <row r="152" spans="2:61">
      <c r="B152" s="4"/>
      <c r="C152" s="4"/>
      <c r="D152" s="4"/>
      <c r="E152" s="4"/>
      <c r="F152" s="4"/>
      <c r="G152" s="4"/>
      <c r="H152" s="4"/>
      <c r="I152" s="4"/>
      <c r="J152" s="4"/>
      <c r="K152" s="4"/>
      <c r="L152" s="4"/>
      <c r="M152" s="4"/>
      <c r="N152" s="4"/>
      <c r="O152" s="16"/>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row>
    <row r="153" spans="2:61">
      <c r="B153" s="4"/>
      <c r="C153" s="4"/>
      <c r="D153" s="4"/>
      <c r="E153" s="4"/>
      <c r="F153" s="4"/>
      <c r="G153" s="4"/>
      <c r="H153" s="4"/>
      <c r="I153" s="4"/>
      <c r="J153" s="4"/>
      <c r="K153" s="4"/>
      <c r="L153" s="4"/>
      <c r="M153" s="4"/>
      <c r="N153" s="4"/>
      <c r="O153" s="16"/>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row>
    <row r="154" spans="2:61">
      <c r="B154" s="4"/>
      <c r="C154" s="4"/>
      <c r="D154" s="4"/>
      <c r="E154" s="4"/>
      <c r="F154" s="4"/>
      <c r="G154" s="4"/>
      <c r="H154" s="4"/>
      <c r="I154" s="4"/>
      <c r="J154" s="4"/>
      <c r="K154" s="4"/>
      <c r="L154" s="4"/>
      <c r="M154" s="4"/>
      <c r="N154" s="4"/>
      <c r="O154" s="16"/>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row>
    <row r="155" spans="2:61">
      <c r="B155" s="4"/>
      <c r="C155" s="4"/>
      <c r="D155" s="4"/>
      <c r="E155" s="4"/>
      <c r="F155" s="4"/>
      <c r="G155" s="4"/>
      <c r="H155" s="4"/>
      <c r="I155" s="4"/>
      <c r="J155" s="4"/>
      <c r="K155" s="4"/>
      <c r="L155" s="4"/>
      <c r="M155" s="4"/>
      <c r="N155" s="4"/>
      <c r="O155" s="16"/>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row>
    <row r="156" spans="2:61">
      <c r="B156" s="4"/>
      <c r="C156" s="4"/>
      <c r="D156" s="4"/>
      <c r="E156" s="4"/>
      <c r="F156" s="4"/>
      <c r="G156" s="4"/>
      <c r="H156" s="4"/>
      <c r="I156" s="4"/>
      <c r="J156" s="4"/>
      <c r="K156" s="4"/>
      <c r="L156" s="4"/>
      <c r="M156" s="4"/>
      <c r="N156" s="4"/>
      <c r="O156" s="16"/>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row>
  </sheetData>
  <mergeCells count="42">
    <mergeCell ref="AS32:BI33"/>
    <mergeCell ref="AH1:AU12"/>
    <mergeCell ref="AW1:BI12"/>
    <mergeCell ref="B69:N70"/>
    <mergeCell ref="O13:X14"/>
    <mergeCell ref="B32:N33"/>
    <mergeCell ref="C44:F44"/>
    <mergeCell ref="K44:N44"/>
    <mergeCell ref="B13:J14"/>
    <mergeCell ref="O36:P37"/>
    <mergeCell ref="C53:F53"/>
    <mergeCell ref="K53:N53"/>
    <mergeCell ref="C67:F67"/>
    <mergeCell ref="K67:N67"/>
    <mergeCell ref="O66:P66"/>
    <mergeCell ref="O56:P57"/>
    <mergeCell ref="O49:P50"/>
    <mergeCell ref="Y13:AA14"/>
    <mergeCell ref="Q32:Q33"/>
    <mergeCell ref="O35:P35"/>
    <mergeCell ref="O15:Q15"/>
    <mergeCell ref="R15:T15"/>
    <mergeCell ref="U15:X15"/>
    <mergeCell ref="O24:Q24"/>
    <mergeCell ref="R24:T24"/>
    <mergeCell ref="U24:X24"/>
    <mergeCell ref="O32:P33"/>
    <mergeCell ref="Y32:AG33"/>
    <mergeCell ref="O47:P48"/>
    <mergeCell ref="AH32:AQ33"/>
    <mergeCell ref="O46:P46"/>
    <mergeCell ref="O38:P39"/>
    <mergeCell ref="O40:P41"/>
    <mergeCell ref="O42:P43"/>
    <mergeCell ref="Y69:AI70"/>
    <mergeCell ref="O69:X70"/>
    <mergeCell ref="O62:P63"/>
    <mergeCell ref="O64:P65"/>
    <mergeCell ref="O51:P52"/>
    <mergeCell ref="O58:P59"/>
    <mergeCell ref="O60:P61"/>
    <mergeCell ref="O55:P55"/>
  </mergeCells>
  <conditionalFormatting sqref="Q32:Q33">
    <cfRule type="iconSet" priority="28">
      <iconSet iconSet="3Signs">
        <cfvo type="percent" val="0"/>
        <cfvo type="percent" val="33"/>
        <cfvo type="percent" val="67"/>
      </iconSet>
    </cfRule>
  </conditionalFormatting>
  <conditionalFormatting sqref="Q37">
    <cfRule type="cellIs" dxfId="167" priority="3" operator="lessThan">
      <formula>0</formula>
    </cfRule>
    <cfRule type="cellIs" dxfId="166" priority="4" operator="greaterThan">
      <formula>0</formula>
    </cfRule>
  </conditionalFormatting>
  <conditionalFormatting sqref="Q65:Q66 Q63 Q61 Q59 Q57 Q52 Q50 Q48 Q43 Q41 Q39">
    <cfRule type="cellIs" dxfId="165" priority="1" operator="lessThan">
      <formula>0</formula>
    </cfRule>
    <cfRule type="cellIs" dxfId="164" priority="2" operator="greaterThan">
      <formula>0</formula>
    </cfRule>
  </conditionalFormatting>
  <pageMargins left="0.7" right="0.7" top="0.75" bottom="0.75" header="0.3" footer="0.3"/>
  <pageSetup orientation="portrait" horizontalDpi="360" verticalDpi="360" r:id="rId1"/>
  <drawing r:id="rId2"/>
  <extLst>
    <ext xmlns:x14="http://schemas.microsoft.com/office/spreadsheetml/2009/9/main" uri="{78C0D931-6437-407d-A8EE-F0AAD7539E65}">
      <x14:conditionalFormattings>
        <x14:conditionalFormatting xmlns:xm="http://schemas.microsoft.com/office/excel/2006/main">
          <x14:cfRule type="iconSet" priority="27" id="{B4396732-8E24-494F-BDA4-872A4B3BDB28}">
            <x14:iconSet iconSet="3Triangles">
              <x14:cfvo type="percent">
                <xm:f>0</xm:f>
              </x14:cfvo>
              <x14:cfvo type="percent">
                <xm:f>33</xm:f>
              </x14:cfvo>
              <x14:cfvo type="percent">
                <xm:f>67</xm:f>
              </x14:cfvo>
            </x14:iconSet>
          </x14:cfRule>
          <xm:sqref>Q32:Q33</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'DATA LIST'!$A$1:$A$2</xm:f>
          </x14:formula1>
          <xm:sqref>H31</xm:sqref>
        </x14:dataValidation>
      </x14:dataValidations>
    </ext>
    <ext xmlns:x14="http://schemas.microsoft.com/office/spreadsheetml/2009/9/main" uri="{05C60535-1F16-4fd2-B633-F4F36F0B64E0}">
      <x14:sparklineGroups xmlns:xm="http://schemas.microsoft.com/office/excel/2006/main">
        <x14:sparklineGroup manualMax="0" manualMin="0" type="stacked" displayEmptyCellsAs="gap" negative="1">
          <x14:colorSeries rgb="FFC6EFCE"/>
          <x14:colorNegative rgb="FFFFC7CE"/>
          <x14:colorAxis rgb="FF000000"/>
          <x14:colorMarkers rgb="FF8CADD6"/>
          <x14:colorFirst rgb="FFFFDC47"/>
          <x14:colorLast rgb="FFFFEB9C"/>
          <x14:colorHigh rgb="FF60D276"/>
          <x14:colorLow rgb="FFFF5367"/>
          <x14:sparklines>
            <x14:sparkline>
              <xm:f>STOCK!E8</xm:f>
              <xm:sqref>B10</xm:sqref>
            </x14:sparkline>
          </x14:sparklines>
        </x14:sparklineGroup>
        <x14:sparklineGroup manualMax="0" manualMin="0" type="stacked" displayEmptyCellsAs="gap" negative="1">
          <x14:colorSeries rgb="FFC6EFCE"/>
          <x14:colorNegative rgb="FFFFC7CE"/>
          <x14:colorAxis rgb="FF000000"/>
          <x14:colorMarkers rgb="FF8CADD6"/>
          <x14:colorFirst rgb="FFFFDC47"/>
          <x14:colorLast rgb="FFFFEB9C"/>
          <x14:colorHigh rgb="FF60D276"/>
          <x14:colorLow rgb="FFFF5367"/>
          <x14:sparklines>
            <x14:sparkline>
              <xm:f>STOCK!E7</xm:f>
              <xm:sqref>B9</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topLeftCell="A43" workbookViewId="0">
      <selection activeCell="E60" sqref="E60:G62"/>
    </sheetView>
  </sheetViews>
  <sheetFormatPr defaultRowHeight="14.4"/>
  <sheetData>
    <row r="1" spans="1:1">
      <c r="A1" t="str">
        <f>"POONAWALLA FINCORP"</f>
        <v>POONAWALLA FINCORP</v>
      </c>
    </row>
    <row r="5" spans="1:1">
      <c r="A5" t="s">
        <v>1</v>
      </c>
    </row>
    <row r="7" spans="1:1">
      <c r="A7" t="s">
        <v>2</v>
      </c>
    </row>
    <row r="9" spans="1:1">
      <c r="A9" t="s">
        <v>7</v>
      </c>
    </row>
    <row r="10" spans="1:1">
      <c r="A10">
        <v>1</v>
      </c>
    </row>
    <row r="11" spans="1:1">
      <c r="A11" t="s">
        <v>3</v>
      </c>
    </row>
    <row r="12" spans="1:1">
      <c r="A12" t="s">
        <v>8</v>
      </c>
    </row>
    <row r="13" spans="1:1">
      <c r="A13">
        <v>1</v>
      </c>
    </row>
    <row r="14" spans="1:1">
      <c r="A14" t="s">
        <v>3</v>
      </c>
    </row>
    <row r="15" spans="1:1">
      <c r="A15" t="s">
        <v>9</v>
      </c>
    </row>
    <row r="16" spans="1:1">
      <c r="A16">
        <v>2</v>
      </c>
    </row>
    <row r="17" spans="1:1">
      <c r="A17" t="s">
        <v>3</v>
      </c>
    </row>
    <row r="18" spans="1:1">
      <c r="A18" t="s">
        <v>10</v>
      </c>
    </row>
    <row r="19" spans="1:1">
      <c r="A19">
        <v>1</v>
      </c>
    </row>
    <row r="20" spans="1:1">
      <c r="A20" t="s">
        <v>3</v>
      </c>
    </row>
    <row r="22" spans="1:1">
      <c r="A22" t="s">
        <v>4</v>
      </c>
    </row>
    <row r="24" spans="1:1">
      <c r="A24" t="s">
        <v>11</v>
      </c>
    </row>
    <row r="25" spans="1:1">
      <c r="A25">
        <v>3</v>
      </c>
    </row>
    <row r="26" spans="1:1">
      <c r="A26" t="s">
        <v>3</v>
      </c>
    </row>
    <row r="27" spans="1:1">
      <c r="A27" t="s">
        <v>12</v>
      </c>
    </row>
    <row r="28" spans="1:1">
      <c r="A28">
        <v>3</v>
      </c>
    </row>
    <row r="29" spans="1:1">
      <c r="A29" t="s">
        <v>3</v>
      </c>
    </row>
    <row r="30" spans="1:1">
      <c r="A30" t="s">
        <v>13</v>
      </c>
    </row>
    <row r="31" spans="1:1">
      <c r="A31">
        <v>3</v>
      </c>
    </row>
    <row r="32" spans="1:1">
      <c r="A32" t="s">
        <v>3</v>
      </c>
    </row>
    <row r="34" spans="1:1">
      <c r="A34" t="s">
        <v>5</v>
      </c>
    </row>
    <row r="36" spans="1:1">
      <c r="A36" t="s">
        <v>14</v>
      </c>
    </row>
    <row r="37" spans="1:1">
      <c r="A37">
        <v>4</v>
      </c>
    </row>
    <row r="38" spans="1:1">
      <c r="A38" t="s">
        <v>3</v>
      </c>
    </row>
    <row r="39" spans="1:1">
      <c r="A39" t="s">
        <v>15</v>
      </c>
    </row>
    <row r="40" spans="1:1">
      <c r="A40">
        <v>4</v>
      </c>
    </row>
    <row r="41" spans="1:1">
      <c r="A41" t="s">
        <v>3</v>
      </c>
    </row>
    <row r="42" spans="1:1">
      <c r="A42" t="s">
        <v>16</v>
      </c>
    </row>
    <row r="43" spans="1:1">
      <c r="A43">
        <v>4</v>
      </c>
    </row>
    <row r="44" spans="1:1">
      <c r="A44" t="s">
        <v>3</v>
      </c>
    </row>
    <row r="45" spans="1:1">
      <c r="A45" t="s">
        <v>17</v>
      </c>
    </row>
    <row r="46" spans="1:1">
      <c r="A46">
        <v>4</v>
      </c>
    </row>
    <row r="47" spans="1:1">
      <c r="A47" t="s">
        <v>3</v>
      </c>
    </row>
    <row r="48" spans="1:1">
      <c r="A48" t="s">
        <v>18</v>
      </c>
    </row>
    <row r="49" spans="1:4">
      <c r="A49">
        <v>4</v>
      </c>
    </row>
    <row r="50" spans="1:4">
      <c r="A50" t="s">
        <v>3</v>
      </c>
    </row>
    <row r="52" spans="1:4">
      <c r="A52" t="s">
        <v>6</v>
      </c>
    </row>
    <row r="55" spans="1:4">
      <c r="D55" t="str">
        <f>IF('Poonawalla Fincorp '!$D$56="-","-",'Poonawalla Fincorp '!C55)</f>
        <v>-</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09"/>
  <sheetViews>
    <sheetView topLeftCell="A103" workbookViewId="0">
      <selection activeCell="A93" sqref="A93"/>
    </sheetView>
  </sheetViews>
  <sheetFormatPr defaultRowHeight="14.4"/>
  <cols>
    <col min="1" max="1" width="73.6640625" customWidth="1"/>
    <col min="2" max="2" width="43" bestFit="1" customWidth="1"/>
    <col min="3" max="3" width="13.21875" bestFit="1" customWidth="1"/>
    <col min="4" max="4" width="11.5546875" bestFit="1" customWidth="1"/>
    <col min="5" max="5" width="17" bestFit="1" customWidth="1"/>
    <col min="6" max="6" width="16.33203125" bestFit="1" customWidth="1"/>
    <col min="7" max="7" width="13.21875" bestFit="1" customWidth="1"/>
    <col min="8" max="8" width="11.5546875" bestFit="1" customWidth="1"/>
    <col min="9" max="9" width="17" bestFit="1" customWidth="1"/>
    <col min="10" max="10" width="16.33203125" bestFit="1" customWidth="1"/>
    <col min="11" max="11" width="13.21875" bestFit="1" customWidth="1"/>
    <col min="12" max="12" width="11.5546875" bestFit="1" customWidth="1"/>
    <col min="13" max="13" width="17" bestFit="1" customWidth="1"/>
    <col min="14" max="14" width="10.5546875" bestFit="1" customWidth="1"/>
  </cols>
  <sheetData>
    <row r="2" spans="1:13">
      <c r="A2" s="22" t="s">
        <v>65</v>
      </c>
      <c r="B2" s="19">
        <v>44531</v>
      </c>
      <c r="C2" s="19">
        <v>44621</v>
      </c>
      <c r="D2" s="19">
        <v>44713</v>
      </c>
      <c r="E2" s="19">
        <v>44805</v>
      </c>
      <c r="F2" s="19">
        <v>44896</v>
      </c>
      <c r="G2" s="19">
        <v>44986</v>
      </c>
      <c r="H2" s="19">
        <v>45078</v>
      </c>
      <c r="I2" s="19">
        <v>45170</v>
      </c>
      <c r="J2" s="19">
        <v>45261</v>
      </c>
      <c r="K2" s="19">
        <v>45352</v>
      </c>
      <c r="L2" s="19">
        <v>45444</v>
      </c>
      <c r="M2" s="19">
        <v>45536</v>
      </c>
    </row>
    <row r="3" spans="1:13">
      <c r="A3" s="17" t="s">
        <v>38</v>
      </c>
      <c r="B3" s="20">
        <v>0.6825</v>
      </c>
      <c r="C3" s="20">
        <v>0.61499999999999999</v>
      </c>
      <c r="D3" s="20">
        <v>0.6149</v>
      </c>
      <c r="E3" s="20">
        <v>0.61480000000000001</v>
      </c>
      <c r="F3" s="20">
        <v>0.62050000000000005</v>
      </c>
      <c r="G3" s="20">
        <v>0.62139999999999995</v>
      </c>
      <c r="H3" s="20">
        <v>0.62119999999999997</v>
      </c>
      <c r="I3" s="20">
        <v>0.621</v>
      </c>
      <c r="J3" s="20">
        <v>0.62070000000000003</v>
      </c>
      <c r="K3" s="20">
        <v>0.62129999999999996</v>
      </c>
      <c r="L3" s="20">
        <v>0.62090000000000001</v>
      </c>
      <c r="M3" s="20">
        <v>0.61870000000000003</v>
      </c>
    </row>
    <row r="4" spans="1:13">
      <c r="A4" s="18" t="s">
        <v>39</v>
      </c>
      <c r="B4" s="21">
        <v>61.52</v>
      </c>
      <c r="C4" s="21">
        <v>61.5</v>
      </c>
      <c r="D4" s="21">
        <v>61.49</v>
      </c>
      <c r="E4" s="21">
        <v>61.48</v>
      </c>
      <c r="F4" s="21">
        <v>62.05</v>
      </c>
      <c r="G4" s="21">
        <v>62.14</v>
      </c>
      <c r="H4" s="21">
        <v>62.12</v>
      </c>
      <c r="I4" s="21">
        <v>62.1</v>
      </c>
      <c r="J4" s="21">
        <v>62.07</v>
      </c>
      <c r="K4" s="21">
        <v>62.13</v>
      </c>
      <c r="L4" s="21">
        <v>62.09</v>
      </c>
      <c r="M4" s="21">
        <v>61.87</v>
      </c>
    </row>
    <row r="5" spans="1:13">
      <c r="A5" s="18" t="s">
        <v>40</v>
      </c>
      <c r="B5" s="21">
        <v>2.34</v>
      </c>
      <c r="C5" s="21"/>
      <c r="D5" s="21"/>
      <c r="E5" s="21"/>
      <c r="F5" s="21"/>
      <c r="G5" s="21"/>
      <c r="H5" s="21"/>
      <c r="I5" s="21"/>
      <c r="J5" s="21"/>
      <c r="K5" s="21"/>
      <c r="L5" s="21"/>
      <c r="M5" s="21"/>
    </row>
    <row r="6" spans="1:13">
      <c r="A6" s="18" t="s">
        <v>41</v>
      </c>
      <c r="B6" s="21">
        <v>2.34</v>
      </c>
      <c r="C6" s="21"/>
      <c r="D6" s="21"/>
      <c r="E6" s="21"/>
      <c r="F6" s="21"/>
      <c r="G6" s="21"/>
      <c r="H6" s="21"/>
      <c r="I6" s="21"/>
      <c r="J6" s="21"/>
      <c r="K6" s="21"/>
      <c r="L6" s="21"/>
      <c r="M6" s="21"/>
    </row>
    <row r="7" spans="1:13">
      <c r="A7" s="18" t="s">
        <v>42</v>
      </c>
      <c r="B7" s="21">
        <v>0.88</v>
      </c>
      <c r="C7" s="21"/>
      <c r="D7" s="21"/>
      <c r="E7" s="21"/>
      <c r="F7" s="21"/>
      <c r="G7" s="21"/>
      <c r="H7" s="21"/>
      <c r="I7" s="21"/>
      <c r="J7" s="21"/>
      <c r="K7" s="21"/>
      <c r="L7" s="21"/>
      <c r="M7" s="21"/>
    </row>
    <row r="8" spans="1:13">
      <c r="A8" s="18" t="s">
        <v>43</v>
      </c>
      <c r="B8" s="21">
        <v>0.88</v>
      </c>
      <c r="C8" s="21"/>
      <c r="D8" s="21"/>
      <c r="E8" s="21"/>
      <c r="F8" s="21"/>
      <c r="G8" s="21"/>
      <c r="H8" s="21"/>
      <c r="I8" s="21"/>
      <c r="J8" s="21"/>
      <c r="K8" s="21"/>
      <c r="L8" s="21"/>
      <c r="M8" s="21"/>
    </row>
    <row r="9" spans="1:13">
      <c r="A9" s="18" t="s">
        <v>44</v>
      </c>
      <c r="B9" s="21">
        <v>0.24</v>
      </c>
      <c r="C9" s="21"/>
      <c r="D9" s="21"/>
      <c r="E9" s="21"/>
      <c r="F9" s="21"/>
      <c r="G9" s="21"/>
      <c r="H9" s="21"/>
      <c r="I9" s="21"/>
      <c r="J9" s="21"/>
      <c r="K9" s="21"/>
      <c r="L9" s="21"/>
      <c r="M9" s="21"/>
    </row>
    <row r="10" spans="1:13">
      <c r="A10" s="18" t="s">
        <v>45</v>
      </c>
      <c r="B10" s="21">
        <v>0.04</v>
      </c>
      <c r="C10" s="21"/>
      <c r="D10" s="21"/>
      <c r="E10" s="21"/>
      <c r="F10" s="21"/>
      <c r="G10" s="21"/>
      <c r="H10" s="21"/>
      <c r="I10" s="21"/>
      <c r="J10" s="21"/>
      <c r="K10" s="21"/>
      <c r="L10" s="21"/>
      <c r="M10" s="21"/>
    </row>
    <row r="11" spans="1:13">
      <c r="A11" s="18" t="s">
        <v>46</v>
      </c>
      <c r="B11" s="21">
        <v>0.02</v>
      </c>
      <c r="C11" s="21"/>
      <c r="D11" s="21"/>
      <c r="E11" s="21"/>
      <c r="F11" s="21"/>
      <c r="G11" s="21"/>
      <c r="H11" s="21"/>
      <c r="I11" s="21"/>
      <c r="J11" s="21"/>
      <c r="K11" s="21"/>
      <c r="L11" s="21"/>
      <c r="M11" s="21"/>
    </row>
    <row r="12" spans="1:13">
      <c r="A12" s="18" t="s">
        <v>47</v>
      </c>
      <c r="B12" s="21">
        <v>0.01</v>
      </c>
      <c r="C12" s="21"/>
      <c r="D12" s="21"/>
      <c r="E12" s="21"/>
      <c r="F12" s="21"/>
      <c r="G12" s="21"/>
      <c r="H12" s="21"/>
      <c r="I12" s="21"/>
      <c r="J12" s="21"/>
      <c r="K12" s="21"/>
      <c r="L12" s="21"/>
      <c r="M12" s="21"/>
    </row>
    <row r="13" spans="1:13">
      <c r="A13" s="18" t="s">
        <v>48</v>
      </c>
      <c r="B13" s="21">
        <v>0</v>
      </c>
      <c r="C13" s="21"/>
      <c r="D13" s="21"/>
      <c r="E13" s="21"/>
      <c r="F13" s="21"/>
      <c r="G13" s="21"/>
      <c r="H13" s="21"/>
      <c r="I13" s="21"/>
      <c r="J13" s="21"/>
      <c r="K13" s="21"/>
      <c r="L13" s="21"/>
      <c r="M13" s="21"/>
    </row>
    <row r="14" spans="1:13">
      <c r="A14" s="17" t="s">
        <v>49</v>
      </c>
      <c r="B14" s="20">
        <v>5.8200000000000002E-2</v>
      </c>
      <c r="C14" s="20">
        <v>6.5799999999999997E-2</v>
      </c>
      <c r="D14" s="20">
        <v>7.3499999999999996E-2</v>
      </c>
      <c r="E14" s="20">
        <v>7.4800000000000005E-2</v>
      </c>
      <c r="F14" s="20">
        <v>7.2999999999999995E-2</v>
      </c>
      <c r="G14" s="20">
        <v>7.1300000000000002E-2</v>
      </c>
      <c r="H14" s="20">
        <v>7.1800000000000003E-2</v>
      </c>
      <c r="I14" s="20">
        <v>7.9100000000000004E-2</v>
      </c>
      <c r="J14" s="20">
        <v>7.7899999999999997E-2</v>
      </c>
      <c r="K14" s="20">
        <v>7.7600000000000002E-2</v>
      </c>
      <c r="L14" s="20">
        <v>7.85E-2</v>
      </c>
      <c r="M14" s="20">
        <v>7.7200000000000005E-2</v>
      </c>
    </row>
    <row r="15" spans="1:13">
      <c r="A15" s="18" t="s">
        <v>50</v>
      </c>
      <c r="B15" s="21">
        <v>3.08</v>
      </c>
      <c r="C15" s="21">
        <v>3.08</v>
      </c>
      <c r="D15" s="21">
        <v>3.06</v>
      </c>
      <c r="E15" s="21">
        <v>3.06</v>
      </c>
      <c r="F15" s="21">
        <v>2.77</v>
      </c>
      <c r="G15" s="21">
        <v>2.65</v>
      </c>
      <c r="H15" s="21">
        <v>2.4700000000000002</v>
      </c>
      <c r="I15" s="21">
        <v>2.36</v>
      </c>
      <c r="J15" s="21">
        <v>2.2200000000000002</v>
      </c>
      <c r="K15" s="21">
        <v>2.2000000000000002</v>
      </c>
      <c r="L15" s="21">
        <v>2.0499999999999998</v>
      </c>
      <c r="M15" s="21">
        <v>2.0699999999999998</v>
      </c>
    </row>
    <row r="16" spans="1:13">
      <c r="A16" s="18" t="s">
        <v>51</v>
      </c>
      <c r="B16" s="21">
        <v>1.1399999999999999</v>
      </c>
      <c r="C16" s="21">
        <v>1.1399999999999999</v>
      </c>
      <c r="D16" s="21">
        <v>1.1399999999999999</v>
      </c>
      <c r="E16" s="21">
        <v>1.1399999999999999</v>
      </c>
      <c r="F16" s="21">
        <v>1.1399999999999999</v>
      </c>
      <c r="G16" s="21">
        <v>1.1399999999999999</v>
      </c>
      <c r="H16" s="21">
        <v>1.1399999999999999</v>
      </c>
      <c r="I16" s="21">
        <v>1.1399999999999999</v>
      </c>
      <c r="J16" s="21">
        <v>1.1399999999999999</v>
      </c>
      <c r="K16" s="21">
        <v>1.1299999999999999</v>
      </c>
      <c r="L16" s="21">
        <v>1.1299999999999999</v>
      </c>
      <c r="M16" s="21">
        <v>1.1299999999999999</v>
      </c>
    </row>
    <row r="17" spans="1:13">
      <c r="A17" s="17" t="s">
        <v>52</v>
      </c>
      <c r="B17" s="20">
        <v>6.5500000000000003E-2</v>
      </c>
      <c r="C17" s="20">
        <v>6.2300000000000001E-2</v>
      </c>
      <c r="D17" s="20">
        <v>5.7200000000000001E-2</v>
      </c>
      <c r="E17" s="20">
        <v>5.1400000000000001E-2</v>
      </c>
      <c r="F17" s="20">
        <v>4.4600000000000001E-2</v>
      </c>
      <c r="G17" s="20">
        <v>6.1199999999999997E-2</v>
      </c>
      <c r="H17" s="20">
        <v>7.9899999999999999E-2</v>
      </c>
      <c r="I17" s="20">
        <v>6.9400000000000003E-2</v>
      </c>
      <c r="J17" s="20">
        <v>5.5800000000000002E-2</v>
      </c>
      <c r="K17" s="20">
        <v>5.8099999999999999E-2</v>
      </c>
      <c r="L17" s="20">
        <v>6.7699999999999996E-2</v>
      </c>
      <c r="M17" s="20">
        <v>9.6299999999999997E-2</v>
      </c>
    </row>
    <row r="18" spans="1:13">
      <c r="A18" s="18" t="s">
        <v>53</v>
      </c>
      <c r="B18" s="21"/>
      <c r="C18" s="21"/>
      <c r="D18" s="21"/>
      <c r="E18" s="21"/>
      <c r="F18" s="21"/>
      <c r="G18" s="21"/>
      <c r="H18" s="21"/>
      <c r="I18" s="21"/>
      <c r="J18" s="21"/>
      <c r="K18" s="21"/>
      <c r="L18" s="21"/>
      <c r="M18" s="21">
        <v>2.66</v>
      </c>
    </row>
    <row r="19" spans="1:13">
      <c r="A19" s="18" t="s">
        <v>54</v>
      </c>
      <c r="B19" s="21">
        <v>2.5099999999999998</v>
      </c>
      <c r="C19" s="21">
        <v>2.4700000000000002</v>
      </c>
      <c r="D19" s="21">
        <v>2.44</v>
      </c>
      <c r="E19" s="21">
        <v>2.63</v>
      </c>
      <c r="F19" s="21"/>
      <c r="G19" s="21"/>
      <c r="H19" s="21"/>
      <c r="I19" s="21"/>
      <c r="J19" s="21"/>
      <c r="K19" s="21"/>
      <c r="L19" s="21"/>
      <c r="M19" s="21"/>
    </row>
    <row r="20" spans="1:13">
      <c r="A20" s="18" t="s">
        <v>55</v>
      </c>
      <c r="B20" s="21"/>
      <c r="C20" s="21"/>
      <c r="D20" s="21"/>
      <c r="E20" s="21"/>
      <c r="F20" s="21"/>
      <c r="G20" s="21"/>
      <c r="H20" s="21"/>
      <c r="I20" s="21">
        <v>2.2999999999999998</v>
      </c>
      <c r="J20" s="21"/>
      <c r="K20" s="21"/>
      <c r="L20" s="21"/>
      <c r="M20" s="21"/>
    </row>
    <row r="21" spans="1:13">
      <c r="A21" s="18" t="s">
        <v>56</v>
      </c>
      <c r="B21" s="21"/>
      <c r="C21" s="21"/>
      <c r="D21" s="21"/>
      <c r="E21" s="21"/>
      <c r="F21" s="21">
        <v>1.9</v>
      </c>
      <c r="G21" s="21">
        <v>2.2799999999999998</v>
      </c>
      <c r="H21" s="21">
        <v>1.92</v>
      </c>
      <c r="I21" s="21"/>
      <c r="J21" s="21"/>
      <c r="K21" s="21"/>
      <c r="L21" s="21"/>
      <c r="M21" s="21"/>
    </row>
    <row r="22" spans="1:13">
      <c r="A22" s="18" t="s">
        <v>57</v>
      </c>
      <c r="B22" s="21"/>
      <c r="C22" s="21"/>
      <c r="D22" s="21"/>
      <c r="E22" s="21"/>
      <c r="F22" s="21"/>
      <c r="G22" s="21"/>
      <c r="H22" s="21"/>
      <c r="I22" s="21"/>
      <c r="J22" s="21">
        <v>1.79</v>
      </c>
      <c r="K22" s="21">
        <v>1.91</v>
      </c>
      <c r="L22" s="21">
        <v>1.91</v>
      </c>
      <c r="M22" s="21">
        <v>1.9</v>
      </c>
    </row>
    <row r="23" spans="1:13">
      <c r="A23" s="18" t="s">
        <v>58</v>
      </c>
      <c r="B23" s="21"/>
      <c r="C23" s="21"/>
      <c r="D23" s="21"/>
      <c r="E23" s="21"/>
      <c r="F23" s="21"/>
      <c r="G23" s="21"/>
      <c r="H23" s="21"/>
      <c r="I23" s="21"/>
      <c r="J23" s="21"/>
      <c r="K23" s="21"/>
      <c r="L23" s="21">
        <v>1.47</v>
      </c>
      <c r="M23" s="21">
        <v>1.8</v>
      </c>
    </row>
    <row r="24" spans="1:13">
      <c r="A24" s="18" t="s">
        <v>59</v>
      </c>
      <c r="B24" s="21"/>
      <c r="C24" s="21"/>
      <c r="D24" s="21"/>
      <c r="E24" s="21"/>
      <c r="F24" s="21">
        <v>1.1100000000000001</v>
      </c>
      <c r="G24" s="21">
        <v>1.3</v>
      </c>
      <c r="H24" s="21">
        <v>2.27</v>
      </c>
      <c r="I24" s="21"/>
      <c r="J24" s="21"/>
      <c r="K24" s="21"/>
      <c r="L24" s="21"/>
      <c r="M24" s="21"/>
    </row>
    <row r="25" spans="1:13">
      <c r="A25" s="18" t="s">
        <v>60</v>
      </c>
      <c r="B25" s="21"/>
      <c r="C25" s="21"/>
      <c r="D25" s="21"/>
      <c r="E25" s="21"/>
      <c r="F25" s="21"/>
      <c r="G25" s="21"/>
      <c r="H25" s="21"/>
      <c r="I25" s="21">
        <v>1.37</v>
      </c>
      <c r="J25" s="21"/>
      <c r="K25" s="21"/>
      <c r="L25" s="21"/>
      <c r="M25" s="21"/>
    </row>
    <row r="26" spans="1:13">
      <c r="A26" s="18" t="s">
        <v>61</v>
      </c>
      <c r="B26" s="21"/>
      <c r="C26" s="21"/>
      <c r="D26" s="21"/>
      <c r="E26" s="21"/>
      <c r="F26" s="21"/>
      <c r="G26" s="21"/>
      <c r="H26" s="21">
        <v>1.3</v>
      </c>
      <c r="I26" s="21"/>
      <c r="J26" s="21"/>
      <c r="K26" s="21"/>
      <c r="L26" s="21"/>
      <c r="M26" s="21"/>
    </row>
    <row r="27" spans="1:13">
      <c r="A27" s="18" t="s">
        <v>62</v>
      </c>
      <c r="B27" s="21">
        <v>1.65</v>
      </c>
      <c r="C27" s="21">
        <v>1.42</v>
      </c>
      <c r="D27" s="21">
        <v>1.04</v>
      </c>
      <c r="E27" s="21">
        <v>1.02</v>
      </c>
      <c r="F27" s="21"/>
      <c r="G27" s="21"/>
      <c r="H27" s="21"/>
      <c r="I27" s="21"/>
      <c r="J27" s="21"/>
      <c r="K27" s="21"/>
      <c r="L27" s="21"/>
      <c r="M27" s="21"/>
    </row>
    <row r="28" spans="1:13">
      <c r="A28" s="18" t="s">
        <v>63</v>
      </c>
      <c r="B28" s="21"/>
      <c r="C28" s="21"/>
      <c r="D28" s="21"/>
      <c r="E28" s="21"/>
      <c r="F28" s="21"/>
      <c r="G28" s="21">
        <v>1.1000000000000001</v>
      </c>
      <c r="H28" s="21"/>
      <c r="I28" s="21"/>
      <c r="J28" s="21"/>
      <c r="K28" s="21"/>
      <c r="L28" s="21"/>
      <c r="M28" s="21"/>
    </row>
    <row r="29" spans="1:13">
      <c r="A29" s="18" t="s">
        <v>64</v>
      </c>
      <c r="B29" s="21"/>
      <c r="C29" s="21"/>
      <c r="D29" s="21"/>
      <c r="E29" s="21"/>
      <c r="F29" s="21"/>
      <c r="G29" s="21"/>
      <c r="H29" s="21"/>
      <c r="I29" s="21"/>
      <c r="J29" s="21"/>
      <c r="K29" s="21"/>
      <c r="L29" s="21"/>
      <c r="M29" s="21">
        <v>1.06</v>
      </c>
    </row>
    <row r="32" spans="1:13">
      <c r="B32" s="27">
        <f>IFERROR(IF((B37/100)&gt;0,B37,"-")/100,"-")</f>
        <v>2.3399999999999997E-4</v>
      </c>
      <c r="C32" s="27" t="str">
        <f t="shared" ref="C32:M32" si="0">IFERROR(IF((C37/100)&gt;0,C37,"-")/100,"-")</f>
        <v>-</v>
      </c>
      <c r="D32" s="27" t="str">
        <f t="shared" si="0"/>
        <v>-</v>
      </c>
      <c r="E32" s="27" t="str">
        <f t="shared" si="0"/>
        <v>-</v>
      </c>
      <c r="F32" s="27" t="str">
        <f t="shared" si="0"/>
        <v>-</v>
      </c>
      <c r="G32" s="27" t="str">
        <f t="shared" si="0"/>
        <v>-</v>
      </c>
      <c r="H32" s="27" t="str">
        <f t="shared" si="0"/>
        <v>-</v>
      </c>
      <c r="I32" s="27" t="str">
        <f t="shared" si="0"/>
        <v>-</v>
      </c>
      <c r="J32" s="27" t="str">
        <f t="shared" si="0"/>
        <v>-</v>
      </c>
      <c r="K32" s="27" t="str">
        <f t="shared" si="0"/>
        <v>-</v>
      </c>
      <c r="L32" s="27" t="str">
        <f t="shared" si="0"/>
        <v>-</v>
      </c>
      <c r="M32" s="27" t="str">
        <f t="shared" si="0"/>
        <v>-</v>
      </c>
    </row>
    <row r="33" spans="1:13">
      <c r="B33" s="29">
        <v>44531</v>
      </c>
    </row>
    <row r="34" spans="1:13">
      <c r="A34" s="22" t="str">
        <f t="shared" ref="A34:A45" si="1">A2</f>
        <v>Date</v>
      </c>
      <c r="B34" s="30">
        <f t="shared" ref="B34:M34" si="2">B2</f>
        <v>44531</v>
      </c>
      <c r="C34" s="30">
        <f>C2</f>
        <v>44621</v>
      </c>
      <c r="D34" s="30">
        <f t="shared" si="2"/>
        <v>44713</v>
      </c>
      <c r="E34" s="30">
        <f t="shared" si="2"/>
        <v>44805</v>
      </c>
      <c r="F34" s="30">
        <f t="shared" si="2"/>
        <v>44896</v>
      </c>
      <c r="G34" s="30">
        <f t="shared" si="2"/>
        <v>44986</v>
      </c>
      <c r="H34" s="30">
        <f t="shared" si="2"/>
        <v>45078</v>
      </c>
      <c r="I34" s="30">
        <f t="shared" si="2"/>
        <v>45170</v>
      </c>
      <c r="J34" s="30">
        <f t="shared" si="2"/>
        <v>45261</v>
      </c>
      <c r="K34" s="30">
        <f t="shared" si="2"/>
        <v>45352</v>
      </c>
      <c r="L34" s="30">
        <f t="shared" si="2"/>
        <v>45444</v>
      </c>
      <c r="M34" s="30">
        <f t="shared" si="2"/>
        <v>45536</v>
      </c>
    </row>
    <row r="35" spans="1:13">
      <c r="A35" s="24" t="str">
        <f t="shared" si="1"/>
        <v>Promoters -</v>
      </c>
      <c r="B35" s="26">
        <f t="shared" ref="B35:M35" si="3">B3</f>
        <v>0.6825</v>
      </c>
      <c r="C35" s="26">
        <f t="shared" si="3"/>
        <v>0.61499999999999999</v>
      </c>
      <c r="D35" s="26">
        <f t="shared" si="3"/>
        <v>0.6149</v>
      </c>
      <c r="E35" s="26">
        <f t="shared" si="3"/>
        <v>0.61480000000000001</v>
      </c>
      <c r="F35" s="26">
        <f t="shared" si="3"/>
        <v>0.62050000000000005</v>
      </c>
      <c r="G35" s="26">
        <f t="shared" si="3"/>
        <v>0.62139999999999995</v>
      </c>
      <c r="H35" s="26">
        <f t="shared" si="3"/>
        <v>0.62119999999999997</v>
      </c>
      <c r="I35" s="26">
        <f t="shared" si="3"/>
        <v>0.621</v>
      </c>
      <c r="J35" s="26">
        <f t="shared" si="3"/>
        <v>0.62070000000000003</v>
      </c>
      <c r="K35" s="26">
        <f t="shared" si="3"/>
        <v>0.62129999999999996</v>
      </c>
      <c r="L35" s="26">
        <f t="shared" si="3"/>
        <v>0.62090000000000001</v>
      </c>
      <c r="M35" s="26">
        <f t="shared" si="3"/>
        <v>0.61870000000000003</v>
      </c>
    </row>
    <row r="36" spans="1:13">
      <c r="A36" s="22" t="str">
        <f t="shared" si="1"/>
        <v>Rising Sun Holdings Pvt Ltd</v>
      </c>
      <c r="B36" s="26">
        <v>0.61520000000000008</v>
      </c>
      <c r="C36" s="26">
        <v>0.61499999999999999</v>
      </c>
      <c r="D36" s="26">
        <v>0.6149</v>
      </c>
      <c r="E36" s="26">
        <v>0.61480000000000001</v>
      </c>
      <c r="F36" s="26">
        <v>0.62049999999999994</v>
      </c>
      <c r="G36" s="26">
        <v>0.62139999999999995</v>
      </c>
      <c r="H36" s="26">
        <v>0.62119999999999997</v>
      </c>
      <c r="I36" s="26">
        <v>0.621</v>
      </c>
      <c r="J36" s="26">
        <v>0.62070000000000003</v>
      </c>
      <c r="K36" s="26">
        <v>0.62130000000000007</v>
      </c>
      <c r="L36" s="26">
        <v>0.62090000000000001</v>
      </c>
      <c r="M36" s="26">
        <v>0.61870000000000003</v>
      </c>
    </row>
    <row r="37" spans="1:13">
      <c r="A37" s="22" t="str">
        <f t="shared" si="1"/>
        <v>Mayank Poddar</v>
      </c>
      <c r="B37" s="26">
        <v>2.3399999999999997E-2</v>
      </c>
      <c r="C37" s="22" t="s">
        <v>66</v>
      </c>
      <c r="D37" s="22" t="s">
        <v>66</v>
      </c>
      <c r="E37" s="22" t="s">
        <v>66</v>
      </c>
      <c r="F37" s="22" t="s">
        <v>66</v>
      </c>
      <c r="G37" s="22" t="s">
        <v>66</v>
      </c>
      <c r="H37" s="22" t="s">
        <v>66</v>
      </c>
      <c r="I37" s="22" t="s">
        <v>66</v>
      </c>
      <c r="J37" s="22" t="s">
        <v>66</v>
      </c>
      <c r="K37" s="22" t="s">
        <v>66</v>
      </c>
      <c r="L37" s="22" t="s">
        <v>66</v>
      </c>
      <c r="M37" s="22" t="s">
        <v>66</v>
      </c>
    </row>
    <row r="38" spans="1:13">
      <c r="A38" s="22" t="str">
        <f t="shared" si="1"/>
        <v>Sanjay Chamria</v>
      </c>
      <c r="B38" s="22">
        <f t="shared" ref="B38:B45" si="4">B6</f>
        <v>2.34</v>
      </c>
      <c r="C38" s="22"/>
      <c r="D38" s="22"/>
      <c r="E38" s="22"/>
      <c r="F38" s="22"/>
      <c r="G38" s="22"/>
      <c r="H38" s="22"/>
      <c r="I38" s="22"/>
      <c r="J38" s="22"/>
      <c r="K38" s="22"/>
      <c r="L38" s="22"/>
      <c r="M38" s="22"/>
    </row>
    <row r="39" spans="1:13">
      <c r="A39" s="22" t="str">
        <f t="shared" si="1"/>
        <v>Microfirm Capital Private Limited</v>
      </c>
      <c r="B39" s="22">
        <f t="shared" si="4"/>
        <v>0.88</v>
      </c>
      <c r="C39" s="22"/>
      <c r="D39" s="22"/>
      <c r="E39" s="22"/>
      <c r="F39" s="22"/>
      <c r="G39" s="22"/>
      <c r="H39" s="22"/>
      <c r="I39" s="22"/>
      <c r="J39" s="22"/>
      <c r="K39" s="22"/>
      <c r="L39" s="22"/>
      <c r="M39" s="22"/>
    </row>
    <row r="40" spans="1:13">
      <c r="A40" s="22" t="str">
        <f t="shared" si="1"/>
        <v>Celica Developers Pvt Ltd</v>
      </c>
      <c r="B40" s="22">
        <f t="shared" si="4"/>
        <v>0.88</v>
      </c>
      <c r="C40" s="22"/>
      <c r="D40" s="22"/>
      <c r="E40" s="22"/>
      <c r="F40" s="22"/>
      <c r="G40" s="22"/>
      <c r="H40" s="22"/>
      <c r="I40" s="22"/>
      <c r="J40" s="22"/>
      <c r="K40" s="22"/>
      <c r="L40" s="22"/>
      <c r="M40" s="22"/>
    </row>
    <row r="41" spans="1:13">
      <c r="A41" s="22" t="str">
        <f t="shared" si="1"/>
        <v>Magma Consumer Finance Pvt Ltd</v>
      </c>
      <c r="B41" s="22">
        <f t="shared" si="4"/>
        <v>0.24</v>
      </c>
      <c r="C41" s="22"/>
      <c r="D41" s="22"/>
      <c r="E41" s="22"/>
      <c r="F41" s="22"/>
      <c r="G41" s="22"/>
      <c r="H41" s="22"/>
      <c r="I41" s="22"/>
      <c r="J41" s="22"/>
      <c r="K41" s="22"/>
      <c r="L41" s="22"/>
      <c r="M41" s="22"/>
    </row>
    <row r="42" spans="1:13">
      <c r="A42" s="22" t="str">
        <f t="shared" si="1"/>
        <v>Mansi Poddar</v>
      </c>
      <c r="B42" s="22">
        <f t="shared" si="4"/>
        <v>0.04</v>
      </c>
      <c r="C42" s="22"/>
      <c r="D42" s="22"/>
      <c r="E42" s="22"/>
      <c r="F42" s="22"/>
      <c r="G42" s="22"/>
      <c r="H42" s="22"/>
      <c r="I42" s="22"/>
      <c r="J42" s="22"/>
      <c r="K42" s="22"/>
      <c r="L42" s="22"/>
      <c r="M42" s="22"/>
    </row>
    <row r="43" spans="1:13">
      <c r="A43" s="22" t="str">
        <f t="shared" si="1"/>
        <v>Shaili Poddar</v>
      </c>
      <c r="B43" s="22">
        <f t="shared" si="4"/>
        <v>0.02</v>
      </c>
      <c r="C43" s="22"/>
      <c r="D43" s="22"/>
      <c r="E43" s="22"/>
      <c r="F43" s="22"/>
      <c r="G43" s="22"/>
      <c r="H43" s="22"/>
      <c r="I43" s="22"/>
      <c r="J43" s="22"/>
      <c r="K43" s="22"/>
      <c r="L43" s="22"/>
      <c r="M43" s="22"/>
    </row>
    <row r="44" spans="1:13">
      <c r="A44" s="22" t="str">
        <f t="shared" si="1"/>
        <v>Kalpana Poddar</v>
      </c>
      <c r="B44" s="22">
        <f t="shared" si="4"/>
        <v>0.01</v>
      </c>
      <c r="C44" s="22"/>
      <c r="D44" s="22"/>
      <c r="E44" s="22"/>
      <c r="F44" s="22"/>
      <c r="G44" s="22"/>
      <c r="H44" s="22"/>
      <c r="I44" s="22"/>
      <c r="J44" s="22"/>
      <c r="K44" s="22"/>
      <c r="L44" s="22"/>
      <c r="M44" s="22"/>
    </row>
    <row r="45" spans="1:13">
      <c r="A45" s="22" t="str">
        <f t="shared" si="1"/>
        <v>Ashita Poddar</v>
      </c>
      <c r="B45" s="22">
        <f t="shared" si="4"/>
        <v>0</v>
      </c>
      <c r="C45" s="22"/>
      <c r="D45" s="22"/>
      <c r="E45" s="22"/>
      <c r="F45" s="22"/>
      <c r="G45" s="22"/>
      <c r="H45" s="22"/>
      <c r="I45" s="22"/>
      <c r="J45" s="22"/>
      <c r="K45" s="22"/>
      <c r="L45" s="22"/>
      <c r="M45" s="22"/>
    </row>
    <row r="46" spans="1:13">
      <c r="A46" s="22" t="str">
        <f t="shared" ref="A46:M46" si="5">A14</f>
        <v>FIIs -</v>
      </c>
      <c r="B46" s="25">
        <f t="shared" si="5"/>
        <v>5.8200000000000002E-2</v>
      </c>
      <c r="C46" s="25">
        <f t="shared" si="5"/>
        <v>6.5799999999999997E-2</v>
      </c>
      <c r="D46" s="25">
        <f t="shared" si="5"/>
        <v>7.3499999999999996E-2</v>
      </c>
      <c r="E46" s="25">
        <f t="shared" si="5"/>
        <v>7.4800000000000005E-2</v>
      </c>
      <c r="F46" s="25">
        <f t="shared" si="5"/>
        <v>7.2999999999999995E-2</v>
      </c>
      <c r="G46" s="25">
        <f t="shared" si="5"/>
        <v>7.1300000000000002E-2</v>
      </c>
      <c r="H46" s="25">
        <f t="shared" si="5"/>
        <v>7.1800000000000003E-2</v>
      </c>
      <c r="I46" s="25">
        <f t="shared" si="5"/>
        <v>7.9100000000000004E-2</v>
      </c>
      <c r="J46" s="25">
        <f t="shared" si="5"/>
        <v>7.7899999999999997E-2</v>
      </c>
      <c r="K46" s="25">
        <f t="shared" si="5"/>
        <v>7.7600000000000002E-2</v>
      </c>
      <c r="L46" s="25">
        <f t="shared" si="5"/>
        <v>7.85E-2</v>
      </c>
      <c r="M46" s="25">
        <f t="shared" si="5"/>
        <v>7.7200000000000005E-2</v>
      </c>
    </row>
    <row r="47" spans="1:13">
      <c r="A47" s="22" t="str">
        <f t="shared" ref="A47:M47" si="6">A15</f>
        <v>Amansa Holdings Private Limited</v>
      </c>
      <c r="B47" s="22">
        <f t="shared" si="6"/>
        <v>3.08</v>
      </c>
      <c r="C47" s="22">
        <f t="shared" si="6"/>
        <v>3.08</v>
      </c>
      <c r="D47" s="22">
        <f t="shared" si="6"/>
        <v>3.06</v>
      </c>
      <c r="E47" s="22">
        <f t="shared" si="6"/>
        <v>3.06</v>
      </c>
      <c r="F47" s="22">
        <f t="shared" si="6"/>
        <v>2.77</v>
      </c>
      <c r="G47" s="22">
        <f t="shared" si="6"/>
        <v>2.65</v>
      </c>
      <c r="H47" s="22">
        <f t="shared" si="6"/>
        <v>2.4700000000000002</v>
      </c>
      <c r="I47" s="22">
        <f t="shared" si="6"/>
        <v>2.36</v>
      </c>
      <c r="J47" s="22">
        <f t="shared" si="6"/>
        <v>2.2200000000000002</v>
      </c>
      <c r="K47" s="22">
        <f t="shared" si="6"/>
        <v>2.2000000000000002</v>
      </c>
      <c r="L47" s="22">
        <f t="shared" si="6"/>
        <v>2.0499999999999998</v>
      </c>
      <c r="M47" s="22">
        <f t="shared" si="6"/>
        <v>2.0699999999999998</v>
      </c>
    </row>
    <row r="48" spans="1:13">
      <c r="A48" s="22" t="str">
        <f t="shared" ref="A48:M48" si="7">A16</f>
        <v>Bank Muscat India Fund</v>
      </c>
      <c r="B48" s="22">
        <f t="shared" si="7"/>
        <v>1.1399999999999999</v>
      </c>
      <c r="C48" s="22">
        <f t="shared" si="7"/>
        <v>1.1399999999999999</v>
      </c>
      <c r="D48" s="22">
        <f t="shared" si="7"/>
        <v>1.1399999999999999</v>
      </c>
      <c r="E48" s="22">
        <f t="shared" si="7"/>
        <v>1.1399999999999999</v>
      </c>
      <c r="F48" s="22">
        <f t="shared" si="7"/>
        <v>1.1399999999999999</v>
      </c>
      <c r="G48" s="22">
        <f t="shared" si="7"/>
        <v>1.1399999999999999</v>
      </c>
      <c r="H48" s="22">
        <f t="shared" si="7"/>
        <v>1.1399999999999999</v>
      </c>
      <c r="I48" s="22">
        <f t="shared" si="7"/>
        <v>1.1399999999999999</v>
      </c>
      <c r="J48" s="22">
        <f t="shared" si="7"/>
        <v>1.1399999999999999</v>
      </c>
      <c r="K48" s="22">
        <f t="shared" si="7"/>
        <v>1.1299999999999999</v>
      </c>
      <c r="L48" s="22">
        <f t="shared" si="7"/>
        <v>1.1299999999999999</v>
      </c>
      <c r="M48" s="22">
        <f t="shared" si="7"/>
        <v>1.1299999999999999</v>
      </c>
    </row>
    <row r="49" spans="1:13">
      <c r="A49" s="22" t="str">
        <f t="shared" ref="A49:M49" si="8">A17</f>
        <v>DIIs -</v>
      </c>
      <c r="B49" s="25">
        <f t="shared" si="8"/>
        <v>6.5500000000000003E-2</v>
      </c>
      <c r="C49" s="25">
        <f t="shared" si="8"/>
        <v>6.2300000000000001E-2</v>
      </c>
      <c r="D49" s="25">
        <f t="shared" si="8"/>
        <v>5.7200000000000001E-2</v>
      </c>
      <c r="E49" s="25">
        <f t="shared" si="8"/>
        <v>5.1400000000000001E-2</v>
      </c>
      <c r="F49" s="25">
        <f t="shared" si="8"/>
        <v>4.4600000000000001E-2</v>
      </c>
      <c r="G49" s="25">
        <f t="shared" si="8"/>
        <v>6.1199999999999997E-2</v>
      </c>
      <c r="H49" s="25">
        <f t="shared" si="8"/>
        <v>7.9899999999999999E-2</v>
      </c>
      <c r="I49" s="25">
        <f t="shared" si="8"/>
        <v>6.9400000000000003E-2</v>
      </c>
      <c r="J49" s="25">
        <f t="shared" si="8"/>
        <v>5.5800000000000002E-2</v>
      </c>
      <c r="K49" s="25">
        <f t="shared" si="8"/>
        <v>5.8099999999999999E-2</v>
      </c>
      <c r="L49" s="25">
        <f t="shared" si="8"/>
        <v>6.7699999999999996E-2</v>
      </c>
      <c r="M49" s="25">
        <f t="shared" si="8"/>
        <v>9.6299999999999997E-2</v>
      </c>
    </row>
    <row r="50" spans="1:13">
      <c r="A50" s="22" t="str">
        <f t="shared" ref="A50:M50" si="9">A18</f>
        <v>Sbi Life Insurance Co. Ltd</v>
      </c>
      <c r="B50" s="22">
        <f t="shared" si="9"/>
        <v>0</v>
      </c>
      <c r="C50" s="22">
        <f t="shared" si="9"/>
        <v>0</v>
      </c>
      <c r="D50" s="22">
        <f t="shared" si="9"/>
        <v>0</v>
      </c>
      <c r="E50" s="22">
        <f t="shared" si="9"/>
        <v>0</v>
      </c>
      <c r="F50" s="22">
        <f t="shared" si="9"/>
        <v>0</v>
      </c>
      <c r="G50" s="22">
        <f t="shared" si="9"/>
        <v>0</v>
      </c>
      <c r="H50" s="22">
        <f t="shared" si="9"/>
        <v>0</v>
      </c>
      <c r="I50" s="22">
        <f t="shared" si="9"/>
        <v>0</v>
      </c>
      <c r="J50" s="22">
        <f t="shared" si="9"/>
        <v>0</v>
      </c>
      <c r="K50" s="22">
        <f t="shared" si="9"/>
        <v>0</v>
      </c>
      <c r="L50" s="22">
        <f t="shared" si="9"/>
        <v>0</v>
      </c>
      <c r="M50" s="22">
        <f t="shared" si="9"/>
        <v>2.66</v>
      </c>
    </row>
    <row r="51" spans="1:13">
      <c r="A51" s="22" t="str">
        <f t="shared" ref="A51:M51" si="10">A19</f>
        <v>Nippon Life India Trustee Ltd- A/C Nippo</v>
      </c>
      <c r="B51" s="22">
        <f t="shared" si="10"/>
        <v>2.5099999999999998</v>
      </c>
      <c r="C51" s="22">
        <f t="shared" si="10"/>
        <v>2.4700000000000002</v>
      </c>
      <c r="D51" s="22">
        <f t="shared" si="10"/>
        <v>2.44</v>
      </c>
      <c r="E51" s="22">
        <f t="shared" si="10"/>
        <v>2.63</v>
      </c>
      <c r="F51" s="22">
        <f t="shared" si="10"/>
        <v>0</v>
      </c>
      <c r="G51" s="22">
        <f t="shared" si="10"/>
        <v>0</v>
      </c>
      <c r="H51" s="22">
        <f t="shared" si="10"/>
        <v>0</v>
      </c>
      <c r="I51" s="22">
        <f t="shared" si="10"/>
        <v>0</v>
      </c>
      <c r="J51" s="22">
        <f t="shared" si="10"/>
        <v>0</v>
      </c>
      <c r="K51" s="22">
        <f t="shared" si="10"/>
        <v>0</v>
      </c>
      <c r="L51" s="22">
        <f t="shared" si="10"/>
        <v>0</v>
      </c>
      <c r="M51" s="22">
        <f t="shared" si="10"/>
        <v>0</v>
      </c>
    </row>
    <row r="52" spans="1:13">
      <c r="A52" s="22" t="str">
        <f t="shared" ref="A52:M52" si="11">A20</f>
        <v>Aditya Birla Sun Life Trustee Private Limited A/C</v>
      </c>
      <c r="B52" s="22">
        <f t="shared" si="11"/>
        <v>0</v>
      </c>
      <c r="C52" s="22">
        <f t="shared" si="11"/>
        <v>0</v>
      </c>
      <c r="D52" s="22">
        <f t="shared" si="11"/>
        <v>0</v>
      </c>
      <c r="E52" s="22">
        <f t="shared" si="11"/>
        <v>0</v>
      </c>
      <c r="F52" s="22">
        <f t="shared" si="11"/>
        <v>0</v>
      </c>
      <c r="G52" s="22">
        <f t="shared" si="11"/>
        <v>0</v>
      </c>
      <c r="H52" s="22">
        <f t="shared" si="11"/>
        <v>0</v>
      </c>
      <c r="I52" s="22">
        <f t="shared" si="11"/>
        <v>2.2999999999999998</v>
      </c>
      <c r="J52" s="22">
        <f t="shared" si="11"/>
        <v>0</v>
      </c>
      <c r="K52" s="22">
        <f t="shared" si="11"/>
        <v>0</v>
      </c>
      <c r="L52" s="22">
        <f t="shared" si="11"/>
        <v>0</v>
      </c>
      <c r="M52" s="22">
        <f t="shared" si="11"/>
        <v>0</v>
      </c>
    </row>
    <row r="53" spans="1:13">
      <c r="A53" s="22" t="str">
        <f t="shared" ref="A53:M53" si="12">A21</f>
        <v>Nippon Life India Trustee Ltd-A/C Nippon India Sma...</v>
      </c>
      <c r="B53" s="22">
        <f t="shared" si="12"/>
        <v>0</v>
      </c>
      <c r="C53" s="22">
        <f t="shared" si="12"/>
        <v>0</v>
      </c>
      <c r="D53" s="22">
        <f t="shared" si="12"/>
        <v>0</v>
      </c>
      <c r="E53" s="22">
        <f t="shared" si="12"/>
        <v>0</v>
      </c>
      <c r="F53" s="22">
        <f t="shared" si="12"/>
        <v>1.9</v>
      </c>
      <c r="G53" s="22">
        <f t="shared" si="12"/>
        <v>2.2799999999999998</v>
      </c>
      <c r="H53" s="22">
        <f t="shared" si="12"/>
        <v>1.92</v>
      </c>
      <c r="I53" s="22">
        <f t="shared" si="12"/>
        <v>0</v>
      </c>
      <c r="J53" s="22">
        <f t="shared" si="12"/>
        <v>0</v>
      </c>
      <c r="K53" s="22">
        <f t="shared" si="12"/>
        <v>0</v>
      </c>
      <c r="L53" s="22">
        <f t="shared" si="12"/>
        <v>0</v>
      </c>
      <c r="M53" s="22">
        <f t="shared" si="12"/>
        <v>0</v>
      </c>
    </row>
    <row r="54" spans="1:13">
      <c r="A54" s="22" t="str">
        <f t="shared" ref="A54:M54" si="13">A22</f>
        <v>Quant Mutual Fund - Quant Mid Cap Fund</v>
      </c>
      <c r="B54" s="22">
        <f t="shared" si="13"/>
        <v>0</v>
      </c>
      <c r="C54" s="22">
        <f t="shared" si="13"/>
        <v>0</v>
      </c>
      <c r="D54" s="22">
        <f t="shared" si="13"/>
        <v>0</v>
      </c>
      <c r="E54" s="22">
        <f t="shared" si="13"/>
        <v>0</v>
      </c>
      <c r="F54" s="22">
        <f t="shared" si="13"/>
        <v>0</v>
      </c>
      <c r="G54" s="22">
        <f t="shared" si="13"/>
        <v>0</v>
      </c>
      <c r="H54" s="22">
        <f t="shared" si="13"/>
        <v>0</v>
      </c>
      <c r="I54" s="22">
        <f t="shared" si="13"/>
        <v>0</v>
      </c>
      <c r="J54" s="22">
        <f t="shared" si="13"/>
        <v>1.79</v>
      </c>
      <c r="K54" s="22">
        <f t="shared" si="13"/>
        <v>1.91</v>
      </c>
      <c r="L54" s="22">
        <f t="shared" si="13"/>
        <v>1.91</v>
      </c>
      <c r="M54" s="22">
        <f t="shared" si="13"/>
        <v>1.9</v>
      </c>
    </row>
    <row r="55" spans="1:13">
      <c r="A55" s="22" t="str">
        <f t="shared" ref="A55:M55" si="14">A23</f>
        <v>Life Insurance Corporation Of India</v>
      </c>
      <c r="B55" s="22">
        <f t="shared" si="14"/>
        <v>0</v>
      </c>
      <c r="C55" s="22">
        <f t="shared" si="14"/>
        <v>0</v>
      </c>
      <c r="D55" s="22">
        <f t="shared" si="14"/>
        <v>0</v>
      </c>
      <c r="E55" s="22">
        <f t="shared" si="14"/>
        <v>0</v>
      </c>
      <c r="F55" s="22">
        <f t="shared" si="14"/>
        <v>0</v>
      </c>
      <c r="G55" s="22">
        <f t="shared" si="14"/>
        <v>0</v>
      </c>
      <c r="H55" s="22">
        <f t="shared" si="14"/>
        <v>0</v>
      </c>
      <c r="I55" s="22">
        <f t="shared" si="14"/>
        <v>0</v>
      </c>
      <c r="J55" s="22">
        <f t="shared" si="14"/>
        <v>0</v>
      </c>
      <c r="K55" s="22">
        <f t="shared" si="14"/>
        <v>0</v>
      </c>
      <c r="L55" s="22">
        <f t="shared" si="14"/>
        <v>1.47</v>
      </c>
      <c r="M55" s="22">
        <f t="shared" si="14"/>
        <v>1.8</v>
      </c>
    </row>
    <row r="56" spans="1:13">
      <c r="A56" s="22" t="str">
        <f t="shared" ref="A56:M56" si="15">A24</f>
        <v>Aditya Birla Sun Life Trustee Private Limited A/C ...</v>
      </c>
      <c r="B56" s="22">
        <f t="shared" si="15"/>
        <v>0</v>
      </c>
      <c r="C56" s="22">
        <f t="shared" si="15"/>
        <v>0</v>
      </c>
      <c r="D56" s="22">
        <f t="shared" si="15"/>
        <v>0</v>
      </c>
      <c r="E56" s="22">
        <f t="shared" si="15"/>
        <v>0</v>
      </c>
      <c r="F56" s="22">
        <f t="shared" si="15"/>
        <v>1.1100000000000001</v>
      </c>
      <c r="G56" s="22">
        <f t="shared" si="15"/>
        <v>1.3</v>
      </c>
      <c r="H56" s="22">
        <f t="shared" si="15"/>
        <v>2.27</v>
      </c>
      <c r="I56" s="22">
        <f t="shared" si="15"/>
        <v>0</v>
      </c>
      <c r="J56" s="22">
        <f t="shared" si="15"/>
        <v>0</v>
      </c>
      <c r="K56" s="22">
        <f t="shared" si="15"/>
        <v>0</v>
      </c>
      <c r="L56" s="22">
        <f t="shared" si="15"/>
        <v>0</v>
      </c>
      <c r="M56" s="22">
        <f t="shared" si="15"/>
        <v>0</v>
      </c>
    </row>
    <row r="57" spans="1:13">
      <c r="A57" s="22" t="str">
        <f t="shared" ref="A57:M57" si="16">A25</f>
        <v>Nippon Life India Trustee Ltd-A/C</v>
      </c>
      <c r="B57" s="22">
        <f t="shared" si="16"/>
        <v>0</v>
      </c>
      <c r="C57" s="22">
        <f t="shared" si="16"/>
        <v>0</v>
      </c>
      <c r="D57" s="22">
        <f t="shared" si="16"/>
        <v>0</v>
      </c>
      <c r="E57" s="22">
        <f t="shared" si="16"/>
        <v>0</v>
      </c>
      <c r="F57" s="22">
        <f t="shared" si="16"/>
        <v>0</v>
      </c>
      <c r="G57" s="22">
        <f t="shared" si="16"/>
        <v>0</v>
      </c>
      <c r="H57" s="22">
        <f t="shared" si="16"/>
        <v>0</v>
      </c>
      <c r="I57" s="22">
        <f t="shared" si="16"/>
        <v>1.37</v>
      </c>
      <c r="J57" s="22">
        <f t="shared" si="16"/>
        <v>0</v>
      </c>
      <c r="K57" s="22">
        <f t="shared" si="16"/>
        <v>0</v>
      </c>
      <c r="L57" s="22">
        <f t="shared" si="16"/>
        <v>0</v>
      </c>
      <c r="M57" s="22">
        <f t="shared" si="16"/>
        <v>0</v>
      </c>
    </row>
    <row r="58" spans="1:13">
      <c r="A58" s="22" t="str">
        <f t="shared" ref="A58:M58" si="17">A26</f>
        <v>Max Life Insurance Company Limited A/C - Ulif01108...</v>
      </c>
      <c r="B58" s="22">
        <f t="shared" si="17"/>
        <v>0</v>
      </c>
      <c r="C58" s="22">
        <f t="shared" si="17"/>
        <v>0</v>
      </c>
      <c r="D58" s="22">
        <f t="shared" si="17"/>
        <v>0</v>
      </c>
      <c r="E58" s="22">
        <f t="shared" si="17"/>
        <v>0</v>
      </c>
      <c r="F58" s="22">
        <f t="shared" si="17"/>
        <v>0</v>
      </c>
      <c r="G58" s="22">
        <f t="shared" si="17"/>
        <v>0</v>
      </c>
      <c r="H58" s="22">
        <f t="shared" si="17"/>
        <v>1.3</v>
      </c>
      <c r="I58" s="22">
        <f t="shared" si="17"/>
        <v>0</v>
      </c>
      <c r="J58" s="22">
        <f t="shared" si="17"/>
        <v>0</v>
      </c>
      <c r="K58" s="22">
        <f t="shared" si="17"/>
        <v>0</v>
      </c>
      <c r="L58" s="22">
        <f t="shared" si="17"/>
        <v>0</v>
      </c>
      <c r="M58" s="22">
        <f t="shared" si="17"/>
        <v>0</v>
      </c>
    </row>
    <row r="59" spans="1:13">
      <c r="A59" s="22" t="str">
        <f t="shared" ref="A59:M59" si="18">A27</f>
        <v>Aditya Birla Sun Life Trustee Private Limited</v>
      </c>
      <c r="B59" s="22">
        <f t="shared" si="18"/>
        <v>1.65</v>
      </c>
      <c r="C59" s="22">
        <f t="shared" si="18"/>
        <v>1.42</v>
      </c>
      <c r="D59" s="22">
        <f t="shared" si="18"/>
        <v>1.04</v>
      </c>
      <c r="E59" s="22">
        <f t="shared" si="18"/>
        <v>1.02</v>
      </c>
      <c r="F59" s="22">
        <f t="shared" si="18"/>
        <v>0</v>
      </c>
      <c r="G59" s="22">
        <f t="shared" si="18"/>
        <v>0</v>
      </c>
      <c r="H59" s="22">
        <f t="shared" si="18"/>
        <v>0</v>
      </c>
      <c r="I59" s="22">
        <f t="shared" si="18"/>
        <v>0</v>
      </c>
      <c r="J59" s="22">
        <f t="shared" si="18"/>
        <v>0</v>
      </c>
      <c r="K59" s="22">
        <f t="shared" si="18"/>
        <v>0</v>
      </c>
      <c r="L59" s="22">
        <f t="shared" si="18"/>
        <v>0</v>
      </c>
      <c r="M59" s="22">
        <f t="shared" si="18"/>
        <v>0</v>
      </c>
    </row>
    <row r="60" spans="1:13">
      <c r="A60" s="22" t="str">
        <f t="shared" ref="A60:M60" si="19">A28</f>
        <v>Max Life Insurance Co Ltd A/C Participating Fund</v>
      </c>
      <c r="B60" s="22">
        <f t="shared" si="19"/>
        <v>0</v>
      </c>
      <c r="C60" s="22">
        <f t="shared" si="19"/>
        <v>0</v>
      </c>
      <c r="D60" s="22">
        <f t="shared" si="19"/>
        <v>0</v>
      </c>
      <c r="E60" s="22">
        <f t="shared" si="19"/>
        <v>0</v>
      </c>
      <c r="F60" s="22">
        <f t="shared" si="19"/>
        <v>0</v>
      </c>
      <c r="G60" s="22">
        <f t="shared" si="19"/>
        <v>1.1000000000000001</v>
      </c>
      <c r="H60" s="22">
        <f t="shared" si="19"/>
        <v>0</v>
      </c>
      <c r="I60" s="22">
        <f t="shared" si="19"/>
        <v>0</v>
      </c>
      <c r="J60" s="22">
        <f t="shared" si="19"/>
        <v>0</v>
      </c>
      <c r="K60" s="22">
        <f t="shared" si="19"/>
        <v>0</v>
      </c>
      <c r="L60" s="22">
        <f t="shared" si="19"/>
        <v>0</v>
      </c>
      <c r="M60" s="22">
        <f t="shared" si="19"/>
        <v>0</v>
      </c>
    </row>
    <row r="61" spans="1:13">
      <c r="A61" s="22" t="str">
        <f t="shared" ref="A61:M61" si="20">A29</f>
        <v>Bandhan Sterling Value Fund</v>
      </c>
      <c r="B61" s="22">
        <f t="shared" si="20"/>
        <v>0</v>
      </c>
      <c r="C61" s="22">
        <f t="shared" si="20"/>
        <v>0</v>
      </c>
      <c r="D61" s="22">
        <f t="shared" si="20"/>
        <v>0</v>
      </c>
      <c r="E61" s="22">
        <f t="shared" si="20"/>
        <v>0</v>
      </c>
      <c r="F61" s="22">
        <f t="shared" si="20"/>
        <v>0</v>
      </c>
      <c r="G61" s="22">
        <f t="shared" si="20"/>
        <v>0</v>
      </c>
      <c r="H61" s="22">
        <f t="shared" si="20"/>
        <v>0</v>
      </c>
      <c r="I61" s="22">
        <f t="shared" si="20"/>
        <v>0</v>
      </c>
      <c r="J61" s="22">
        <f t="shared" si="20"/>
        <v>0</v>
      </c>
      <c r="K61" s="22">
        <f t="shared" si="20"/>
        <v>0</v>
      </c>
      <c r="L61" s="22">
        <f t="shared" si="20"/>
        <v>0</v>
      </c>
      <c r="M61" s="22">
        <f t="shared" si="20"/>
        <v>1.06</v>
      </c>
    </row>
    <row r="62" spans="1:13">
      <c r="A62" s="22"/>
      <c r="B62" s="22"/>
      <c r="C62" s="22"/>
      <c r="D62" s="22"/>
      <c r="E62" s="22"/>
      <c r="F62" s="22"/>
      <c r="G62" s="22"/>
      <c r="H62" s="22"/>
      <c r="I62" s="22"/>
      <c r="J62" s="22"/>
      <c r="K62" s="22"/>
      <c r="L62" s="22"/>
      <c r="M62" s="22"/>
    </row>
    <row r="63" spans="1:13">
      <c r="A63" s="88" t="s">
        <v>218</v>
      </c>
      <c r="B63" s="88" t="s">
        <v>187</v>
      </c>
      <c r="C63" s="88" t="s">
        <v>188</v>
      </c>
      <c r="D63" s="88" t="s">
        <v>189</v>
      </c>
      <c r="E63" s="88" t="s">
        <v>219</v>
      </c>
      <c r="F63" s="88" t="s">
        <v>220</v>
      </c>
      <c r="G63" s="88" t="s">
        <v>221</v>
      </c>
      <c r="H63" s="88" t="s">
        <v>222</v>
      </c>
      <c r="I63" s="88" t="s">
        <v>223</v>
      </c>
      <c r="J63" s="88" t="s">
        <v>224</v>
      </c>
      <c r="K63" s="88" t="s">
        <v>225</v>
      </c>
      <c r="L63" s="88" t="s">
        <v>226</v>
      </c>
      <c r="M63" s="88" t="s">
        <v>227</v>
      </c>
    </row>
    <row r="64" spans="1:13">
      <c r="A64" s="23" t="str">
        <f>A34</f>
        <v>Date</v>
      </c>
      <c r="B64" s="30">
        <f>B34</f>
        <v>44531</v>
      </c>
      <c r="C64" s="30">
        <f t="shared" ref="C64:M64" si="21">C34</f>
        <v>44621</v>
      </c>
      <c r="D64" s="30">
        <f t="shared" si="21"/>
        <v>44713</v>
      </c>
      <c r="E64" s="30">
        <f t="shared" si="21"/>
        <v>44805</v>
      </c>
      <c r="F64" s="30">
        <f t="shared" si="21"/>
        <v>44896</v>
      </c>
      <c r="G64" s="30">
        <f t="shared" si="21"/>
        <v>44986</v>
      </c>
      <c r="H64" s="30">
        <f t="shared" si="21"/>
        <v>45078</v>
      </c>
      <c r="I64" s="30">
        <f t="shared" si="21"/>
        <v>45170</v>
      </c>
      <c r="J64" s="30">
        <f t="shared" si="21"/>
        <v>45261</v>
      </c>
      <c r="K64" s="30">
        <f t="shared" si="21"/>
        <v>45352</v>
      </c>
      <c r="L64" s="30">
        <f t="shared" si="21"/>
        <v>45444</v>
      </c>
      <c r="M64" s="30">
        <f t="shared" si="21"/>
        <v>45536</v>
      </c>
    </row>
    <row r="65" spans="1:13">
      <c r="A65" s="25" t="str">
        <f t="shared" ref="A65:M65" si="22">A36</f>
        <v>Rising Sun Holdings Pvt Ltd</v>
      </c>
      <c r="B65" s="25">
        <f t="shared" si="22"/>
        <v>0.61520000000000008</v>
      </c>
      <c r="C65" s="25">
        <f t="shared" si="22"/>
        <v>0.61499999999999999</v>
      </c>
      <c r="D65" s="25">
        <f t="shared" si="22"/>
        <v>0.6149</v>
      </c>
      <c r="E65" s="25">
        <f t="shared" si="22"/>
        <v>0.61480000000000001</v>
      </c>
      <c r="F65" s="25">
        <f t="shared" si="22"/>
        <v>0.62049999999999994</v>
      </c>
      <c r="G65" s="25">
        <f t="shared" si="22"/>
        <v>0.62139999999999995</v>
      </c>
      <c r="H65" s="25">
        <f t="shared" si="22"/>
        <v>0.62119999999999997</v>
      </c>
      <c r="I65" s="25">
        <f t="shared" si="22"/>
        <v>0.621</v>
      </c>
      <c r="J65" s="25">
        <f t="shared" si="22"/>
        <v>0.62070000000000003</v>
      </c>
      <c r="K65" s="25">
        <f t="shared" si="22"/>
        <v>0.62130000000000007</v>
      </c>
      <c r="L65" s="25">
        <f t="shared" si="22"/>
        <v>0.62090000000000001</v>
      </c>
      <c r="M65" s="25">
        <f t="shared" si="22"/>
        <v>0.61870000000000003</v>
      </c>
    </row>
    <row r="66" spans="1:13">
      <c r="A66" s="25" t="str">
        <f t="shared" ref="A66:M66" si="23">A37</f>
        <v>Mayank Poddar</v>
      </c>
      <c r="B66" s="25">
        <f t="shared" si="23"/>
        <v>2.3399999999999997E-2</v>
      </c>
      <c r="C66" s="25" t="str">
        <f t="shared" si="23"/>
        <v>-</v>
      </c>
      <c r="D66" s="25" t="str">
        <f t="shared" si="23"/>
        <v>-</v>
      </c>
      <c r="E66" s="25" t="str">
        <f t="shared" si="23"/>
        <v>-</v>
      </c>
      <c r="F66" s="25" t="str">
        <f t="shared" si="23"/>
        <v>-</v>
      </c>
      <c r="G66" s="25" t="str">
        <f t="shared" si="23"/>
        <v>-</v>
      </c>
      <c r="H66" s="25" t="str">
        <f t="shared" si="23"/>
        <v>-</v>
      </c>
      <c r="I66" s="25" t="str">
        <f t="shared" si="23"/>
        <v>-</v>
      </c>
      <c r="J66" s="25" t="str">
        <f t="shared" si="23"/>
        <v>-</v>
      </c>
      <c r="K66" s="25" t="str">
        <f t="shared" si="23"/>
        <v>-</v>
      </c>
      <c r="L66" s="25" t="str">
        <f t="shared" si="23"/>
        <v>-</v>
      </c>
      <c r="M66" s="25" t="str">
        <f t="shared" si="23"/>
        <v>-</v>
      </c>
    </row>
    <row r="67" spans="1:13">
      <c r="A67" s="22" t="str">
        <f t="shared" ref="A67:A74" si="24">A38</f>
        <v>Sanjay Chamria</v>
      </c>
      <c r="B67" s="26">
        <f t="shared" ref="B67:B74" si="25">IFERROR(B38/100,"-")</f>
        <v>2.3399999999999997E-2</v>
      </c>
      <c r="C67" s="26">
        <f t="shared" ref="C67:M67" si="26">IFERROR(C38/100,"-")</f>
        <v>0</v>
      </c>
      <c r="D67" s="26">
        <f t="shared" si="26"/>
        <v>0</v>
      </c>
      <c r="E67" s="26">
        <f t="shared" si="26"/>
        <v>0</v>
      </c>
      <c r="F67" s="26">
        <f t="shared" si="26"/>
        <v>0</v>
      </c>
      <c r="G67" s="26">
        <f t="shared" si="26"/>
        <v>0</v>
      </c>
      <c r="H67" s="26">
        <f t="shared" si="26"/>
        <v>0</v>
      </c>
      <c r="I67" s="26">
        <f t="shared" si="26"/>
        <v>0</v>
      </c>
      <c r="J67" s="26">
        <f t="shared" si="26"/>
        <v>0</v>
      </c>
      <c r="K67" s="26">
        <f t="shared" si="26"/>
        <v>0</v>
      </c>
      <c r="L67" s="26">
        <f t="shared" si="26"/>
        <v>0</v>
      </c>
      <c r="M67" s="26">
        <f t="shared" si="26"/>
        <v>0</v>
      </c>
    </row>
    <row r="68" spans="1:13">
      <c r="A68" s="22" t="str">
        <f t="shared" si="24"/>
        <v>Microfirm Capital Private Limited</v>
      </c>
      <c r="B68" s="26">
        <f t="shared" si="25"/>
        <v>8.8000000000000005E-3</v>
      </c>
      <c r="C68" s="26">
        <f t="shared" ref="C68:M68" si="27">IFERROR(C39/100,"-")</f>
        <v>0</v>
      </c>
      <c r="D68" s="26">
        <f t="shared" si="27"/>
        <v>0</v>
      </c>
      <c r="E68" s="26">
        <f t="shared" si="27"/>
        <v>0</v>
      </c>
      <c r="F68" s="26">
        <f t="shared" si="27"/>
        <v>0</v>
      </c>
      <c r="G68" s="26">
        <f t="shared" si="27"/>
        <v>0</v>
      </c>
      <c r="H68" s="26">
        <f t="shared" si="27"/>
        <v>0</v>
      </c>
      <c r="I68" s="26">
        <f t="shared" si="27"/>
        <v>0</v>
      </c>
      <c r="J68" s="26">
        <f t="shared" si="27"/>
        <v>0</v>
      </c>
      <c r="K68" s="26">
        <f t="shared" si="27"/>
        <v>0</v>
      </c>
      <c r="L68" s="26">
        <f t="shared" si="27"/>
        <v>0</v>
      </c>
      <c r="M68" s="26">
        <f t="shared" si="27"/>
        <v>0</v>
      </c>
    </row>
    <row r="69" spans="1:13">
      <c r="A69" s="22" t="str">
        <f t="shared" si="24"/>
        <v>Celica Developers Pvt Ltd</v>
      </c>
      <c r="B69" s="26">
        <f t="shared" si="25"/>
        <v>8.8000000000000005E-3</v>
      </c>
      <c r="C69" s="26">
        <f t="shared" ref="C69:M69" si="28">IFERROR(C40/100,"-")</f>
        <v>0</v>
      </c>
      <c r="D69" s="26">
        <f t="shared" si="28"/>
        <v>0</v>
      </c>
      <c r="E69" s="26">
        <f t="shared" si="28"/>
        <v>0</v>
      </c>
      <c r="F69" s="26">
        <f t="shared" si="28"/>
        <v>0</v>
      </c>
      <c r="G69" s="26">
        <f t="shared" si="28"/>
        <v>0</v>
      </c>
      <c r="H69" s="26">
        <f t="shared" si="28"/>
        <v>0</v>
      </c>
      <c r="I69" s="26">
        <f t="shared" si="28"/>
        <v>0</v>
      </c>
      <c r="J69" s="26">
        <f t="shared" si="28"/>
        <v>0</v>
      </c>
      <c r="K69" s="26">
        <f t="shared" si="28"/>
        <v>0</v>
      </c>
      <c r="L69" s="26">
        <f t="shared" si="28"/>
        <v>0</v>
      </c>
      <c r="M69" s="26">
        <f t="shared" si="28"/>
        <v>0</v>
      </c>
    </row>
    <row r="70" spans="1:13">
      <c r="A70" s="22" t="str">
        <f t="shared" si="24"/>
        <v>Magma Consumer Finance Pvt Ltd</v>
      </c>
      <c r="B70" s="26">
        <f t="shared" si="25"/>
        <v>2.3999999999999998E-3</v>
      </c>
      <c r="C70" s="26">
        <f t="shared" ref="C70:M70" si="29">IFERROR(C41/100,"-")</f>
        <v>0</v>
      </c>
      <c r="D70" s="26">
        <f t="shared" si="29"/>
        <v>0</v>
      </c>
      <c r="E70" s="26">
        <f t="shared" si="29"/>
        <v>0</v>
      </c>
      <c r="F70" s="26">
        <f t="shared" si="29"/>
        <v>0</v>
      </c>
      <c r="G70" s="26">
        <f t="shared" si="29"/>
        <v>0</v>
      </c>
      <c r="H70" s="26">
        <f t="shared" si="29"/>
        <v>0</v>
      </c>
      <c r="I70" s="26">
        <f t="shared" si="29"/>
        <v>0</v>
      </c>
      <c r="J70" s="26">
        <f t="shared" si="29"/>
        <v>0</v>
      </c>
      <c r="K70" s="26">
        <f t="shared" si="29"/>
        <v>0</v>
      </c>
      <c r="L70" s="26">
        <f t="shared" si="29"/>
        <v>0</v>
      </c>
      <c r="M70" s="26">
        <f t="shared" si="29"/>
        <v>0</v>
      </c>
    </row>
    <row r="71" spans="1:13">
      <c r="A71" s="22" t="str">
        <f t="shared" si="24"/>
        <v>Mansi Poddar</v>
      </c>
      <c r="B71" s="26">
        <f t="shared" si="25"/>
        <v>4.0000000000000002E-4</v>
      </c>
      <c r="C71" s="26">
        <f t="shared" ref="C71:M71" si="30">IFERROR(C42/100,"-")</f>
        <v>0</v>
      </c>
      <c r="D71" s="26">
        <f t="shared" si="30"/>
        <v>0</v>
      </c>
      <c r="E71" s="26">
        <f t="shared" si="30"/>
        <v>0</v>
      </c>
      <c r="F71" s="26">
        <f t="shared" si="30"/>
        <v>0</v>
      </c>
      <c r="G71" s="26">
        <f t="shared" si="30"/>
        <v>0</v>
      </c>
      <c r="H71" s="26">
        <f t="shared" si="30"/>
        <v>0</v>
      </c>
      <c r="I71" s="26">
        <f t="shared" si="30"/>
        <v>0</v>
      </c>
      <c r="J71" s="26">
        <f t="shared" si="30"/>
        <v>0</v>
      </c>
      <c r="K71" s="26">
        <f t="shared" si="30"/>
        <v>0</v>
      </c>
      <c r="L71" s="26">
        <f t="shared" si="30"/>
        <v>0</v>
      </c>
      <c r="M71" s="26">
        <f t="shared" si="30"/>
        <v>0</v>
      </c>
    </row>
    <row r="72" spans="1:13">
      <c r="A72" s="22" t="str">
        <f t="shared" si="24"/>
        <v>Shaili Poddar</v>
      </c>
      <c r="B72" s="26">
        <f t="shared" si="25"/>
        <v>2.0000000000000001E-4</v>
      </c>
      <c r="C72" s="26">
        <f t="shared" ref="C72:M72" si="31">IFERROR(C43/100,"-")</f>
        <v>0</v>
      </c>
      <c r="D72" s="26">
        <f t="shared" si="31"/>
        <v>0</v>
      </c>
      <c r="E72" s="26">
        <f t="shared" si="31"/>
        <v>0</v>
      </c>
      <c r="F72" s="26">
        <f t="shared" si="31"/>
        <v>0</v>
      </c>
      <c r="G72" s="26">
        <f t="shared" si="31"/>
        <v>0</v>
      </c>
      <c r="H72" s="26">
        <f t="shared" si="31"/>
        <v>0</v>
      </c>
      <c r="I72" s="26">
        <f t="shared" si="31"/>
        <v>0</v>
      </c>
      <c r="J72" s="26">
        <f t="shared" si="31"/>
        <v>0</v>
      </c>
      <c r="K72" s="26">
        <f t="shared" si="31"/>
        <v>0</v>
      </c>
      <c r="L72" s="26">
        <f t="shared" si="31"/>
        <v>0</v>
      </c>
      <c r="M72" s="26">
        <f t="shared" si="31"/>
        <v>0</v>
      </c>
    </row>
    <row r="73" spans="1:13">
      <c r="A73" s="22" t="str">
        <f t="shared" si="24"/>
        <v>Kalpana Poddar</v>
      </c>
      <c r="B73" s="26">
        <f t="shared" si="25"/>
        <v>1E-4</v>
      </c>
      <c r="C73" s="26">
        <f t="shared" ref="C73:M73" si="32">IFERROR(C44/100,"-")</f>
        <v>0</v>
      </c>
      <c r="D73" s="26">
        <f t="shared" si="32"/>
        <v>0</v>
      </c>
      <c r="E73" s="26">
        <f t="shared" si="32"/>
        <v>0</v>
      </c>
      <c r="F73" s="26">
        <f t="shared" si="32"/>
        <v>0</v>
      </c>
      <c r="G73" s="26">
        <f t="shared" si="32"/>
        <v>0</v>
      </c>
      <c r="H73" s="26">
        <f t="shared" si="32"/>
        <v>0</v>
      </c>
      <c r="I73" s="26">
        <f t="shared" si="32"/>
        <v>0</v>
      </c>
      <c r="J73" s="26">
        <f t="shared" si="32"/>
        <v>0</v>
      </c>
      <c r="K73" s="26">
        <f t="shared" si="32"/>
        <v>0</v>
      </c>
      <c r="L73" s="26">
        <f t="shared" si="32"/>
        <v>0</v>
      </c>
      <c r="M73" s="26">
        <f t="shared" si="32"/>
        <v>0</v>
      </c>
    </row>
    <row r="74" spans="1:13">
      <c r="A74" s="22" t="str">
        <f t="shared" si="24"/>
        <v>Ashita Poddar</v>
      </c>
      <c r="B74" s="26">
        <f t="shared" si="25"/>
        <v>0</v>
      </c>
      <c r="C74" s="26">
        <f t="shared" ref="C74:M74" si="33">IFERROR(C45/100,"-")</f>
        <v>0</v>
      </c>
      <c r="D74" s="26">
        <f t="shared" si="33"/>
        <v>0</v>
      </c>
      <c r="E74" s="26">
        <f t="shared" si="33"/>
        <v>0</v>
      </c>
      <c r="F74" s="26">
        <f t="shared" si="33"/>
        <v>0</v>
      </c>
      <c r="G74" s="26">
        <f t="shared" si="33"/>
        <v>0</v>
      </c>
      <c r="H74" s="26">
        <f t="shared" si="33"/>
        <v>0</v>
      </c>
      <c r="I74" s="26">
        <f t="shared" si="33"/>
        <v>0</v>
      </c>
      <c r="J74" s="26">
        <f t="shared" si="33"/>
        <v>0</v>
      </c>
      <c r="K74" s="26">
        <f t="shared" si="33"/>
        <v>0</v>
      </c>
      <c r="L74" s="26">
        <f t="shared" si="33"/>
        <v>0</v>
      </c>
      <c r="M74" s="26">
        <f t="shared" si="33"/>
        <v>0</v>
      </c>
    </row>
    <row r="75" spans="1:13">
      <c r="A75" s="22" t="str">
        <f>A47</f>
        <v>Amansa Holdings Private Limited</v>
      </c>
      <c r="B75" s="26">
        <f>IFERROR(B47/100,"-")</f>
        <v>3.0800000000000001E-2</v>
      </c>
      <c r="C75" s="26">
        <f t="shared" ref="C75:M75" si="34">IFERROR(C47/100,"-")</f>
        <v>3.0800000000000001E-2</v>
      </c>
      <c r="D75" s="26">
        <f t="shared" si="34"/>
        <v>3.0600000000000002E-2</v>
      </c>
      <c r="E75" s="26">
        <f t="shared" si="34"/>
        <v>3.0600000000000002E-2</v>
      </c>
      <c r="F75" s="26">
        <f t="shared" si="34"/>
        <v>2.7699999999999999E-2</v>
      </c>
      <c r="G75" s="26">
        <f t="shared" si="34"/>
        <v>2.6499999999999999E-2</v>
      </c>
      <c r="H75" s="26">
        <f t="shared" si="34"/>
        <v>2.4700000000000003E-2</v>
      </c>
      <c r="I75" s="26">
        <f t="shared" si="34"/>
        <v>2.3599999999999999E-2</v>
      </c>
      <c r="J75" s="26">
        <f t="shared" si="34"/>
        <v>2.2200000000000001E-2</v>
      </c>
      <c r="K75" s="26">
        <f t="shared" si="34"/>
        <v>2.2000000000000002E-2</v>
      </c>
      <c r="L75" s="26">
        <f t="shared" si="34"/>
        <v>2.0499999999999997E-2</v>
      </c>
      <c r="M75" s="26">
        <f t="shared" si="34"/>
        <v>2.07E-2</v>
      </c>
    </row>
    <row r="76" spans="1:13">
      <c r="A76" s="22" t="str">
        <f>A48</f>
        <v>Bank Muscat India Fund</v>
      </c>
      <c r="B76" s="26">
        <f>IFERROR(B48/100,"-")</f>
        <v>1.1399999999999999E-2</v>
      </c>
      <c r="C76" s="26">
        <f t="shared" ref="C76:M76" si="35">IFERROR(C48/100,"-")</f>
        <v>1.1399999999999999E-2</v>
      </c>
      <c r="D76" s="26">
        <f t="shared" si="35"/>
        <v>1.1399999999999999E-2</v>
      </c>
      <c r="E76" s="26">
        <f t="shared" si="35"/>
        <v>1.1399999999999999E-2</v>
      </c>
      <c r="F76" s="26">
        <f t="shared" si="35"/>
        <v>1.1399999999999999E-2</v>
      </c>
      <c r="G76" s="26">
        <f t="shared" si="35"/>
        <v>1.1399999999999999E-2</v>
      </c>
      <c r="H76" s="26">
        <f t="shared" si="35"/>
        <v>1.1399999999999999E-2</v>
      </c>
      <c r="I76" s="26">
        <f t="shared" si="35"/>
        <v>1.1399999999999999E-2</v>
      </c>
      <c r="J76" s="26">
        <f t="shared" si="35"/>
        <v>1.1399999999999999E-2</v>
      </c>
      <c r="K76" s="26">
        <f t="shared" si="35"/>
        <v>1.1299999999999999E-2</v>
      </c>
      <c r="L76" s="26">
        <f t="shared" si="35"/>
        <v>1.1299999999999999E-2</v>
      </c>
      <c r="M76" s="26">
        <f t="shared" si="35"/>
        <v>1.1299999999999999E-2</v>
      </c>
    </row>
    <row r="77" spans="1:13">
      <c r="A77" s="22" t="str">
        <f t="shared" ref="A77:A88" si="36">A50</f>
        <v>Sbi Life Insurance Co. Ltd</v>
      </c>
      <c r="B77" s="26">
        <f t="shared" ref="B77:M77" si="37">IFERROR(B50/100,"-")</f>
        <v>0</v>
      </c>
      <c r="C77" s="26">
        <f t="shared" si="37"/>
        <v>0</v>
      </c>
      <c r="D77" s="26">
        <f t="shared" si="37"/>
        <v>0</v>
      </c>
      <c r="E77" s="26">
        <f t="shared" si="37"/>
        <v>0</v>
      </c>
      <c r="F77" s="26">
        <f t="shared" si="37"/>
        <v>0</v>
      </c>
      <c r="G77" s="26">
        <f t="shared" si="37"/>
        <v>0</v>
      </c>
      <c r="H77" s="26">
        <f t="shared" si="37"/>
        <v>0</v>
      </c>
      <c r="I77" s="26">
        <f t="shared" si="37"/>
        <v>0</v>
      </c>
      <c r="J77" s="26">
        <f t="shared" si="37"/>
        <v>0</v>
      </c>
      <c r="K77" s="26">
        <f t="shared" si="37"/>
        <v>0</v>
      </c>
      <c r="L77" s="26">
        <f t="shared" si="37"/>
        <v>0</v>
      </c>
      <c r="M77" s="26">
        <f t="shared" si="37"/>
        <v>2.6600000000000002E-2</v>
      </c>
    </row>
    <row r="78" spans="1:13">
      <c r="A78" s="22" t="str">
        <f t="shared" si="36"/>
        <v>Nippon Life India Trustee Ltd- A/C Nippo</v>
      </c>
      <c r="B78" s="26">
        <f t="shared" ref="B78:M78" si="38">IFERROR(B51/100,"-")</f>
        <v>2.5099999999999997E-2</v>
      </c>
      <c r="C78" s="26">
        <f t="shared" si="38"/>
        <v>2.4700000000000003E-2</v>
      </c>
      <c r="D78" s="26">
        <f t="shared" si="38"/>
        <v>2.4399999999999998E-2</v>
      </c>
      <c r="E78" s="26">
        <f t="shared" si="38"/>
        <v>2.63E-2</v>
      </c>
      <c r="F78" s="26">
        <f t="shared" si="38"/>
        <v>0</v>
      </c>
      <c r="G78" s="26">
        <f t="shared" si="38"/>
        <v>0</v>
      </c>
      <c r="H78" s="26">
        <f t="shared" si="38"/>
        <v>0</v>
      </c>
      <c r="I78" s="26">
        <f t="shared" si="38"/>
        <v>0</v>
      </c>
      <c r="J78" s="26">
        <f t="shared" si="38"/>
        <v>0</v>
      </c>
      <c r="K78" s="26">
        <f t="shared" si="38"/>
        <v>0</v>
      </c>
      <c r="L78" s="26">
        <f t="shared" si="38"/>
        <v>0</v>
      </c>
      <c r="M78" s="26">
        <f t="shared" si="38"/>
        <v>0</v>
      </c>
    </row>
    <row r="79" spans="1:13">
      <c r="A79" s="22" t="str">
        <f t="shared" si="36"/>
        <v>Aditya Birla Sun Life Trustee Private Limited A/C</v>
      </c>
      <c r="B79" s="26">
        <f t="shared" ref="B79:M79" si="39">IFERROR(B52/100,"-")</f>
        <v>0</v>
      </c>
      <c r="C79" s="26">
        <f t="shared" si="39"/>
        <v>0</v>
      </c>
      <c r="D79" s="26">
        <f t="shared" si="39"/>
        <v>0</v>
      </c>
      <c r="E79" s="26">
        <f t="shared" si="39"/>
        <v>0</v>
      </c>
      <c r="F79" s="26">
        <f t="shared" si="39"/>
        <v>0</v>
      </c>
      <c r="G79" s="26">
        <f t="shared" si="39"/>
        <v>0</v>
      </c>
      <c r="H79" s="26">
        <f t="shared" si="39"/>
        <v>0</v>
      </c>
      <c r="I79" s="26">
        <f t="shared" si="39"/>
        <v>2.3E-2</v>
      </c>
      <c r="J79" s="26">
        <f t="shared" si="39"/>
        <v>0</v>
      </c>
      <c r="K79" s="26">
        <f t="shared" si="39"/>
        <v>0</v>
      </c>
      <c r="L79" s="26">
        <f t="shared" si="39"/>
        <v>0</v>
      </c>
      <c r="M79" s="26">
        <f t="shared" si="39"/>
        <v>0</v>
      </c>
    </row>
    <row r="80" spans="1:13">
      <c r="A80" s="22" t="str">
        <f t="shared" si="36"/>
        <v>Nippon Life India Trustee Ltd-A/C Nippon India Sma...</v>
      </c>
      <c r="B80" s="26">
        <f t="shared" ref="B80:M80" si="40">IFERROR(B53/100,"-")</f>
        <v>0</v>
      </c>
      <c r="C80" s="26">
        <f t="shared" si="40"/>
        <v>0</v>
      </c>
      <c r="D80" s="26">
        <f t="shared" si="40"/>
        <v>0</v>
      </c>
      <c r="E80" s="26">
        <f t="shared" si="40"/>
        <v>0</v>
      </c>
      <c r="F80" s="26">
        <f t="shared" si="40"/>
        <v>1.9E-2</v>
      </c>
      <c r="G80" s="26">
        <f t="shared" si="40"/>
        <v>2.2799999999999997E-2</v>
      </c>
      <c r="H80" s="26">
        <f t="shared" si="40"/>
        <v>1.9199999999999998E-2</v>
      </c>
      <c r="I80" s="26">
        <f t="shared" si="40"/>
        <v>0</v>
      </c>
      <c r="J80" s="26">
        <f t="shared" si="40"/>
        <v>0</v>
      </c>
      <c r="K80" s="26">
        <f t="shared" si="40"/>
        <v>0</v>
      </c>
      <c r="L80" s="26">
        <f t="shared" si="40"/>
        <v>0</v>
      </c>
      <c r="M80" s="26">
        <f t="shared" si="40"/>
        <v>0</v>
      </c>
    </row>
    <row r="81" spans="1:13">
      <c r="A81" s="22" t="str">
        <f t="shared" si="36"/>
        <v>Quant Mutual Fund - Quant Mid Cap Fund</v>
      </c>
      <c r="B81" s="26">
        <f t="shared" ref="B81:M81" si="41">IFERROR(B54/100,"-")</f>
        <v>0</v>
      </c>
      <c r="C81" s="26">
        <f t="shared" si="41"/>
        <v>0</v>
      </c>
      <c r="D81" s="26">
        <f t="shared" si="41"/>
        <v>0</v>
      </c>
      <c r="E81" s="26">
        <f t="shared" si="41"/>
        <v>0</v>
      </c>
      <c r="F81" s="26">
        <f t="shared" si="41"/>
        <v>0</v>
      </c>
      <c r="G81" s="26">
        <f t="shared" si="41"/>
        <v>0</v>
      </c>
      <c r="H81" s="26">
        <f t="shared" si="41"/>
        <v>0</v>
      </c>
      <c r="I81" s="26">
        <f t="shared" si="41"/>
        <v>0</v>
      </c>
      <c r="J81" s="26">
        <f t="shared" si="41"/>
        <v>1.7899999999999999E-2</v>
      </c>
      <c r="K81" s="26">
        <f t="shared" si="41"/>
        <v>1.9099999999999999E-2</v>
      </c>
      <c r="L81" s="26">
        <f t="shared" si="41"/>
        <v>1.9099999999999999E-2</v>
      </c>
      <c r="M81" s="26">
        <f t="shared" si="41"/>
        <v>1.9E-2</v>
      </c>
    </row>
    <row r="82" spans="1:13">
      <c r="A82" s="22" t="str">
        <f t="shared" si="36"/>
        <v>Life Insurance Corporation Of India</v>
      </c>
      <c r="B82" s="26">
        <f t="shared" ref="B82:M82" si="42">IFERROR(B55/100,"-")</f>
        <v>0</v>
      </c>
      <c r="C82" s="26">
        <f t="shared" si="42"/>
        <v>0</v>
      </c>
      <c r="D82" s="26">
        <f t="shared" si="42"/>
        <v>0</v>
      </c>
      <c r="E82" s="26">
        <f t="shared" si="42"/>
        <v>0</v>
      </c>
      <c r="F82" s="26">
        <f t="shared" si="42"/>
        <v>0</v>
      </c>
      <c r="G82" s="26">
        <f t="shared" si="42"/>
        <v>0</v>
      </c>
      <c r="H82" s="26">
        <f t="shared" si="42"/>
        <v>0</v>
      </c>
      <c r="I82" s="26">
        <f t="shared" si="42"/>
        <v>0</v>
      </c>
      <c r="J82" s="26">
        <f t="shared" si="42"/>
        <v>0</v>
      </c>
      <c r="K82" s="26">
        <f t="shared" si="42"/>
        <v>0</v>
      </c>
      <c r="L82" s="26">
        <f t="shared" si="42"/>
        <v>1.47E-2</v>
      </c>
      <c r="M82" s="26">
        <f t="shared" si="42"/>
        <v>1.8000000000000002E-2</v>
      </c>
    </row>
    <row r="83" spans="1:13">
      <c r="A83" s="22" t="str">
        <f t="shared" si="36"/>
        <v>Aditya Birla Sun Life Trustee Private Limited A/C ...</v>
      </c>
      <c r="B83" s="26">
        <f t="shared" ref="B83:M83" si="43">IFERROR(B56/100,"-")</f>
        <v>0</v>
      </c>
      <c r="C83" s="26">
        <f t="shared" si="43"/>
        <v>0</v>
      </c>
      <c r="D83" s="26">
        <f t="shared" si="43"/>
        <v>0</v>
      </c>
      <c r="E83" s="26">
        <f t="shared" si="43"/>
        <v>0</v>
      </c>
      <c r="F83" s="26">
        <f t="shared" si="43"/>
        <v>1.11E-2</v>
      </c>
      <c r="G83" s="26">
        <f t="shared" si="43"/>
        <v>1.3000000000000001E-2</v>
      </c>
      <c r="H83" s="26">
        <f t="shared" si="43"/>
        <v>2.2700000000000001E-2</v>
      </c>
      <c r="I83" s="26">
        <f t="shared" si="43"/>
        <v>0</v>
      </c>
      <c r="J83" s="26">
        <f t="shared" si="43"/>
        <v>0</v>
      </c>
      <c r="K83" s="26">
        <f t="shared" si="43"/>
        <v>0</v>
      </c>
      <c r="L83" s="26">
        <f t="shared" si="43"/>
        <v>0</v>
      </c>
      <c r="M83" s="26">
        <f t="shared" si="43"/>
        <v>0</v>
      </c>
    </row>
    <row r="84" spans="1:13">
      <c r="A84" s="22" t="str">
        <f t="shared" si="36"/>
        <v>Nippon Life India Trustee Ltd-A/C</v>
      </c>
      <c r="B84" s="26">
        <f t="shared" ref="B84:M84" si="44">IFERROR(B57/100,"-")</f>
        <v>0</v>
      </c>
      <c r="C84" s="26">
        <f t="shared" si="44"/>
        <v>0</v>
      </c>
      <c r="D84" s="26">
        <f t="shared" si="44"/>
        <v>0</v>
      </c>
      <c r="E84" s="26">
        <f t="shared" si="44"/>
        <v>0</v>
      </c>
      <c r="F84" s="26">
        <f t="shared" si="44"/>
        <v>0</v>
      </c>
      <c r="G84" s="26">
        <f t="shared" si="44"/>
        <v>0</v>
      </c>
      <c r="H84" s="26">
        <f t="shared" si="44"/>
        <v>0</v>
      </c>
      <c r="I84" s="26">
        <f t="shared" si="44"/>
        <v>1.37E-2</v>
      </c>
      <c r="J84" s="26">
        <f t="shared" si="44"/>
        <v>0</v>
      </c>
      <c r="K84" s="26">
        <f t="shared" si="44"/>
        <v>0</v>
      </c>
      <c r="L84" s="26">
        <f t="shared" si="44"/>
        <v>0</v>
      </c>
      <c r="M84" s="26">
        <f t="shared" si="44"/>
        <v>0</v>
      </c>
    </row>
    <row r="85" spans="1:13">
      <c r="A85" s="22" t="str">
        <f t="shared" si="36"/>
        <v>Max Life Insurance Company Limited A/C - Ulif01108...</v>
      </c>
      <c r="B85" s="26">
        <f t="shared" ref="B85:M85" si="45">IFERROR(B58/100,"-")</f>
        <v>0</v>
      </c>
      <c r="C85" s="26">
        <f t="shared" si="45"/>
        <v>0</v>
      </c>
      <c r="D85" s="26">
        <f t="shared" si="45"/>
        <v>0</v>
      </c>
      <c r="E85" s="26">
        <f t="shared" si="45"/>
        <v>0</v>
      </c>
      <c r="F85" s="26">
        <f t="shared" si="45"/>
        <v>0</v>
      </c>
      <c r="G85" s="26">
        <f t="shared" si="45"/>
        <v>0</v>
      </c>
      <c r="H85" s="26">
        <f t="shared" si="45"/>
        <v>1.3000000000000001E-2</v>
      </c>
      <c r="I85" s="26">
        <f t="shared" si="45"/>
        <v>0</v>
      </c>
      <c r="J85" s="26">
        <f t="shared" si="45"/>
        <v>0</v>
      </c>
      <c r="K85" s="26">
        <f t="shared" si="45"/>
        <v>0</v>
      </c>
      <c r="L85" s="26">
        <f t="shared" si="45"/>
        <v>0</v>
      </c>
      <c r="M85" s="26">
        <f t="shared" si="45"/>
        <v>0</v>
      </c>
    </row>
    <row r="86" spans="1:13">
      <c r="A86" s="22" t="str">
        <f t="shared" si="36"/>
        <v>Aditya Birla Sun Life Trustee Private Limited</v>
      </c>
      <c r="B86" s="26">
        <f t="shared" ref="B86:M86" si="46">IFERROR(B59/100,"-")</f>
        <v>1.6500000000000001E-2</v>
      </c>
      <c r="C86" s="26">
        <f t="shared" si="46"/>
        <v>1.4199999999999999E-2</v>
      </c>
      <c r="D86" s="26">
        <f t="shared" si="46"/>
        <v>1.04E-2</v>
      </c>
      <c r="E86" s="26">
        <f t="shared" si="46"/>
        <v>1.0200000000000001E-2</v>
      </c>
      <c r="F86" s="26">
        <f t="shared" si="46"/>
        <v>0</v>
      </c>
      <c r="G86" s="26">
        <f t="shared" si="46"/>
        <v>0</v>
      </c>
      <c r="H86" s="26">
        <f t="shared" si="46"/>
        <v>0</v>
      </c>
      <c r="I86" s="26">
        <f t="shared" si="46"/>
        <v>0</v>
      </c>
      <c r="J86" s="26">
        <f t="shared" si="46"/>
        <v>0</v>
      </c>
      <c r="K86" s="26">
        <f t="shared" si="46"/>
        <v>0</v>
      </c>
      <c r="L86" s="26">
        <f t="shared" si="46"/>
        <v>0</v>
      </c>
      <c r="M86" s="26">
        <f t="shared" si="46"/>
        <v>0</v>
      </c>
    </row>
    <row r="87" spans="1:13">
      <c r="A87" s="22" t="str">
        <f t="shared" si="36"/>
        <v>Max Life Insurance Co Ltd A/C Participating Fund</v>
      </c>
      <c r="B87" s="26">
        <f t="shared" ref="B87:M87" si="47">IFERROR(B60/100,"-")</f>
        <v>0</v>
      </c>
      <c r="C87" s="26">
        <f t="shared" si="47"/>
        <v>0</v>
      </c>
      <c r="D87" s="26">
        <f t="shared" si="47"/>
        <v>0</v>
      </c>
      <c r="E87" s="26">
        <f t="shared" si="47"/>
        <v>0</v>
      </c>
      <c r="F87" s="26">
        <f t="shared" si="47"/>
        <v>0</v>
      </c>
      <c r="G87" s="26">
        <f t="shared" si="47"/>
        <v>1.1000000000000001E-2</v>
      </c>
      <c r="H87" s="26">
        <f t="shared" si="47"/>
        <v>0</v>
      </c>
      <c r="I87" s="26">
        <f t="shared" si="47"/>
        <v>0</v>
      </c>
      <c r="J87" s="26">
        <f t="shared" si="47"/>
        <v>0</v>
      </c>
      <c r="K87" s="26">
        <f t="shared" si="47"/>
        <v>0</v>
      </c>
      <c r="L87" s="26">
        <f t="shared" si="47"/>
        <v>0</v>
      </c>
      <c r="M87" s="26">
        <f t="shared" si="47"/>
        <v>0</v>
      </c>
    </row>
    <row r="88" spans="1:13">
      <c r="A88" s="22" t="str">
        <f t="shared" si="36"/>
        <v>Bandhan Sterling Value Fund</v>
      </c>
      <c r="B88" s="26">
        <f t="shared" ref="B88:M88" si="48">IFERROR(B61/100,"-")</f>
        <v>0</v>
      </c>
      <c r="C88" s="26">
        <f t="shared" si="48"/>
        <v>0</v>
      </c>
      <c r="D88" s="26">
        <f t="shared" si="48"/>
        <v>0</v>
      </c>
      <c r="E88" s="26">
        <f t="shared" si="48"/>
        <v>0</v>
      </c>
      <c r="F88" s="26">
        <f t="shared" si="48"/>
        <v>0</v>
      </c>
      <c r="G88" s="26">
        <f t="shared" si="48"/>
        <v>0</v>
      </c>
      <c r="H88" s="26">
        <f t="shared" si="48"/>
        <v>0</v>
      </c>
      <c r="I88" s="26">
        <f t="shared" si="48"/>
        <v>0</v>
      </c>
      <c r="J88" s="26">
        <f t="shared" si="48"/>
        <v>0</v>
      </c>
      <c r="K88" s="26">
        <f t="shared" si="48"/>
        <v>0</v>
      </c>
      <c r="L88" s="26">
        <f t="shared" si="48"/>
        <v>0</v>
      </c>
      <c r="M88" s="26">
        <f t="shared" si="48"/>
        <v>1.06E-2</v>
      </c>
    </row>
    <row r="91" spans="1:13">
      <c r="A91" s="158">
        <v>2021</v>
      </c>
      <c r="B91" s="89" t="s">
        <v>0</v>
      </c>
      <c r="D91">
        <v>1</v>
      </c>
    </row>
    <row r="92" spans="1:13">
      <c r="A92" s="25">
        <f>'Imp Ratios'!B42</f>
        <v>0.61499999999999999</v>
      </c>
      <c r="B92" s="28" t="str">
        <f>A65</f>
        <v>Rising Sun Holdings Pvt Ltd</v>
      </c>
      <c r="D92">
        <v>2</v>
      </c>
    </row>
    <row r="93" spans="1:13">
      <c r="A93" s="25">
        <f>'Imp Ratios'!B43</f>
        <v>3.0800000000000001E-2</v>
      </c>
      <c r="B93" s="120" t="str">
        <f>A75</f>
        <v>Amansa Holdings Private Limited</v>
      </c>
      <c r="D93">
        <v>3</v>
      </c>
    </row>
    <row r="94" spans="1:13">
      <c r="A94" s="25">
        <f>'Imp Ratios'!B44</f>
        <v>2.4700000000000003E-2</v>
      </c>
      <c r="B94" s="120" t="str">
        <f>A78</f>
        <v>Nippon Life India Trustee Ltd- A/C Nippo</v>
      </c>
      <c r="D94">
        <v>4</v>
      </c>
    </row>
    <row r="95" spans="1:13">
      <c r="A95" s="25">
        <f>'Imp Ratios'!B45</f>
        <v>1.4199999999999999E-2</v>
      </c>
      <c r="B95" s="120" t="str">
        <f>A86</f>
        <v>Aditya Birla Sun Life Trustee Private Limited</v>
      </c>
      <c r="D95">
        <v>5</v>
      </c>
    </row>
    <row r="96" spans="1:13">
      <c r="A96" s="25">
        <f>'Imp Ratios'!B46</f>
        <v>1.1399999999999999E-2</v>
      </c>
      <c r="B96" s="120" t="str">
        <f>A76</f>
        <v>Bank Muscat India Fund</v>
      </c>
    </row>
    <row r="97" spans="1:2">
      <c r="A97" s="159">
        <v>2022</v>
      </c>
      <c r="B97" s="159" t="s">
        <v>0</v>
      </c>
    </row>
    <row r="98" spans="1:2">
      <c r="A98" s="25">
        <f>LARGE($G$65:$G$88,VLOOKUP($D91,$D$91:$D$95,1))</f>
        <v>0.62139999999999995</v>
      </c>
      <c r="B98" s="28" t="str">
        <f>A65</f>
        <v>Rising Sun Holdings Pvt Ltd</v>
      </c>
    </row>
    <row r="99" spans="1:2">
      <c r="A99" s="25">
        <f>LARGE($G$65:$G$88,VLOOKUP($D92,$D$91:$D$95,1))</f>
        <v>2.6499999999999999E-2</v>
      </c>
      <c r="B99" s="120" t="str">
        <f>A75</f>
        <v>Amansa Holdings Private Limited</v>
      </c>
    </row>
    <row r="100" spans="1:2">
      <c r="A100" s="25">
        <f>LARGE($G$65:$G$88,VLOOKUP($D93,$D$91:$D$95,1))</f>
        <v>2.2799999999999997E-2</v>
      </c>
      <c r="B100" s="120" t="str">
        <f>A78</f>
        <v>Nippon Life India Trustee Ltd- A/C Nippo</v>
      </c>
    </row>
    <row r="101" spans="1:2">
      <c r="A101" s="25">
        <f>LARGE($G$65:$G$88,VLOOKUP($D94,$D$91:$D$95,1))</f>
        <v>1.3000000000000001E-2</v>
      </c>
      <c r="B101" s="120" t="str">
        <f>B95</f>
        <v>Aditya Birla Sun Life Trustee Private Limited</v>
      </c>
    </row>
    <row r="102" spans="1:2">
      <c r="A102" s="25">
        <f>LARGE($G$65:$G$88,VLOOKUP($D95,$D$91:$D$95,1))</f>
        <v>1.1399999999999999E-2</v>
      </c>
      <c r="B102" s="120" t="str">
        <f>A76</f>
        <v>Bank Muscat India Fund</v>
      </c>
    </row>
    <row r="103" spans="1:2">
      <c r="A103" s="159">
        <v>2023</v>
      </c>
      <c r="B103" s="159" t="s">
        <v>0</v>
      </c>
    </row>
    <row r="104" spans="1:2">
      <c r="A104" s="25">
        <f>LARGE($K$65:$K$88,VLOOKUP($D91,$D$91:$D$95,1))</f>
        <v>0.62130000000000007</v>
      </c>
      <c r="B104" s="28" t="str">
        <f>B92</f>
        <v>Rising Sun Holdings Pvt Ltd</v>
      </c>
    </row>
    <row r="105" spans="1:2">
      <c r="A105" s="25">
        <f>LARGE($K$65:$K$88,VLOOKUP($D92,$D$91:$D$95,1))</f>
        <v>2.2000000000000002E-2</v>
      </c>
      <c r="B105" s="120" t="str">
        <f>B93</f>
        <v>Amansa Holdings Private Limited</v>
      </c>
    </row>
    <row r="106" spans="1:2">
      <c r="A106" s="25">
        <f>LARGE($K$65:$K$88,VLOOKUP($D93,$D$91:$D$95,1))</f>
        <v>1.9099999999999999E-2</v>
      </c>
      <c r="B106" s="120" t="str">
        <f>A81</f>
        <v>Quant Mutual Fund - Quant Mid Cap Fund</v>
      </c>
    </row>
    <row r="107" spans="1:2">
      <c r="A107" s="25">
        <f>LARGE($K$65:$K$88,VLOOKUP($D94,$D$91:$D$95,1))</f>
        <v>1.1299999999999999E-2</v>
      </c>
      <c r="B107" s="120" t="str">
        <f>A76</f>
        <v>Bank Muscat India Fund</v>
      </c>
    </row>
    <row r="108" spans="1:2">
      <c r="A108" s="26"/>
    </row>
    <row r="109" spans="1:2">
      <c r="A109" s="25"/>
    </row>
  </sheetData>
  <hyperlinks>
    <hyperlink ref="A4" r:id="rId1" display="https://www.screener.in/people/47887/rising-sun-holdings-pvt-ltd/"/>
    <hyperlink ref="A5" r:id="rId2" display="https://www.screener.in/people/47888/mayank-poddar/"/>
    <hyperlink ref="A6" r:id="rId3" display="https://www.screener.in/people/47889/sanjay-chamria/"/>
    <hyperlink ref="A7" r:id="rId4" display="https://www.screener.in/people/47865/microfirm-capital-private-limited/"/>
    <hyperlink ref="A8" r:id="rId5" display="https://www.screener.in/people/47866/celica-developers-pvt-ltd/"/>
    <hyperlink ref="A9" r:id="rId6" display="https://www.screener.in/people/47884/magma-consumer-finance-pvt-ltd/"/>
    <hyperlink ref="A10" r:id="rId7" display="https://www.screener.in/people/47873/mansi-poddar/"/>
    <hyperlink ref="A11" r:id="rId8" display="https://www.screener.in/people/47874/shaili-poddar/"/>
    <hyperlink ref="A12" r:id="rId9" display="https://www.screener.in/people/47875/kalpana-poddar/"/>
    <hyperlink ref="A13" r:id="rId10" display="https://www.screener.in/people/47876/ashita-poddar/"/>
    <hyperlink ref="A15" r:id="rId11" display="https://www.screener.in/people/74548/amansa-holdings-private-limited/"/>
    <hyperlink ref="A16" r:id="rId12" display="https://www.screener.in/people/245/bank-muscat-india-fund/"/>
    <hyperlink ref="A18" r:id="rId13" display="https://www.screener.in/people/8915/sbi-life-insurance-co-ltd/"/>
    <hyperlink ref="A19" r:id="rId14" display="https://www.screener.in/people/4532/nippon-life-india-trustee-ltd-ac-nippo/"/>
    <hyperlink ref="A20" r:id="rId15" display="https://www.screener.in/people/95523/aditya-birla-sun-life-trustee-private-limited-ac/"/>
    <hyperlink ref="A21" r:id="rId16" display="https://www.screener.in/people/124021/nippon-life-india-trustee-ltd-ac-nippon-india-small-cap-fund/"/>
    <hyperlink ref="A22" r:id="rId17" display="https://www.screener.in/people/40363/quant-mutual-fund-quant-mid-cap-fund/"/>
    <hyperlink ref="A23" r:id="rId18" display="https://www.screener.in/people/123150/life-insurance-corporation-of-india/"/>
    <hyperlink ref="A24" r:id="rId19" display="https://www.screener.in/people/25755/aditya-birla-sun-life-trustee-private-limited-ac-aditya-birla-sun-life-banking-and-financial-services-fund/"/>
    <hyperlink ref="A25" r:id="rId20" display="https://www.screener.in/people/37249/nippon-life-india-trustee-ltd-ac/"/>
    <hyperlink ref="A26" r:id="rId21" display="https://www.screener.in/people/19333/max-life-insurance-company-limited-ac-ulif011080207lifegrwsup104-growth-super-fund/"/>
    <hyperlink ref="A27" r:id="rId22" display="https://www.screener.in/people/47890/aditya-birla-sun-life-trustee-private-limited/"/>
    <hyperlink ref="A28" r:id="rId23" display="https://www.screener.in/people/24724/max-life-insurance-co-ltd-ac-participating-fund/"/>
    <hyperlink ref="A29" r:id="rId24" display="https://www.screener.in/people/131505/bandhan-sterling-value-fund/"/>
  </hyperlinks>
  <pageMargins left="0.7" right="0.7" top="0.75" bottom="0.75" header="0.3" footer="0.3"/>
  <tableParts count="1">
    <tablePart r:id="rId2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1"/>
  <sheetViews>
    <sheetView topLeftCell="A105" workbookViewId="0">
      <selection activeCell="Q11" sqref="Q11"/>
    </sheetView>
  </sheetViews>
  <sheetFormatPr defaultRowHeight="14.4"/>
  <cols>
    <col min="1" max="1" width="31.77734375" bestFit="1" customWidth="1"/>
    <col min="2" max="2" width="10.6640625" bestFit="1" customWidth="1"/>
    <col min="3" max="4" width="10.5546875" bestFit="1" customWidth="1"/>
    <col min="5" max="5" width="9.6640625" bestFit="1" customWidth="1"/>
    <col min="6" max="11" width="10.6640625" bestFit="1" customWidth="1"/>
  </cols>
  <sheetData>
    <row r="1" spans="1:11">
      <c r="A1" s="32" t="s">
        <v>68</v>
      </c>
    </row>
    <row r="2" spans="1:11" ht="15.6">
      <c r="A2" s="33" t="s">
        <v>5</v>
      </c>
      <c r="B2" s="57">
        <v>42094</v>
      </c>
      <c r="C2" s="57">
        <v>42460</v>
      </c>
      <c r="D2" s="57">
        <v>42825</v>
      </c>
      <c r="E2" s="57">
        <v>43190</v>
      </c>
      <c r="F2" s="57">
        <v>43555</v>
      </c>
      <c r="G2" s="57">
        <v>43921</v>
      </c>
      <c r="H2" s="57">
        <v>44286</v>
      </c>
      <c r="I2" s="57">
        <v>44651</v>
      </c>
      <c r="J2" s="57">
        <v>45016</v>
      </c>
      <c r="K2" s="57">
        <v>45382</v>
      </c>
    </row>
    <row r="3" spans="1:11">
      <c r="A3" s="34" t="s">
        <v>69</v>
      </c>
      <c r="B3" s="34">
        <v>2029.94</v>
      </c>
      <c r="C3" s="34">
        <v>2120.0700000000002</v>
      </c>
      <c r="D3" s="35">
        <v>1992.57</v>
      </c>
      <c r="E3" s="35">
        <v>2063.1799999999998</v>
      </c>
      <c r="F3" s="35">
        <v>2233.6</v>
      </c>
      <c r="G3" s="35">
        <v>2177.5500000000002</v>
      </c>
      <c r="H3" s="35">
        <v>1848.73</v>
      </c>
      <c r="I3" s="35">
        <v>1536.22</v>
      </c>
      <c r="J3" s="35">
        <v>2192.54</v>
      </c>
      <c r="K3" s="35">
        <v>5827.15</v>
      </c>
    </row>
    <row r="4" spans="1:11">
      <c r="A4" s="36" t="s">
        <v>70</v>
      </c>
      <c r="B4" s="37" t="s">
        <v>66</v>
      </c>
      <c r="C4" s="38">
        <v>4.4400327103264199E-2</v>
      </c>
      <c r="D4" s="38">
        <v>-6.0139523694972441E-2</v>
      </c>
      <c r="E4" s="38">
        <v>3.5436647144140521E-2</v>
      </c>
      <c r="F4" s="38">
        <v>8.2600645605327649E-2</v>
      </c>
      <c r="G4" s="38">
        <v>-2.5094018624641667E-2</v>
      </c>
      <c r="H4" s="38">
        <v>-0.15100456935546835</v>
      </c>
      <c r="I4" s="38">
        <v>-0.16904036825280055</v>
      </c>
      <c r="J4" s="38">
        <v>0.42723047480178611</v>
      </c>
      <c r="K4" s="38">
        <v>1.6577166209054339</v>
      </c>
    </row>
    <row r="6" spans="1:11">
      <c r="A6" s="34" t="s">
        <v>71</v>
      </c>
      <c r="B6" s="39">
        <v>309.52999999999997</v>
      </c>
      <c r="C6" s="39">
        <v>268.62</v>
      </c>
      <c r="D6" s="40">
        <v>252.10999999999999</v>
      </c>
      <c r="E6" s="40">
        <v>357.42999999999995</v>
      </c>
      <c r="F6" s="40">
        <v>415.73</v>
      </c>
      <c r="G6" s="40">
        <v>426.48</v>
      </c>
      <c r="H6" s="40">
        <v>345.90000000000003</v>
      </c>
      <c r="I6" s="40">
        <v>463.21999999999997</v>
      </c>
      <c r="J6" s="40">
        <v>589.54000000000008</v>
      </c>
      <c r="K6" s="40">
        <v>519.04999999999995</v>
      </c>
    </row>
    <row r="7" spans="1:11">
      <c r="A7" s="36" t="s">
        <v>72</v>
      </c>
      <c r="B7" s="38">
        <v>0.15248233937948902</v>
      </c>
      <c r="C7" s="38">
        <v>0.12670336356818407</v>
      </c>
      <c r="D7" s="38">
        <v>0.12652504052555241</v>
      </c>
      <c r="E7" s="38">
        <v>0.17324227648581314</v>
      </c>
      <c r="F7" s="38">
        <v>0.18612553724928368</v>
      </c>
      <c r="G7" s="38">
        <v>0.19585313770062684</v>
      </c>
      <c r="H7" s="38">
        <v>0.18710141556636178</v>
      </c>
      <c r="I7" s="38">
        <v>0.30153233260861073</v>
      </c>
      <c r="J7" s="38">
        <v>0.26888449013472965</v>
      </c>
      <c r="K7" s="38">
        <v>8.9074418884017056E-2</v>
      </c>
    </row>
    <row r="9" spans="1:11">
      <c r="A9" s="41" t="s">
        <v>73</v>
      </c>
      <c r="B9" s="41">
        <v>1720.41</v>
      </c>
      <c r="C9" s="41">
        <v>1851.4500000000003</v>
      </c>
      <c r="D9" s="41">
        <v>1740.46</v>
      </c>
      <c r="E9" s="41">
        <v>1705.75</v>
      </c>
      <c r="F9" s="41">
        <v>1817.87</v>
      </c>
      <c r="G9" s="41">
        <v>1751.0700000000002</v>
      </c>
      <c r="H9" s="41">
        <v>1502.83</v>
      </c>
      <c r="I9" s="41">
        <v>1073</v>
      </c>
      <c r="J9" s="41">
        <v>1603</v>
      </c>
      <c r="K9" s="41">
        <v>5308.0999999999995</v>
      </c>
    </row>
    <row r="10" spans="1:11">
      <c r="A10" s="36" t="s">
        <v>74</v>
      </c>
      <c r="B10" s="38">
        <v>0.84751766062051093</v>
      </c>
      <c r="C10" s="38">
        <v>0.87329663643181599</v>
      </c>
      <c r="D10" s="38">
        <v>0.87347495947444764</v>
      </c>
      <c r="E10" s="38">
        <v>0.82675772351418686</v>
      </c>
      <c r="F10" s="38">
        <v>0.81387446275071629</v>
      </c>
      <c r="G10" s="38">
        <v>0.80414686229937316</v>
      </c>
      <c r="H10" s="38">
        <v>0.81289858443363816</v>
      </c>
      <c r="I10" s="38">
        <v>0.69846766739138921</v>
      </c>
      <c r="J10" s="38">
        <v>0.73111550986527041</v>
      </c>
      <c r="K10" s="38">
        <v>0.91092558111598287</v>
      </c>
    </row>
    <row r="12" spans="1:11">
      <c r="A12" s="34" t="s">
        <v>75</v>
      </c>
      <c r="B12" s="34">
        <v>449.35</v>
      </c>
      <c r="C12" s="34">
        <v>548.04</v>
      </c>
      <c r="D12" s="34">
        <v>738.9</v>
      </c>
      <c r="E12" s="34">
        <v>407.13</v>
      </c>
      <c r="F12" s="34">
        <v>347.19000000000005</v>
      </c>
      <c r="G12" s="34">
        <v>521.28</v>
      </c>
      <c r="H12" s="34">
        <v>1348.73</v>
      </c>
      <c r="I12" s="34">
        <v>129.65</v>
      </c>
      <c r="J12" s="34">
        <v>179.74</v>
      </c>
      <c r="K12" s="34">
        <v>1755.15</v>
      </c>
    </row>
    <row r="13" spans="1:11">
      <c r="A13" s="36" t="s">
        <v>76</v>
      </c>
      <c r="B13" s="38">
        <v>0.22136122249918716</v>
      </c>
      <c r="C13" s="38">
        <v>0.25850089855523634</v>
      </c>
      <c r="D13" s="38">
        <v>0.37082762462548369</v>
      </c>
      <c r="E13" s="38">
        <v>0.19733130410337441</v>
      </c>
      <c r="F13" s="38">
        <v>0.15543964899713469</v>
      </c>
      <c r="G13" s="38">
        <v>0.23938830336846453</v>
      </c>
      <c r="H13" s="38">
        <v>0.72954406538542671</v>
      </c>
      <c r="I13" s="38">
        <v>8.4395464191326763E-2</v>
      </c>
      <c r="J13" s="38">
        <v>8.1977979877220039E-2</v>
      </c>
      <c r="K13" s="38">
        <v>0.30120213140214347</v>
      </c>
    </row>
    <row r="15" spans="1:11">
      <c r="A15" s="41" t="s">
        <v>77</v>
      </c>
      <c r="B15" s="41">
        <v>1271.06</v>
      </c>
      <c r="C15" s="41">
        <v>1303.4100000000003</v>
      </c>
      <c r="D15" s="42">
        <v>1001.5600000000001</v>
      </c>
      <c r="E15" s="42">
        <v>1298.6199999999999</v>
      </c>
      <c r="F15" s="42">
        <v>1470.6799999999998</v>
      </c>
      <c r="G15" s="42">
        <v>1229.7900000000002</v>
      </c>
      <c r="H15" s="42">
        <v>154.09999999999991</v>
      </c>
      <c r="I15" s="42">
        <v>943.35</v>
      </c>
      <c r="J15" s="42">
        <v>1423.26</v>
      </c>
      <c r="K15" s="42">
        <v>3552.9499999999994</v>
      </c>
    </row>
    <row r="16" spans="1:11">
      <c r="A16" s="36" t="s">
        <v>78</v>
      </c>
      <c r="B16" s="38">
        <v>0.62615643812132371</v>
      </c>
      <c r="C16" s="38">
        <v>0.6147957378765796</v>
      </c>
      <c r="D16" s="38">
        <v>0.50264733484896396</v>
      </c>
      <c r="E16" s="38">
        <v>0.62942641941081245</v>
      </c>
      <c r="F16" s="38">
        <v>0.65843481375358159</v>
      </c>
      <c r="G16" s="38">
        <v>0.56475855893090865</v>
      </c>
      <c r="H16" s="38">
        <v>8.3354519048211423E-2</v>
      </c>
      <c r="I16" s="38">
        <v>0.61407220320006251</v>
      </c>
      <c r="J16" s="38">
        <v>0.64913752998805041</v>
      </c>
      <c r="K16" s="38">
        <v>0.6097234497138394</v>
      </c>
    </row>
    <row r="18" spans="1:11">
      <c r="A18" s="34" t="s">
        <v>79</v>
      </c>
      <c r="B18" s="34">
        <v>1061.44</v>
      </c>
      <c r="C18" s="34">
        <v>998.09</v>
      </c>
      <c r="D18" s="35">
        <v>942.57</v>
      </c>
      <c r="E18" s="35">
        <v>1012.55</v>
      </c>
      <c r="F18" s="35">
        <v>1017.64</v>
      </c>
      <c r="G18" s="35">
        <v>1123.97</v>
      </c>
      <c r="H18" s="35">
        <v>874.6</v>
      </c>
      <c r="I18" s="35">
        <v>509.29</v>
      </c>
      <c r="J18" s="35">
        <v>595.28</v>
      </c>
      <c r="K18" s="35">
        <v>955.1</v>
      </c>
    </row>
    <row r="19" spans="1:11">
      <c r="A19" s="36" t="s">
        <v>80</v>
      </c>
      <c r="B19" s="38">
        <v>0.52289230223553407</v>
      </c>
      <c r="C19" s="38">
        <v>0.47078162513501909</v>
      </c>
      <c r="D19" s="38">
        <v>0.47304235233893921</v>
      </c>
      <c r="E19" s="38">
        <v>0.49077152744792024</v>
      </c>
      <c r="F19" s="38">
        <v>0.45560530085959888</v>
      </c>
      <c r="G19" s="38">
        <v>0.5161626598700374</v>
      </c>
      <c r="H19" s="38">
        <v>0.47308152082781152</v>
      </c>
      <c r="I19" s="38">
        <v>0.33152152686464181</v>
      </c>
      <c r="J19" s="38">
        <v>0.27150245833599385</v>
      </c>
      <c r="K19" s="38">
        <v>0.16390516804956112</v>
      </c>
    </row>
    <row r="21" spans="1:11">
      <c r="A21" s="34" t="s">
        <v>81</v>
      </c>
      <c r="B21" s="34">
        <v>34.520000000000003</v>
      </c>
      <c r="C21" s="34">
        <v>39.340000000000003</v>
      </c>
      <c r="D21" s="35">
        <v>48.29</v>
      </c>
      <c r="E21" s="35">
        <v>48.99</v>
      </c>
      <c r="F21" s="35">
        <v>50.16</v>
      </c>
      <c r="G21" s="35">
        <v>71.64</v>
      </c>
      <c r="H21" s="35">
        <v>52.15</v>
      </c>
      <c r="I21" s="35">
        <v>49.49</v>
      </c>
      <c r="J21" s="35">
        <v>61.41</v>
      </c>
      <c r="K21" s="35">
        <v>59.31</v>
      </c>
    </row>
    <row r="22" spans="1:11">
      <c r="A22" s="36" t="s">
        <v>82</v>
      </c>
      <c r="B22" s="38">
        <v>1.7005428731883702E-2</v>
      </c>
      <c r="C22" s="38">
        <v>1.8555991075766366E-2</v>
      </c>
      <c r="D22" s="38">
        <v>2.423503314814536E-2</v>
      </c>
      <c r="E22" s="38">
        <v>2.3744898651596083E-2</v>
      </c>
      <c r="F22" s="38">
        <v>2.2457020057306591E-2</v>
      </c>
      <c r="G22" s="38">
        <v>3.2899359371771027E-2</v>
      </c>
      <c r="H22" s="38">
        <v>2.8208553980299988E-2</v>
      </c>
      <c r="I22" s="38">
        <v>3.2215437893010117E-2</v>
      </c>
      <c r="J22" s="38">
        <v>2.800861101735886E-2</v>
      </c>
      <c r="K22" s="38">
        <v>1.017821748195945E-2</v>
      </c>
    </row>
    <row r="24" spans="1:11">
      <c r="A24" s="41" t="s">
        <v>83</v>
      </c>
      <c r="B24" s="41">
        <v>175.09999999999991</v>
      </c>
      <c r="C24" s="41">
        <v>265.98000000000025</v>
      </c>
      <c r="D24" s="42">
        <v>10.700000000000045</v>
      </c>
      <c r="E24" s="42">
        <v>237.07999999999993</v>
      </c>
      <c r="F24" s="42">
        <v>402.87999999999988</v>
      </c>
      <c r="G24" s="42">
        <v>34.180000000000064</v>
      </c>
      <c r="H24" s="42">
        <v>-772.65000000000009</v>
      </c>
      <c r="I24" s="42">
        <v>384.57000000000005</v>
      </c>
      <c r="J24" s="42">
        <v>766.57</v>
      </c>
      <c r="K24" s="42">
        <v>2538.5399999999991</v>
      </c>
    </row>
    <row r="25" spans="1:11">
      <c r="A25" s="36" t="s">
        <v>84</v>
      </c>
      <c r="B25" s="38">
        <v>8.6258707153905975E-2</v>
      </c>
      <c r="C25" s="38">
        <v>0.12545812166579415</v>
      </c>
      <c r="D25" s="38">
        <v>5.3699493618794046E-3</v>
      </c>
      <c r="E25" s="38">
        <v>0.11490999331129613</v>
      </c>
      <c r="F25" s="38">
        <v>0.18037249283667617</v>
      </c>
      <c r="G25" s="38">
        <v>1.5696539689100165E-2</v>
      </c>
      <c r="H25" s="38">
        <v>-0.4179355557599001</v>
      </c>
      <c r="I25" s="38">
        <v>0.25033523844241062</v>
      </c>
      <c r="J25" s="38">
        <v>0.34962646063469771</v>
      </c>
      <c r="K25" s="38">
        <v>0.43564006418231882</v>
      </c>
    </row>
    <row r="27" spans="1:11">
      <c r="A27" s="34" t="s">
        <v>85</v>
      </c>
      <c r="B27" s="34">
        <v>26.04</v>
      </c>
      <c r="C27" s="34">
        <v>78.819999999999993</v>
      </c>
      <c r="D27" s="35">
        <v>4.6100000000000003</v>
      </c>
      <c r="E27" s="35">
        <v>35.86</v>
      </c>
      <c r="F27" s="35">
        <v>127.75</v>
      </c>
      <c r="G27" s="35">
        <v>44.2</v>
      </c>
      <c r="H27" s="35">
        <v>-194.29</v>
      </c>
      <c r="I27" s="35">
        <v>91.37</v>
      </c>
      <c r="J27" s="35">
        <v>181.63</v>
      </c>
      <c r="K27" s="35">
        <v>482.58</v>
      </c>
    </row>
    <row r="28" spans="1:11">
      <c r="A28" s="36" t="s">
        <v>86</v>
      </c>
      <c r="B28" s="38">
        <v>0.14871501998857803</v>
      </c>
      <c r="C28" s="38">
        <v>0.29633807053161865</v>
      </c>
      <c r="D28" s="38">
        <v>0.43084112149532527</v>
      </c>
      <c r="E28" s="38">
        <v>0.15125695967605876</v>
      </c>
      <c r="F28" s="38">
        <v>0.31709193804606839</v>
      </c>
      <c r="G28" s="38">
        <v>1.2931538911644214</v>
      </c>
      <c r="H28" s="38">
        <v>0.25145926357341614</v>
      </c>
      <c r="I28" s="38">
        <v>0.23759003562420364</v>
      </c>
      <c r="J28" s="38">
        <v>0.23693857051541278</v>
      </c>
      <c r="K28" s="38">
        <v>0.19010139686591512</v>
      </c>
    </row>
    <row r="30" spans="1:11" ht="15" thickBot="1">
      <c r="A30" s="43" t="s">
        <v>87</v>
      </c>
      <c r="B30" s="43">
        <v>149.05999999999992</v>
      </c>
      <c r="C30" s="44">
        <v>187.16000000000025</v>
      </c>
      <c r="D30" s="44">
        <v>6.0900000000000452</v>
      </c>
      <c r="E30" s="44">
        <v>201.21999999999991</v>
      </c>
      <c r="F30" s="44">
        <v>275.12999999999988</v>
      </c>
      <c r="G30" s="44">
        <v>-10.019999999999939</v>
      </c>
      <c r="H30" s="44">
        <v>-578.36000000000013</v>
      </c>
      <c r="I30" s="44">
        <v>293.20000000000005</v>
      </c>
      <c r="J30" s="44">
        <v>584.94000000000005</v>
      </c>
      <c r="K30" s="44">
        <v>2055.9599999999991</v>
      </c>
    </row>
    <row r="31" spans="1:11" ht="15" thickTop="1">
      <c r="A31" s="36" t="s">
        <v>88</v>
      </c>
      <c r="B31" s="38">
        <v>7.3430741795323953E-2</v>
      </c>
      <c r="C31" s="38">
        <v>8.8280103958831666E-2</v>
      </c>
      <c r="D31" s="38">
        <v>3.0563543564341759E-3</v>
      </c>
      <c r="E31" s="38">
        <v>9.7529057086633217E-2</v>
      </c>
      <c r="F31" s="38">
        <v>0.12317782951289394</v>
      </c>
      <c r="G31" s="38">
        <v>-4.6015016876764887E-3</v>
      </c>
      <c r="H31" s="38">
        <v>-0.31284178868736923</v>
      </c>
      <c r="I31" s="38">
        <v>0.19085808022288478</v>
      </c>
      <c r="J31" s="38">
        <v>0.2667864668375492</v>
      </c>
      <c r="K31" s="38">
        <v>0.3528242794505031</v>
      </c>
    </row>
    <row r="33" spans="1:11">
      <c r="A33" s="34" t="s">
        <v>89</v>
      </c>
      <c r="B33" s="34">
        <v>19.04</v>
      </c>
      <c r="C33" s="34">
        <v>23.68</v>
      </c>
      <c r="D33" s="35">
        <v>23.7</v>
      </c>
      <c r="E33" s="35">
        <v>23.7</v>
      </c>
      <c r="F33" s="35">
        <v>26.93</v>
      </c>
      <c r="G33" s="35">
        <v>26.95</v>
      </c>
      <c r="H33" s="35">
        <v>26.96</v>
      </c>
      <c r="I33" s="35">
        <v>76.489999999999995</v>
      </c>
      <c r="J33" s="35">
        <v>76.790000000000006</v>
      </c>
      <c r="K33" s="35">
        <v>77.459999999999994</v>
      </c>
    </row>
    <row r="35" spans="1:11">
      <c r="A35" s="34" t="s">
        <v>90</v>
      </c>
      <c r="B35" s="34">
        <v>7.8287815126050377</v>
      </c>
      <c r="C35" s="35">
        <v>7.9037162162162273</v>
      </c>
      <c r="D35" s="35">
        <v>0.25696202531645762</v>
      </c>
      <c r="E35" s="35">
        <v>8.4902953586497851</v>
      </c>
      <c r="F35" s="35">
        <v>10.216487189008536</v>
      </c>
      <c r="G35" s="35">
        <v>-0.37179962894248386</v>
      </c>
      <c r="H35" s="35">
        <v>-21.452522255192882</v>
      </c>
      <c r="I35" s="35">
        <v>3.8331808079487524</v>
      </c>
      <c r="J35" s="35">
        <v>7.6173980987107699</v>
      </c>
      <c r="K35" s="35">
        <v>26.542215336948093</v>
      </c>
    </row>
    <row r="36" spans="1:11">
      <c r="A36" s="36" t="s">
        <v>91</v>
      </c>
      <c r="B36" s="38"/>
      <c r="C36" s="38">
        <v>9.5716943295118817E-3</v>
      </c>
      <c r="D36" s="38">
        <v>-0.96748845501445979</v>
      </c>
      <c r="E36" s="38">
        <v>32.041050903119604</v>
      </c>
      <c r="F36" s="38">
        <v>0.20331351942899523</v>
      </c>
      <c r="G36" s="38">
        <v>-1.0363921201156585</v>
      </c>
      <c r="H36" s="38">
        <v>56.699149179386389</v>
      </c>
      <c r="I36" s="38">
        <v>-1.1786820571656034</v>
      </c>
      <c r="J36" s="38">
        <v>0.98722640030827646</v>
      </c>
      <c r="K36" s="38">
        <v>2.4844201383462305</v>
      </c>
    </row>
    <row r="37" spans="1:11">
      <c r="A37" s="45"/>
      <c r="B37" s="46"/>
      <c r="C37" s="46"/>
      <c r="D37" s="46"/>
      <c r="E37" s="46"/>
      <c r="F37" s="46"/>
      <c r="G37" s="46"/>
      <c r="H37" s="46"/>
      <c r="I37" s="46"/>
      <c r="J37" s="46"/>
      <c r="K37" s="46"/>
    </row>
    <row r="38" spans="1:11">
      <c r="A38" s="34" t="s">
        <v>92</v>
      </c>
      <c r="B38" s="34">
        <v>0.80042016806722693</v>
      </c>
      <c r="C38" s="34">
        <v>0.8002533783783784</v>
      </c>
      <c r="D38" s="35">
        <v>0.8</v>
      </c>
      <c r="E38" s="35">
        <v>0.8</v>
      </c>
      <c r="F38" s="35">
        <v>0.79985146676568875</v>
      </c>
      <c r="G38" s="35">
        <v>0</v>
      </c>
      <c r="H38" s="35">
        <v>0</v>
      </c>
      <c r="I38" s="35">
        <v>0.40005229441757095</v>
      </c>
      <c r="J38" s="35">
        <v>2.0001302252897513</v>
      </c>
      <c r="K38" s="35">
        <v>1.989542989930287</v>
      </c>
    </row>
    <row r="39" spans="1:11">
      <c r="A39" s="36" t="s">
        <v>93</v>
      </c>
      <c r="B39" s="38">
        <v>0.1022407084395546</v>
      </c>
      <c r="C39" s="38">
        <v>0.10125026715110053</v>
      </c>
      <c r="D39" s="38">
        <v>3.1133004926108141</v>
      </c>
      <c r="E39" s="38">
        <v>9.4225226120664002E-2</v>
      </c>
      <c r="F39" s="38">
        <v>7.8290262784865366E-2</v>
      </c>
      <c r="G39" s="38">
        <v>0</v>
      </c>
      <c r="H39" s="38">
        <v>0</v>
      </c>
      <c r="I39" s="38">
        <v>0.10436562073669849</v>
      </c>
      <c r="J39" s="38">
        <v>0.26257393920744004</v>
      </c>
      <c r="K39" s="38">
        <v>7.4957684001634314E-2</v>
      </c>
    </row>
    <row r="41" spans="1:11">
      <c r="A41" s="34" t="s">
        <v>94</v>
      </c>
      <c r="B41" s="47">
        <v>0.89775929156044543</v>
      </c>
      <c r="C41" s="47">
        <v>0.89874973284889947</v>
      </c>
      <c r="D41" s="47">
        <v>0</v>
      </c>
      <c r="E41" s="47">
        <v>0.90577477387933603</v>
      </c>
      <c r="F41" s="47">
        <v>0.92170973721513461</v>
      </c>
      <c r="G41" s="47">
        <v>0</v>
      </c>
      <c r="H41" s="47">
        <v>0</v>
      </c>
      <c r="I41" s="47">
        <v>0.89563437926330147</v>
      </c>
      <c r="J41" s="47">
        <v>0.73742606079256001</v>
      </c>
      <c r="K41" s="47">
        <v>0.92504231599836573</v>
      </c>
    </row>
    <row r="43" spans="1:11" ht="15.6">
      <c r="A43" s="33" t="s">
        <v>2</v>
      </c>
      <c r="B43" s="57">
        <f>B2</f>
        <v>42094</v>
      </c>
      <c r="C43" s="57">
        <f t="shared" ref="C43:K43" si="0">C2</f>
        <v>42460</v>
      </c>
      <c r="D43" s="57">
        <f t="shared" si="0"/>
        <v>42825</v>
      </c>
      <c r="E43" s="57">
        <f t="shared" si="0"/>
        <v>43190</v>
      </c>
      <c r="F43" s="57">
        <f t="shared" si="0"/>
        <v>43555</v>
      </c>
      <c r="G43" s="57">
        <f t="shared" si="0"/>
        <v>43921</v>
      </c>
      <c r="H43" s="57">
        <f t="shared" si="0"/>
        <v>44286</v>
      </c>
      <c r="I43" s="57">
        <f t="shared" si="0"/>
        <v>44651</v>
      </c>
      <c r="J43" s="57">
        <f t="shared" si="0"/>
        <v>45016</v>
      </c>
      <c r="K43" s="57">
        <f t="shared" si="0"/>
        <v>45382</v>
      </c>
    </row>
    <row r="44" spans="1:11">
      <c r="A44" s="34" t="s">
        <v>95</v>
      </c>
      <c r="B44" s="34">
        <v>38.090000000000003</v>
      </c>
      <c r="C44" s="34">
        <v>47.37</v>
      </c>
      <c r="D44" s="35">
        <v>47.39</v>
      </c>
      <c r="E44" s="35">
        <v>47.41</v>
      </c>
      <c r="F44" s="35">
        <v>53.86</v>
      </c>
      <c r="G44" s="35">
        <v>53.9</v>
      </c>
      <c r="H44" s="35">
        <v>53.92</v>
      </c>
      <c r="I44" s="35">
        <v>152.97999999999999</v>
      </c>
      <c r="J44" s="35">
        <v>153.59</v>
      </c>
      <c r="K44" s="35">
        <v>154.11000000000001</v>
      </c>
    </row>
    <row r="45" spans="1:11">
      <c r="A45" s="34" t="s">
        <v>96</v>
      </c>
      <c r="B45" s="34">
        <v>1345.47</v>
      </c>
      <c r="C45" s="34">
        <v>1984.05</v>
      </c>
      <c r="D45" s="35">
        <v>1990.5</v>
      </c>
      <c r="E45" s="35">
        <v>1763.37</v>
      </c>
      <c r="F45" s="35">
        <v>2501.94</v>
      </c>
      <c r="G45" s="35">
        <v>2461.41</v>
      </c>
      <c r="H45" s="35">
        <v>1888.14</v>
      </c>
      <c r="I45" s="35">
        <v>5561.52</v>
      </c>
      <c r="J45" s="35">
        <v>6271.11</v>
      </c>
      <c r="K45" s="35">
        <v>7962.29</v>
      </c>
    </row>
    <row r="46" spans="1:11">
      <c r="A46" s="34" t="s">
        <v>25</v>
      </c>
      <c r="B46" s="34">
        <v>9820.93</v>
      </c>
      <c r="C46" s="34">
        <v>9837.92</v>
      </c>
      <c r="D46" s="35">
        <v>8490.84</v>
      </c>
      <c r="E46" s="35">
        <v>11098.03</v>
      </c>
      <c r="F46" s="35">
        <v>11749.7</v>
      </c>
      <c r="G46" s="35">
        <v>10059.540000000001</v>
      </c>
      <c r="H46" s="35">
        <v>7948.73</v>
      </c>
      <c r="I46" s="35">
        <v>6773.42</v>
      </c>
      <c r="J46" s="35">
        <v>11209.16</v>
      </c>
      <c r="K46" s="35">
        <v>15215.72</v>
      </c>
    </row>
    <row r="47" spans="1:11">
      <c r="A47" s="34" t="s">
        <v>97</v>
      </c>
      <c r="B47" s="34">
        <v>1107.25</v>
      </c>
      <c r="C47" s="34">
        <v>1039.48</v>
      </c>
      <c r="D47" s="35">
        <v>890.53</v>
      </c>
      <c r="E47" s="35">
        <v>659.32</v>
      </c>
      <c r="F47" s="35">
        <v>682.06</v>
      </c>
      <c r="G47" s="35">
        <v>380.36</v>
      </c>
      <c r="H47" s="35">
        <v>451.21</v>
      </c>
      <c r="I47" s="35">
        <v>321.74</v>
      </c>
      <c r="J47" s="35">
        <v>387.96</v>
      </c>
      <c r="K47" s="35">
        <v>704.1</v>
      </c>
    </row>
    <row r="48" spans="1:11" ht="15" thickBot="1">
      <c r="A48" s="43" t="s">
        <v>98</v>
      </c>
      <c r="B48" s="43">
        <v>12311.74</v>
      </c>
      <c r="C48" s="43">
        <v>12908.82</v>
      </c>
      <c r="D48" s="44">
        <v>11419.26</v>
      </c>
      <c r="E48" s="44">
        <v>13568.130000000001</v>
      </c>
      <c r="F48" s="44">
        <v>14987.56</v>
      </c>
      <c r="G48" s="44">
        <v>12955.210000000001</v>
      </c>
      <c r="H48" s="44">
        <v>10341.999999999998</v>
      </c>
      <c r="I48" s="44">
        <v>12809.66</v>
      </c>
      <c r="J48" s="44">
        <v>18021.82</v>
      </c>
      <c r="K48" s="44">
        <v>24036.219999999998</v>
      </c>
    </row>
    <row r="49" spans="1:11" ht="15" thickTop="1">
      <c r="A49" s="45"/>
      <c r="B49" s="45"/>
      <c r="C49" s="48"/>
      <c r="D49" s="48"/>
      <c r="E49" s="48"/>
      <c r="F49" s="48"/>
      <c r="G49" s="48"/>
      <c r="H49" s="48"/>
      <c r="I49" s="48"/>
      <c r="J49" s="48"/>
      <c r="K49" s="48"/>
    </row>
    <row r="50" spans="1:11">
      <c r="A50" s="34" t="s">
        <v>99</v>
      </c>
      <c r="B50" s="34">
        <v>195.35</v>
      </c>
      <c r="C50" s="34">
        <v>201.53</v>
      </c>
      <c r="D50" s="35">
        <v>210.95</v>
      </c>
      <c r="E50" s="35">
        <v>191.07</v>
      </c>
      <c r="F50" s="35">
        <v>183.56</v>
      </c>
      <c r="G50" s="35">
        <v>221.2</v>
      </c>
      <c r="H50" s="35">
        <v>171.39</v>
      </c>
      <c r="I50" s="35">
        <v>174.4</v>
      </c>
      <c r="J50" s="35">
        <v>207.21</v>
      </c>
      <c r="K50" s="35">
        <v>194.2</v>
      </c>
    </row>
    <row r="51" spans="1:11">
      <c r="A51" s="34" t="s">
        <v>100</v>
      </c>
      <c r="B51" s="34">
        <v>8.06</v>
      </c>
      <c r="C51" s="34">
        <v>11.86</v>
      </c>
      <c r="D51" s="35">
        <v>5.49</v>
      </c>
      <c r="E51" s="35">
        <v>1.08</v>
      </c>
      <c r="F51" s="35">
        <v>3.54</v>
      </c>
      <c r="G51" s="35">
        <v>5.53</v>
      </c>
      <c r="H51" s="35">
        <v>0.18</v>
      </c>
      <c r="I51" s="35">
        <v>0.46</v>
      </c>
      <c r="J51" s="35">
        <v>4.5599999999999996</v>
      </c>
      <c r="K51" s="35">
        <v>0.26</v>
      </c>
    </row>
    <row r="52" spans="1:11">
      <c r="A52" s="34" t="s">
        <v>24</v>
      </c>
      <c r="B52" s="34">
        <v>241.43</v>
      </c>
      <c r="C52" s="34">
        <v>458.15</v>
      </c>
      <c r="D52" s="35">
        <v>580.22</v>
      </c>
      <c r="E52" s="35">
        <v>305.57</v>
      </c>
      <c r="F52" s="35">
        <v>302.42</v>
      </c>
      <c r="G52" s="35">
        <v>402.42</v>
      </c>
      <c r="H52" s="35">
        <v>428.92</v>
      </c>
      <c r="I52" s="35">
        <v>819.71</v>
      </c>
      <c r="J52" s="35">
        <v>510.14</v>
      </c>
      <c r="K52" s="35">
        <v>878.33</v>
      </c>
    </row>
    <row r="53" spans="1:11">
      <c r="A53" s="34" t="s">
        <v>101</v>
      </c>
      <c r="B53" s="34">
        <v>11293.43</v>
      </c>
      <c r="C53" s="34">
        <v>11869.75</v>
      </c>
      <c r="D53" s="35">
        <v>10343.68</v>
      </c>
      <c r="E53" s="35">
        <v>12670.45</v>
      </c>
      <c r="F53" s="35">
        <v>13556.67</v>
      </c>
      <c r="G53" s="35">
        <v>11669.71</v>
      </c>
      <c r="H53" s="35">
        <v>9118.92</v>
      </c>
      <c r="I53" s="35">
        <v>11267.75</v>
      </c>
      <c r="J53" s="35">
        <v>16623.84</v>
      </c>
      <c r="K53" s="35">
        <v>22672.5</v>
      </c>
    </row>
    <row r="54" spans="1:11">
      <c r="A54" s="49" t="s">
        <v>102</v>
      </c>
      <c r="B54" s="49">
        <v>11738.27</v>
      </c>
      <c r="C54" s="49">
        <v>12541.29</v>
      </c>
      <c r="D54" s="50">
        <v>11140.34</v>
      </c>
      <c r="E54" s="50">
        <v>13168.17</v>
      </c>
      <c r="F54" s="50">
        <v>14046.19</v>
      </c>
      <c r="G54" s="50">
        <v>12298.859999999999</v>
      </c>
      <c r="H54" s="50">
        <v>9719.41</v>
      </c>
      <c r="I54" s="50">
        <v>12262.32</v>
      </c>
      <c r="J54" s="50">
        <v>17345.75</v>
      </c>
      <c r="K54" s="50">
        <v>23745.29</v>
      </c>
    </row>
    <row r="55" spans="1:11">
      <c r="A55" s="49"/>
      <c r="B55" s="45"/>
      <c r="C55" s="45"/>
      <c r="D55" s="45"/>
      <c r="E55" s="45"/>
      <c r="F55" s="45"/>
      <c r="G55" s="45"/>
      <c r="H55" s="45"/>
      <c r="I55" s="45"/>
      <c r="J55" s="45"/>
      <c r="K55" s="45"/>
    </row>
    <row r="56" spans="1:11">
      <c r="A56" s="34" t="s">
        <v>103</v>
      </c>
      <c r="B56" s="34">
        <v>7.52</v>
      </c>
      <c r="C56" s="34">
        <v>7.07</v>
      </c>
      <c r="D56" s="35">
        <v>6.43</v>
      </c>
      <c r="E56" s="35">
        <v>2.16</v>
      </c>
      <c r="F56" s="35">
        <v>8.68</v>
      </c>
      <c r="G56" s="35">
        <v>7.99</v>
      </c>
      <c r="H56" s="35">
        <v>10.17</v>
      </c>
      <c r="I56" s="35">
        <v>10.18</v>
      </c>
      <c r="J56" s="35">
        <v>18.64</v>
      </c>
      <c r="K56" s="35">
        <v>22.39</v>
      </c>
    </row>
    <row r="57" spans="1:11">
      <c r="A57" s="34" t="s">
        <v>104</v>
      </c>
      <c r="B57" s="34">
        <v>0</v>
      </c>
      <c r="C57" s="34">
        <v>0</v>
      </c>
      <c r="D57" s="35">
        <v>0</v>
      </c>
      <c r="E57" s="35">
        <v>0</v>
      </c>
      <c r="F57" s="35">
        <v>0</v>
      </c>
      <c r="G57" s="35">
        <v>0</v>
      </c>
      <c r="H57" s="35">
        <v>0</v>
      </c>
      <c r="I57" s="35">
        <v>0</v>
      </c>
      <c r="J57" s="35">
        <v>0</v>
      </c>
      <c r="K57" s="35">
        <v>0</v>
      </c>
    </row>
    <row r="58" spans="1:11">
      <c r="A58" s="34" t="s">
        <v>105</v>
      </c>
      <c r="B58" s="34">
        <v>565.95000000000005</v>
      </c>
      <c r="C58" s="34">
        <v>360.46</v>
      </c>
      <c r="D58" s="35">
        <v>272.49</v>
      </c>
      <c r="E58" s="35">
        <v>397.8</v>
      </c>
      <c r="F58" s="35">
        <v>932.69</v>
      </c>
      <c r="G58" s="35">
        <v>648.36</v>
      </c>
      <c r="H58" s="35">
        <v>612.41999999999996</v>
      </c>
      <c r="I58" s="35">
        <v>537.16</v>
      </c>
      <c r="J58" s="35">
        <v>657.43</v>
      </c>
      <c r="K58" s="35">
        <v>268.54000000000002</v>
      </c>
    </row>
    <row r="59" spans="1:11">
      <c r="A59" s="49" t="s">
        <v>106</v>
      </c>
      <c r="B59" s="49">
        <v>573.47</v>
      </c>
      <c r="C59" s="49">
        <v>367.53</v>
      </c>
      <c r="D59" s="50">
        <v>278.92</v>
      </c>
      <c r="E59" s="50">
        <v>399.96000000000004</v>
      </c>
      <c r="F59" s="50">
        <v>941.37</v>
      </c>
      <c r="G59" s="50">
        <v>656.35</v>
      </c>
      <c r="H59" s="50">
        <v>622.58999999999992</v>
      </c>
      <c r="I59" s="50">
        <v>547.33999999999992</v>
      </c>
      <c r="J59" s="50">
        <v>676.06999999999994</v>
      </c>
      <c r="K59" s="50">
        <v>290.93</v>
      </c>
    </row>
    <row r="61" spans="1:11" ht="15" thickBot="1">
      <c r="A61" s="43" t="s">
        <v>107</v>
      </c>
      <c r="B61" s="43">
        <v>12311.74</v>
      </c>
      <c r="C61" s="43">
        <v>12908.820000000002</v>
      </c>
      <c r="D61" s="44">
        <v>11419.26</v>
      </c>
      <c r="E61" s="44">
        <v>13568.130000000001</v>
      </c>
      <c r="F61" s="44">
        <v>14987.560000000001</v>
      </c>
      <c r="G61" s="44">
        <v>12955.21</v>
      </c>
      <c r="H61" s="44">
        <v>10342</v>
      </c>
      <c r="I61" s="44">
        <v>12809.66</v>
      </c>
      <c r="J61" s="44">
        <v>18021.82</v>
      </c>
      <c r="K61" s="44">
        <v>24036.22</v>
      </c>
    </row>
    <row r="62" spans="1:11" ht="15" thickTop="1">
      <c r="A62" s="45"/>
      <c r="B62" s="45"/>
      <c r="C62" s="45"/>
      <c r="D62" s="45"/>
      <c r="E62" s="45"/>
      <c r="F62" s="45"/>
      <c r="G62" s="45"/>
      <c r="H62" s="45"/>
      <c r="I62" s="45"/>
      <c r="J62" s="45"/>
      <c r="K62" s="45"/>
    </row>
    <row r="63" spans="1:11">
      <c r="A63" s="51" t="s">
        <v>108</v>
      </c>
      <c r="B63" s="51" t="b">
        <v>1</v>
      </c>
      <c r="C63" s="51" t="b">
        <v>1</v>
      </c>
      <c r="D63" s="51" t="b">
        <v>1</v>
      </c>
      <c r="E63" s="51" t="b">
        <v>1</v>
      </c>
      <c r="F63" s="51" t="b">
        <v>1</v>
      </c>
      <c r="G63" s="51" t="b">
        <v>1</v>
      </c>
      <c r="H63" s="51" t="b">
        <v>1</v>
      </c>
      <c r="I63" s="51" t="b">
        <v>1</v>
      </c>
      <c r="J63" s="51" t="b">
        <v>1</v>
      </c>
      <c r="K63" s="51" t="b">
        <v>1</v>
      </c>
    </row>
    <row r="65" spans="1:11" ht="15.6">
      <c r="A65" s="33" t="s">
        <v>109</v>
      </c>
      <c r="B65" s="57">
        <f>B43</f>
        <v>42094</v>
      </c>
      <c r="C65" s="57">
        <f t="shared" ref="C65:K65" si="1">C43</f>
        <v>42460</v>
      </c>
      <c r="D65" s="57">
        <f t="shared" si="1"/>
        <v>42825</v>
      </c>
      <c r="E65" s="57">
        <f t="shared" si="1"/>
        <v>43190</v>
      </c>
      <c r="F65" s="57">
        <f t="shared" si="1"/>
        <v>43555</v>
      </c>
      <c r="G65" s="57">
        <f t="shared" si="1"/>
        <v>43921</v>
      </c>
      <c r="H65" s="57">
        <f t="shared" si="1"/>
        <v>44286</v>
      </c>
      <c r="I65" s="57">
        <f t="shared" si="1"/>
        <v>44651</v>
      </c>
      <c r="J65" s="57">
        <f t="shared" si="1"/>
        <v>45016</v>
      </c>
      <c r="K65" s="57">
        <f t="shared" si="1"/>
        <v>45382</v>
      </c>
    </row>
    <row r="66" spans="1:11">
      <c r="A66" s="45"/>
      <c r="B66" s="45"/>
      <c r="C66" s="45"/>
      <c r="D66" s="45"/>
      <c r="E66" s="45"/>
      <c r="F66" s="45"/>
      <c r="G66" s="45"/>
      <c r="H66" s="45"/>
      <c r="I66" s="45"/>
      <c r="J66" s="45"/>
      <c r="K66" s="45"/>
    </row>
    <row r="67" spans="1:11">
      <c r="A67" s="49" t="s">
        <v>110</v>
      </c>
      <c r="B67" s="45"/>
      <c r="C67" s="45"/>
      <c r="D67" s="45"/>
      <c r="E67" s="45"/>
      <c r="F67" s="45"/>
      <c r="G67" s="45"/>
      <c r="H67" s="45"/>
      <c r="I67" s="45"/>
      <c r="J67" s="45"/>
      <c r="K67" s="45"/>
    </row>
    <row r="68" spans="1:11">
      <c r="A68" s="34" t="s">
        <v>111</v>
      </c>
      <c r="B68" s="35">
        <v>17507</v>
      </c>
      <c r="C68" s="35">
        <v>13955</v>
      </c>
      <c r="D68" s="35">
        <v>6824</v>
      </c>
      <c r="E68" s="35">
        <v>17581</v>
      </c>
      <c r="F68" s="35">
        <v>20187</v>
      </c>
      <c r="G68" s="35">
        <v>27840</v>
      </c>
      <c r="H68" s="35">
        <v>18078</v>
      </c>
      <c r="I68" s="35">
        <v>28540</v>
      </c>
      <c r="J68" s="35">
        <v>65900</v>
      </c>
      <c r="K68" s="35">
        <v>30908</v>
      </c>
    </row>
    <row r="69" spans="1:11">
      <c r="A69" s="34" t="s">
        <v>103</v>
      </c>
      <c r="B69" s="35">
        <v>-1483</v>
      </c>
      <c r="C69" s="35">
        <v>1442</v>
      </c>
      <c r="D69" s="35">
        <v>0</v>
      </c>
      <c r="E69" s="35">
        <v>0</v>
      </c>
      <c r="F69" s="35">
        <v>0</v>
      </c>
      <c r="G69" s="35">
        <v>0</v>
      </c>
      <c r="H69" s="35">
        <v>0</v>
      </c>
      <c r="I69" s="35">
        <v>0</v>
      </c>
      <c r="J69" s="35">
        <v>0</v>
      </c>
      <c r="K69" s="35">
        <v>0</v>
      </c>
    </row>
    <row r="70" spans="1:11">
      <c r="A70" s="34" t="s">
        <v>104</v>
      </c>
      <c r="B70" s="35">
        <v>389</v>
      </c>
      <c r="C70" s="35">
        <v>-485</v>
      </c>
      <c r="D70" s="35">
        <v>5618</v>
      </c>
      <c r="E70" s="35">
        <v>-8243</v>
      </c>
      <c r="F70" s="35">
        <v>-1595</v>
      </c>
      <c r="G70" s="35">
        <v>-1069</v>
      </c>
      <c r="H70" s="35">
        <v>1562</v>
      </c>
      <c r="I70" s="35">
        <v>46</v>
      </c>
      <c r="J70" s="35">
        <v>-16917</v>
      </c>
      <c r="K70" s="35">
        <v>-4031</v>
      </c>
    </row>
    <row r="71" spans="1:11">
      <c r="A71" s="34" t="s">
        <v>112</v>
      </c>
      <c r="B71" s="35">
        <v>-255</v>
      </c>
      <c r="C71" s="35">
        <v>-605</v>
      </c>
      <c r="D71" s="35">
        <v>0</v>
      </c>
      <c r="E71" s="35">
        <v>0</v>
      </c>
      <c r="F71" s="35">
        <v>0</v>
      </c>
      <c r="G71" s="35">
        <v>0</v>
      </c>
      <c r="H71" s="35">
        <v>0</v>
      </c>
      <c r="I71" s="35">
        <v>0</v>
      </c>
      <c r="J71" s="35">
        <v>0</v>
      </c>
      <c r="K71" s="35">
        <v>0</v>
      </c>
    </row>
    <row r="72" spans="1:11">
      <c r="A72" s="34" t="s">
        <v>113</v>
      </c>
      <c r="B72" s="35">
        <v>0</v>
      </c>
      <c r="C72" s="35">
        <v>0</v>
      </c>
      <c r="D72" s="35">
        <v>548</v>
      </c>
      <c r="E72" s="35">
        <v>3329</v>
      </c>
      <c r="F72" s="35">
        <v>-7680</v>
      </c>
      <c r="G72" s="35">
        <v>3659</v>
      </c>
      <c r="H72" s="35">
        <v>2634</v>
      </c>
      <c r="I72" s="35">
        <v>16446</v>
      </c>
      <c r="J72" s="35">
        <v>7299</v>
      </c>
      <c r="K72" s="35">
        <v>325</v>
      </c>
    </row>
    <row r="73" spans="1:11">
      <c r="A73" s="52" t="s">
        <v>114</v>
      </c>
      <c r="B73" s="53">
        <v>-1349</v>
      </c>
      <c r="C73" s="52">
        <v>351</v>
      </c>
      <c r="D73" s="52">
        <v>6166</v>
      </c>
      <c r="E73" s="52">
        <v>-4914</v>
      </c>
      <c r="F73" s="52">
        <v>-9276</v>
      </c>
      <c r="G73" s="52">
        <v>2591</v>
      </c>
      <c r="H73" s="52">
        <v>4196</v>
      </c>
      <c r="I73" s="52">
        <v>16491</v>
      </c>
      <c r="J73" s="53">
        <v>-9618</v>
      </c>
      <c r="K73" s="53">
        <v>-3706</v>
      </c>
    </row>
    <row r="74" spans="1:11">
      <c r="A74" s="34" t="s">
        <v>115</v>
      </c>
      <c r="B74" s="35">
        <v>-3013</v>
      </c>
      <c r="C74" s="35">
        <v>-2427</v>
      </c>
      <c r="D74" s="35">
        <v>-1534</v>
      </c>
      <c r="E74" s="35">
        <v>-1843</v>
      </c>
      <c r="F74" s="35">
        <v>-2888</v>
      </c>
      <c r="G74" s="35">
        <v>-5094</v>
      </c>
      <c r="H74" s="35">
        <v>-2106</v>
      </c>
      <c r="I74" s="35">
        <v>-704</v>
      </c>
      <c r="J74" s="35">
        <v>-11902</v>
      </c>
      <c r="K74" s="35">
        <v>-5519</v>
      </c>
    </row>
    <row r="75" spans="1:11" ht="15" thickBot="1">
      <c r="A75" s="43" t="s">
        <v>116</v>
      </c>
      <c r="B75" s="44">
        <v>13145</v>
      </c>
      <c r="C75" s="44">
        <v>11879</v>
      </c>
      <c r="D75" s="44">
        <v>11456</v>
      </c>
      <c r="E75" s="44">
        <v>10824</v>
      </c>
      <c r="F75" s="44">
        <v>8023</v>
      </c>
      <c r="G75" s="44">
        <v>25337</v>
      </c>
      <c r="H75" s="44">
        <v>20168</v>
      </c>
      <c r="I75" s="44">
        <v>44327</v>
      </c>
      <c r="J75" s="44">
        <v>44380</v>
      </c>
      <c r="K75" s="44">
        <v>21683</v>
      </c>
    </row>
    <row r="76" spans="1:11" ht="15" thickTop="1">
      <c r="A76" s="34"/>
      <c r="B76" s="54"/>
      <c r="C76" s="54"/>
      <c r="D76" s="54"/>
      <c r="E76" s="54"/>
      <c r="F76" s="54"/>
      <c r="G76" s="54"/>
      <c r="H76" s="54"/>
      <c r="I76" s="54"/>
      <c r="J76" s="54"/>
      <c r="K76" s="54"/>
    </row>
    <row r="77" spans="1:11">
      <c r="A77" s="49" t="s">
        <v>117</v>
      </c>
      <c r="B77" s="45"/>
      <c r="C77" s="45"/>
      <c r="D77" s="45"/>
      <c r="E77" s="45"/>
      <c r="F77" s="45"/>
      <c r="G77" s="45"/>
      <c r="H77" s="45"/>
      <c r="I77" s="45"/>
      <c r="J77" s="45"/>
      <c r="K77" s="45"/>
    </row>
    <row r="78" spans="1:11">
      <c r="A78" s="34" t="s">
        <v>118</v>
      </c>
      <c r="B78" s="35">
        <v>-16420</v>
      </c>
      <c r="C78" s="35">
        <v>-13492</v>
      </c>
      <c r="D78" s="35">
        <v>-10163</v>
      </c>
      <c r="E78" s="35">
        <v>-7716</v>
      </c>
      <c r="F78" s="35">
        <v>-7478</v>
      </c>
      <c r="G78" s="35">
        <v>-9091</v>
      </c>
      <c r="H78" s="35">
        <v>-10398</v>
      </c>
      <c r="I78" s="35">
        <v>-6979</v>
      </c>
      <c r="J78" s="35">
        <v>-10522</v>
      </c>
      <c r="K78" s="35">
        <v>-14142</v>
      </c>
    </row>
    <row r="79" spans="1:11">
      <c r="A79" s="34" t="s">
        <v>119</v>
      </c>
      <c r="B79" s="35">
        <v>295</v>
      </c>
      <c r="C79" s="35">
        <v>1444</v>
      </c>
      <c r="D79" s="35">
        <v>231</v>
      </c>
      <c r="E79" s="35">
        <v>289</v>
      </c>
      <c r="F79" s="35">
        <v>179</v>
      </c>
      <c r="G79" s="35">
        <v>467</v>
      </c>
      <c r="H79" s="35">
        <v>386</v>
      </c>
      <c r="I79" s="35">
        <v>445</v>
      </c>
      <c r="J79" s="35">
        <v>569</v>
      </c>
      <c r="K79" s="35">
        <v>328</v>
      </c>
    </row>
    <row r="80" spans="1:11">
      <c r="A80" s="34" t="s">
        <v>120</v>
      </c>
      <c r="B80" s="35">
        <v>-612</v>
      </c>
      <c r="C80" s="35">
        <v>1531</v>
      </c>
      <c r="D80" s="35">
        <v>-3796</v>
      </c>
      <c r="E80" s="35">
        <v>-861</v>
      </c>
      <c r="F80" s="35">
        <v>-8641</v>
      </c>
      <c r="G80" s="35">
        <v>-490</v>
      </c>
      <c r="H80" s="35">
        <v>-828</v>
      </c>
      <c r="I80" s="35">
        <v>-3631</v>
      </c>
      <c r="J80" s="35">
        <v>-1153</v>
      </c>
      <c r="K80" s="35">
        <v>-326</v>
      </c>
    </row>
    <row r="81" spans="1:11">
      <c r="A81" s="34" t="s">
        <v>121</v>
      </c>
      <c r="B81" s="35">
        <v>0</v>
      </c>
      <c r="C81" s="35">
        <v>262</v>
      </c>
      <c r="D81" s="35">
        <v>4275</v>
      </c>
      <c r="E81" s="35">
        <v>91</v>
      </c>
      <c r="F81" s="35">
        <v>3899</v>
      </c>
      <c r="G81" s="35">
        <v>13556</v>
      </c>
      <c r="H81" s="35">
        <v>121</v>
      </c>
      <c r="I81" s="35">
        <v>0</v>
      </c>
      <c r="J81" s="35">
        <v>63</v>
      </c>
      <c r="K81" s="35">
        <v>5191</v>
      </c>
    </row>
    <row r="82" spans="1:11">
      <c r="A82" s="34" t="s">
        <v>122</v>
      </c>
      <c r="B82" s="35">
        <v>265</v>
      </c>
      <c r="C82" s="35">
        <v>211</v>
      </c>
      <c r="D82" s="35">
        <v>133</v>
      </c>
      <c r="E82" s="35">
        <v>140</v>
      </c>
      <c r="F82" s="35">
        <v>254</v>
      </c>
      <c r="G82" s="35">
        <v>175</v>
      </c>
      <c r="H82" s="35">
        <v>203</v>
      </c>
      <c r="I82" s="35">
        <v>266</v>
      </c>
      <c r="J82" s="35">
        <v>137</v>
      </c>
      <c r="K82" s="35">
        <v>248</v>
      </c>
    </row>
    <row r="83" spans="1:11">
      <c r="A83" s="34" t="s">
        <v>123</v>
      </c>
      <c r="B83" s="35">
        <v>87</v>
      </c>
      <c r="C83" s="35">
        <v>127</v>
      </c>
      <c r="D83" s="35">
        <v>108</v>
      </c>
      <c r="E83" s="35">
        <v>85</v>
      </c>
      <c r="F83" s="35">
        <v>111</v>
      </c>
      <c r="G83" s="35">
        <v>148</v>
      </c>
      <c r="H83" s="35">
        <v>103</v>
      </c>
      <c r="I83" s="35">
        <v>135</v>
      </c>
      <c r="J83" s="35">
        <v>162</v>
      </c>
      <c r="K83" s="35">
        <v>317</v>
      </c>
    </row>
    <row r="84" spans="1:11">
      <c r="A84" s="34" t="s">
        <v>124</v>
      </c>
      <c r="B84" s="35">
        <v>59</v>
      </c>
      <c r="C84" s="35">
        <v>1301</v>
      </c>
      <c r="D84" s="35">
        <v>0</v>
      </c>
      <c r="E84" s="35">
        <v>0</v>
      </c>
      <c r="F84" s="35">
        <v>34</v>
      </c>
      <c r="G84" s="35">
        <v>156</v>
      </c>
      <c r="H84" s="35">
        <v>378</v>
      </c>
      <c r="I84" s="35">
        <v>90</v>
      </c>
      <c r="J84" s="35">
        <v>1208</v>
      </c>
      <c r="K84" s="35">
        <v>166</v>
      </c>
    </row>
    <row r="85" spans="1:11">
      <c r="A85" s="45" t="s">
        <v>125</v>
      </c>
      <c r="B85" s="35">
        <v>0</v>
      </c>
      <c r="C85" s="35">
        <v>-108</v>
      </c>
      <c r="D85" s="35">
        <v>-78</v>
      </c>
      <c r="E85" s="35">
        <v>-1081</v>
      </c>
      <c r="F85" s="35">
        <v>-255</v>
      </c>
      <c r="G85" s="35">
        <v>-34569</v>
      </c>
      <c r="H85" s="35">
        <v>-4433</v>
      </c>
      <c r="I85" s="35">
        <v>0</v>
      </c>
      <c r="J85" s="35">
        <v>-53</v>
      </c>
      <c r="K85" s="35">
        <v>-10569</v>
      </c>
    </row>
    <row r="86" spans="1:11">
      <c r="A86" s="34" t="s">
        <v>126</v>
      </c>
      <c r="B86" s="35">
        <v>-96</v>
      </c>
      <c r="C86" s="35">
        <v>277</v>
      </c>
      <c r="D86" s="35">
        <v>0</v>
      </c>
      <c r="E86" s="35">
        <v>0</v>
      </c>
      <c r="F86" s="35">
        <v>0</v>
      </c>
      <c r="G86" s="35">
        <v>0</v>
      </c>
      <c r="H86" s="35">
        <v>0</v>
      </c>
      <c r="I86" s="35">
        <v>0</v>
      </c>
      <c r="J86" s="35">
        <v>0</v>
      </c>
      <c r="K86" s="35">
        <v>0</v>
      </c>
    </row>
    <row r="87" spans="1:11">
      <c r="A87" s="34" t="s">
        <v>127</v>
      </c>
      <c r="B87" s="35">
        <v>1044</v>
      </c>
      <c r="C87" s="35">
        <v>-573</v>
      </c>
      <c r="D87" s="35">
        <v>496</v>
      </c>
      <c r="E87" s="35">
        <v>-437</v>
      </c>
      <c r="F87" s="35">
        <v>166</v>
      </c>
      <c r="G87" s="35">
        <v>471</v>
      </c>
      <c r="H87" s="35">
        <v>456</v>
      </c>
      <c r="I87" s="35">
        <v>236</v>
      </c>
      <c r="J87" s="35">
        <v>-1315</v>
      </c>
      <c r="K87" s="35">
        <v>108</v>
      </c>
    </row>
    <row r="88" spans="1:11" ht="15" thickBot="1">
      <c r="A88" s="43" t="s">
        <v>128</v>
      </c>
      <c r="B88" s="44">
        <v>-15378</v>
      </c>
      <c r="C88" s="44">
        <v>-9020</v>
      </c>
      <c r="D88" s="44">
        <v>-8794</v>
      </c>
      <c r="E88" s="44">
        <v>-9490</v>
      </c>
      <c r="F88" s="44">
        <v>-11731</v>
      </c>
      <c r="G88" s="44">
        <v>-29177</v>
      </c>
      <c r="H88" s="83">
        <v>-14012</v>
      </c>
      <c r="I88" s="83">
        <v>-9438</v>
      </c>
      <c r="J88" s="83">
        <v>-10904</v>
      </c>
      <c r="K88" s="44">
        <v>-18679</v>
      </c>
    </row>
    <row r="89" spans="1:11" ht="15" thickTop="1">
      <c r="A89" s="45"/>
      <c r="B89" s="55"/>
      <c r="C89" s="55"/>
      <c r="D89" s="55"/>
      <c r="E89" s="55"/>
      <c r="F89" s="55"/>
      <c r="G89" s="55"/>
      <c r="H89" s="55"/>
      <c r="I89" s="55"/>
      <c r="J89" s="55"/>
      <c r="K89" s="56"/>
    </row>
    <row r="90" spans="1:11">
      <c r="A90" s="49" t="s">
        <v>129</v>
      </c>
      <c r="B90" s="45"/>
      <c r="C90" s="45"/>
      <c r="D90" s="45"/>
      <c r="E90" s="45"/>
      <c r="F90" s="45"/>
      <c r="G90" s="45"/>
      <c r="H90" s="45"/>
      <c r="I90" s="45"/>
      <c r="J90" s="45"/>
      <c r="K90" s="45"/>
    </row>
    <row r="91" spans="1:11">
      <c r="A91" s="34" t="s">
        <v>130</v>
      </c>
      <c r="B91" s="35">
        <v>11</v>
      </c>
      <c r="C91" s="35">
        <v>13</v>
      </c>
      <c r="D91" s="35">
        <v>0</v>
      </c>
      <c r="E91" s="35">
        <v>652</v>
      </c>
      <c r="F91" s="35">
        <v>9087</v>
      </c>
      <c r="G91" s="35">
        <v>0</v>
      </c>
      <c r="H91" s="35">
        <v>188</v>
      </c>
      <c r="I91" s="35">
        <v>3239</v>
      </c>
      <c r="J91" s="35">
        <v>326</v>
      </c>
      <c r="K91" s="35">
        <v>1</v>
      </c>
    </row>
    <row r="92" spans="1:11">
      <c r="A92" s="34" t="s">
        <v>131</v>
      </c>
      <c r="B92" s="35">
        <v>0</v>
      </c>
      <c r="C92" s="35">
        <v>0</v>
      </c>
      <c r="D92" s="35">
        <v>0</v>
      </c>
      <c r="E92" s="35">
        <v>0</v>
      </c>
      <c r="F92" s="35">
        <v>0</v>
      </c>
      <c r="G92" s="35">
        <v>33344</v>
      </c>
      <c r="H92" s="35">
        <v>16574</v>
      </c>
      <c r="I92" s="35">
        <v>9801</v>
      </c>
      <c r="J92" s="35">
        <v>12439</v>
      </c>
      <c r="K92" s="35">
        <v>16769</v>
      </c>
    </row>
    <row r="93" spans="1:11">
      <c r="A93" s="34" t="s">
        <v>132</v>
      </c>
      <c r="B93" s="35">
        <v>0</v>
      </c>
      <c r="C93" s="35">
        <v>0</v>
      </c>
      <c r="D93" s="35">
        <v>0</v>
      </c>
      <c r="E93" s="35">
        <v>0</v>
      </c>
      <c r="F93" s="35">
        <v>0</v>
      </c>
      <c r="G93" s="35">
        <v>-25077</v>
      </c>
      <c r="H93" s="35">
        <v>-7937</v>
      </c>
      <c r="I93" s="35">
        <v>-39177</v>
      </c>
      <c r="J93" s="35">
        <v>-26360</v>
      </c>
      <c r="K93" s="35">
        <v>-10226</v>
      </c>
    </row>
    <row r="94" spans="1:11">
      <c r="A94" s="34" t="s">
        <v>133</v>
      </c>
      <c r="B94" s="35">
        <v>-3676</v>
      </c>
      <c r="C94" s="35">
        <v>-5428</v>
      </c>
      <c r="D94" s="35">
        <v>-5483</v>
      </c>
      <c r="E94" s="35">
        <v>-4733</v>
      </c>
      <c r="F94" s="35">
        <v>-5146</v>
      </c>
      <c r="G94" s="35">
        <v>-6901</v>
      </c>
      <c r="H94" s="35">
        <v>-7419</v>
      </c>
      <c r="I94" s="35">
        <v>-6804</v>
      </c>
      <c r="J94" s="35">
        <v>-4687</v>
      </c>
      <c r="K94" s="35">
        <v>-6120</v>
      </c>
    </row>
    <row r="95" spans="1:11">
      <c r="A95" s="34" t="s">
        <v>134</v>
      </c>
      <c r="B95" s="35">
        <v>-787</v>
      </c>
      <c r="C95" s="35">
        <v>-983</v>
      </c>
      <c r="D95" s="35">
        <v>-788</v>
      </c>
      <c r="E95" s="35">
        <v>-791</v>
      </c>
      <c r="F95" s="35">
        <v>-982</v>
      </c>
      <c r="G95" s="35">
        <v>-1186</v>
      </c>
      <c r="H95" s="35">
        <v>-1507</v>
      </c>
      <c r="I95" s="35">
        <v>-1151</v>
      </c>
      <c r="J95" s="35">
        <v>-3020</v>
      </c>
      <c r="K95" s="35">
        <v>-6293</v>
      </c>
    </row>
    <row r="96" spans="1:11">
      <c r="A96" s="34" t="s">
        <v>135</v>
      </c>
      <c r="B96" s="35">
        <v>0</v>
      </c>
      <c r="C96" s="35">
        <v>0</v>
      </c>
      <c r="D96" s="35">
        <v>-200</v>
      </c>
      <c r="E96" s="35">
        <v>-208</v>
      </c>
      <c r="F96" s="35">
        <v>-211</v>
      </c>
      <c r="G96" s="35">
        <v>-276</v>
      </c>
      <c r="H96" s="35">
        <v>-1029</v>
      </c>
      <c r="I96" s="35">
        <v>-1284</v>
      </c>
      <c r="J96" s="35">
        <v>-1310</v>
      </c>
      <c r="K96" s="35">
        <v>-2229</v>
      </c>
    </row>
    <row r="97" spans="1:11">
      <c r="A97" s="34" t="s">
        <v>136</v>
      </c>
      <c r="B97" s="35">
        <v>5466</v>
      </c>
      <c r="C97" s="35">
        <v>3781</v>
      </c>
      <c r="D97" s="35">
        <v>1743</v>
      </c>
      <c r="E97" s="35">
        <v>2501</v>
      </c>
      <c r="F97" s="35">
        <v>3892</v>
      </c>
      <c r="G97" s="35">
        <v>-576</v>
      </c>
      <c r="H97" s="35">
        <v>-564</v>
      </c>
      <c r="I97" s="35">
        <v>-1714</v>
      </c>
      <c r="J97" s="35">
        <v>-789</v>
      </c>
      <c r="K97" s="35">
        <v>1117</v>
      </c>
    </row>
    <row r="98" spans="1:11" ht="15" thickBot="1">
      <c r="A98" s="43" t="s">
        <v>137</v>
      </c>
      <c r="B98" s="43">
        <v>1014</v>
      </c>
      <c r="C98" s="44">
        <v>-2617</v>
      </c>
      <c r="D98" s="44">
        <v>-4728</v>
      </c>
      <c r="E98" s="44">
        <v>-2579</v>
      </c>
      <c r="F98" s="44">
        <v>6640</v>
      </c>
      <c r="G98" s="44">
        <v>-672</v>
      </c>
      <c r="H98" s="44">
        <v>-1694</v>
      </c>
      <c r="I98" s="44">
        <v>-37090</v>
      </c>
      <c r="J98" s="44">
        <v>-23401</v>
      </c>
      <c r="K98" s="44">
        <v>-6981</v>
      </c>
    </row>
    <row r="99" spans="1:11" ht="15" thickTop="1">
      <c r="A99" s="45"/>
      <c r="B99" s="45"/>
      <c r="C99" s="45"/>
      <c r="D99" s="45"/>
      <c r="E99" s="45"/>
      <c r="F99" s="45"/>
      <c r="G99" s="45"/>
      <c r="H99" s="45"/>
      <c r="I99" s="45"/>
      <c r="J99" s="45"/>
      <c r="K99" s="45"/>
    </row>
    <row r="100" spans="1:11" ht="15" thickBot="1">
      <c r="A100" s="43" t="s">
        <v>138</v>
      </c>
      <c r="B100" s="44">
        <v>-1219</v>
      </c>
      <c r="C100" s="43">
        <v>242</v>
      </c>
      <c r="D100" s="44">
        <v>-2066</v>
      </c>
      <c r="E100" s="44">
        <v>-1245</v>
      </c>
      <c r="F100" s="43">
        <v>2932</v>
      </c>
      <c r="G100" s="44">
        <v>-4512</v>
      </c>
      <c r="H100" s="43">
        <v>4462</v>
      </c>
      <c r="I100" s="44">
        <v>-2201</v>
      </c>
      <c r="J100" s="43">
        <v>10075</v>
      </c>
      <c r="K100" s="44">
        <v>-3977</v>
      </c>
    </row>
    <row r="101" spans="1:11" ht="15" thickTop="1">
      <c r="A101" s="45"/>
      <c r="B101" s="50">
        <v>-95.8</v>
      </c>
      <c r="C101" s="50">
        <v>-27.89</v>
      </c>
      <c r="D101" s="50">
        <v>-75.25</v>
      </c>
      <c r="E101" s="50">
        <v>-34.299999999999997</v>
      </c>
      <c r="F101" s="50">
        <v>474.71</v>
      </c>
      <c r="G101" s="50">
        <v>-362.55</v>
      </c>
      <c r="H101" s="50">
        <v>60.24</v>
      </c>
      <c r="I101" s="50">
        <v>70.11</v>
      </c>
      <c r="J101" s="50">
        <v>266.18</v>
      </c>
      <c r="K101" s="50">
        <v>-346.2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9"/>
  <sheetViews>
    <sheetView topLeftCell="A14" workbookViewId="0">
      <selection activeCell="B24" sqref="B24"/>
    </sheetView>
  </sheetViews>
  <sheetFormatPr defaultRowHeight="14.4"/>
  <cols>
    <col min="1" max="1" width="31" bestFit="1" customWidth="1"/>
    <col min="2" max="2" width="10.21875" customWidth="1"/>
    <col min="5" max="5" width="11.21875" bestFit="1" customWidth="1"/>
    <col min="14" max="14" width="11.21875" bestFit="1" customWidth="1"/>
    <col min="18" max="18" width="10.21875" customWidth="1"/>
  </cols>
  <sheetData>
    <row r="1" spans="1:13">
      <c r="A1" s="443" t="s">
        <v>147</v>
      </c>
      <c r="B1" s="443"/>
      <c r="C1" s="443"/>
      <c r="D1" s="443"/>
      <c r="E1" s="443"/>
      <c r="F1" s="443"/>
      <c r="G1" s="443"/>
      <c r="H1" s="443"/>
      <c r="I1" s="443"/>
      <c r="J1" s="443"/>
      <c r="K1" s="443"/>
      <c r="L1" s="443"/>
      <c r="M1" s="443"/>
    </row>
    <row r="2" spans="1:13">
      <c r="A2" s="4"/>
      <c r="B2" s="212">
        <f>2021</f>
        <v>2021</v>
      </c>
      <c r="C2" s="212"/>
      <c r="D2" s="212"/>
      <c r="E2" s="212"/>
      <c r="F2" s="214">
        <f>B2+1</f>
        <v>2022</v>
      </c>
      <c r="G2" s="214"/>
      <c r="H2" s="214"/>
      <c r="I2" s="214"/>
      <c r="J2" s="216">
        <f>F2+1</f>
        <v>2023</v>
      </c>
      <c r="K2" s="216"/>
      <c r="L2" s="216"/>
      <c r="M2" s="216"/>
    </row>
    <row r="3" spans="1:13">
      <c r="A3" s="10" t="s">
        <v>21</v>
      </c>
      <c r="B3" s="228"/>
      <c r="C3" s="228"/>
      <c r="D3" s="228"/>
      <c r="E3" s="228"/>
      <c r="F3" s="229"/>
      <c r="G3" s="229"/>
      <c r="H3" s="229"/>
      <c r="I3" s="229"/>
      <c r="J3" s="230"/>
      <c r="K3" s="230"/>
      <c r="L3" s="230"/>
      <c r="M3" s="230"/>
    </row>
    <row r="4" spans="1:13">
      <c r="A4" s="445" t="s">
        <v>23</v>
      </c>
      <c r="B4" s="420"/>
      <c r="C4" s="422"/>
      <c r="D4" s="422"/>
      <c r="E4" s="435"/>
      <c r="F4" s="437"/>
      <c r="G4" s="437"/>
      <c r="H4" s="437"/>
      <c r="I4" s="438"/>
      <c r="J4" s="416"/>
      <c r="K4" s="416"/>
      <c r="L4" s="416"/>
      <c r="M4" s="416"/>
    </row>
    <row r="5" spans="1:13">
      <c r="A5" s="446"/>
      <c r="B5" s="440"/>
      <c r="C5" s="441"/>
      <c r="D5" s="441"/>
      <c r="E5" s="442"/>
      <c r="F5" s="437"/>
      <c r="G5" s="437"/>
      <c r="H5" s="437"/>
      <c r="I5" s="438"/>
      <c r="J5" s="416"/>
      <c r="K5" s="416"/>
      <c r="L5" s="416"/>
      <c r="M5" s="416"/>
    </row>
    <row r="6" spans="1:13">
      <c r="A6" s="445" t="s">
        <v>24</v>
      </c>
      <c r="B6" s="420"/>
      <c r="C6" s="422"/>
      <c r="D6" s="422"/>
      <c r="E6" s="435"/>
      <c r="F6" s="437"/>
      <c r="G6" s="437"/>
      <c r="H6" s="437"/>
      <c r="I6" s="438"/>
      <c r="J6" s="416"/>
      <c r="K6" s="416"/>
      <c r="L6" s="416"/>
      <c r="M6" s="416"/>
    </row>
    <row r="7" spans="1:13">
      <c r="A7" s="446"/>
      <c r="B7" s="440"/>
      <c r="C7" s="441"/>
      <c r="D7" s="441"/>
      <c r="E7" s="442"/>
      <c r="F7" s="437"/>
      <c r="G7" s="437"/>
      <c r="H7" s="437"/>
      <c r="I7" s="438"/>
      <c r="J7" s="416"/>
      <c r="K7" s="416"/>
      <c r="L7" s="416"/>
      <c r="M7" s="416"/>
    </row>
    <row r="8" spans="1:13">
      <c r="A8" s="445" t="s">
        <v>25</v>
      </c>
      <c r="B8" s="420"/>
      <c r="C8" s="422"/>
      <c r="D8" s="422"/>
      <c r="E8" s="435"/>
      <c r="F8" s="437"/>
      <c r="G8" s="437"/>
      <c r="H8" s="437"/>
      <c r="I8" s="438"/>
      <c r="J8" s="416"/>
      <c r="K8" s="416"/>
      <c r="L8" s="416"/>
      <c r="M8" s="416"/>
    </row>
    <row r="9" spans="1:13">
      <c r="A9" s="446"/>
      <c r="B9" s="440"/>
      <c r="C9" s="441"/>
      <c r="D9" s="441"/>
      <c r="E9" s="442"/>
      <c r="F9" s="437"/>
      <c r="G9" s="437"/>
      <c r="H9" s="437"/>
      <c r="I9" s="438"/>
      <c r="J9" s="416"/>
      <c r="K9" s="416"/>
      <c r="L9" s="416"/>
      <c r="M9" s="416"/>
    </row>
    <row r="10" spans="1:13">
      <c r="A10" s="445" t="s">
        <v>26</v>
      </c>
      <c r="B10" s="420"/>
      <c r="C10" s="422"/>
      <c r="D10" s="422"/>
      <c r="E10" s="435"/>
      <c r="F10" s="437"/>
      <c r="G10" s="437"/>
      <c r="H10" s="437"/>
      <c r="I10" s="438"/>
      <c r="J10" s="416"/>
      <c r="K10" s="416"/>
      <c r="L10" s="416"/>
      <c r="M10" s="416"/>
    </row>
    <row r="11" spans="1:13" ht="15" thickBot="1">
      <c r="A11" s="446"/>
      <c r="B11" s="421"/>
      <c r="C11" s="423"/>
      <c r="D11" s="423"/>
      <c r="E11" s="436"/>
      <c r="F11" s="426"/>
      <c r="G11" s="426"/>
      <c r="H11" s="426"/>
      <c r="I11" s="439"/>
      <c r="J11" s="417"/>
      <c r="K11" s="417"/>
      <c r="L11" s="417"/>
      <c r="M11" s="417"/>
    </row>
    <row r="12" spans="1:13" ht="15" thickBot="1">
      <c r="A12" s="11" t="s">
        <v>27</v>
      </c>
      <c r="B12" s="406"/>
      <c r="C12" s="407"/>
      <c r="D12" s="407"/>
      <c r="E12" s="408"/>
      <c r="F12" s="71"/>
      <c r="G12" s="72"/>
      <c r="H12" s="72"/>
      <c r="I12" s="73"/>
      <c r="J12" s="406"/>
      <c r="K12" s="407"/>
      <c r="L12" s="407"/>
      <c r="M12" s="408"/>
    </row>
    <row r="13" spans="1:13">
      <c r="A13" s="4"/>
      <c r="B13" s="218">
        <f>B2</f>
        <v>2021</v>
      </c>
      <c r="C13" s="218"/>
      <c r="D13" s="218"/>
      <c r="E13" s="218"/>
      <c r="F13" s="220">
        <f>F2</f>
        <v>2022</v>
      </c>
      <c r="G13" s="220"/>
      <c r="H13" s="220"/>
      <c r="I13" s="220"/>
      <c r="J13" s="222">
        <f>J2</f>
        <v>2023</v>
      </c>
      <c r="K13" s="222"/>
      <c r="L13" s="222"/>
      <c r="M13" s="222"/>
    </row>
    <row r="14" spans="1:13">
      <c r="A14" s="70" t="s">
        <v>28</v>
      </c>
      <c r="B14" s="228"/>
      <c r="C14" s="228"/>
      <c r="D14" s="228"/>
      <c r="E14" s="228"/>
      <c r="F14" s="229"/>
      <c r="G14" s="229"/>
      <c r="H14" s="229"/>
      <c r="I14" s="229"/>
      <c r="J14" s="230"/>
      <c r="K14" s="230"/>
      <c r="L14" s="230"/>
      <c r="M14" s="230"/>
    </row>
    <row r="15" spans="1:13">
      <c r="A15" s="445" t="s">
        <v>29</v>
      </c>
      <c r="B15" s="420"/>
      <c r="C15" s="422"/>
      <c r="D15" s="422"/>
      <c r="E15" s="435"/>
      <c r="F15" s="437"/>
      <c r="G15" s="437"/>
      <c r="H15" s="437"/>
      <c r="I15" s="438"/>
      <c r="J15" s="416"/>
      <c r="K15" s="416"/>
      <c r="L15" s="416"/>
      <c r="M15" s="416"/>
    </row>
    <row r="16" spans="1:13">
      <c r="A16" s="446"/>
      <c r="B16" s="440"/>
      <c r="C16" s="441"/>
      <c r="D16" s="441"/>
      <c r="E16" s="442"/>
      <c r="F16" s="437"/>
      <c r="G16" s="437"/>
      <c r="H16" s="437"/>
      <c r="I16" s="438"/>
      <c r="J16" s="416"/>
      <c r="K16" s="416"/>
      <c r="L16" s="416"/>
      <c r="M16" s="416"/>
    </row>
    <row r="17" spans="1:14">
      <c r="A17" s="445" t="s">
        <v>30</v>
      </c>
      <c r="B17" s="420"/>
      <c r="C17" s="422"/>
      <c r="D17" s="422"/>
      <c r="E17" s="435"/>
      <c r="F17" s="437"/>
      <c r="G17" s="437"/>
      <c r="H17" s="437"/>
      <c r="I17" s="438"/>
      <c r="J17" s="416"/>
      <c r="K17" s="416"/>
      <c r="L17" s="416"/>
      <c r="M17" s="416"/>
    </row>
    <row r="18" spans="1:14">
      <c r="A18" s="446"/>
      <c r="B18" s="440"/>
      <c r="C18" s="441"/>
      <c r="D18" s="441"/>
      <c r="E18" s="442"/>
      <c r="F18" s="437"/>
      <c r="G18" s="437"/>
      <c r="H18" s="437"/>
      <c r="I18" s="438"/>
      <c r="J18" s="416"/>
      <c r="K18" s="416"/>
      <c r="L18" s="416"/>
      <c r="M18" s="416"/>
    </row>
    <row r="19" spans="1:14">
      <c r="A19" s="445" t="s">
        <v>31</v>
      </c>
      <c r="B19" s="420"/>
      <c r="C19" s="422"/>
      <c r="D19" s="422"/>
      <c r="E19" s="435"/>
      <c r="F19" s="437"/>
      <c r="G19" s="437"/>
      <c r="H19" s="437"/>
      <c r="I19" s="438"/>
      <c r="J19" s="416"/>
      <c r="K19" s="416"/>
      <c r="L19" s="416"/>
      <c r="M19" s="451"/>
    </row>
    <row r="20" spans="1:14" ht="15" thickBot="1">
      <c r="A20" s="446"/>
      <c r="B20" s="447"/>
      <c r="C20" s="448"/>
      <c r="D20" s="448"/>
      <c r="E20" s="449"/>
      <c r="F20" s="450"/>
      <c r="G20" s="450"/>
      <c r="H20" s="450"/>
      <c r="I20" s="453"/>
      <c r="J20" s="444"/>
      <c r="K20" s="444"/>
      <c r="L20" s="444"/>
      <c r="M20" s="452"/>
    </row>
    <row r="21" spans="1:14" ht="15" thickBot="1">
      <c r="A21" s="11" t="s">
        <v>27</v>
      </c>
      <c r="B21" s="406"/>
      <c r="C21" s="407"/>
      <c r="D21" s="407"/>
      <c r="E21" s="408"/>
      <c r="F21" s="71"/>
      <c r="G21" s="72"/>
      <c r="H21" s="72"/>
      <c r="I21" s="73"/>
      <c r="J21" s="406"/>
      <c r="K21" s="407"/>
      <c r="L21" s="407"/>
      <c r="M21" s="408"/>
    </row>
    <row r="22" spans="1:14">
      <c r="A22" s="14"/>
      <c r="B22" s="224">
        <f>B13</f>
        <v>2021</v>
      </c>
      <c r="C22" s="224"/>
      <c r="D22" s="224"/>
      <c r="E22" s="224"/>
      <c r="F22" s="225">
        <f>F13</f>
        <v>2022</v>
      </c>
      <c r="G22" s="225"/>
      <c r="H22" s="225"/>
      <c r="I22" s="225"/>
      <c r="J22" s="226">
        <f>J13</f>
        <v>2023</v>
      </c>
      <c r="K22" s="226"/>
      <c r="L22" s="226"/>
      <c r="M22" s="227"/>
    </row>
    <row r="23" spans="1:14">
      <c r="A23" s="15" t="s">
        <v>5</v>
      </c>
      <c r="B23" s="75" t="s">
        <v>143</v>
      </c>
      <c r="C23" s="75" t="s">
        <v>144</v>
      </c>
      <c r="D23" s="75" t="s">
        <v>145</v>
      </c>
      <c r="E23" s="75" t="s">
        <v>146</v>
      </c>
      <c r="F23" s="75" t="s">
        <v>143</v>
      </c>
      <c r="G23" s="75" t="s">
        <v>144</v>
      </c>
      <c r="H23" s="75" t="s">
        <v>145</v>
      </c>
      <c r="I23" s="75" t="s">
        <v>146</v>
      </c>
      <c r="J23" s="75" t="s">
        <v>143</v>
      </c>
      <c r="K23" s="75" t="s">
        <v>144</v>
      </c>
      <c r="L23" s="75" t="s">
        <v>145</v>
      </c>
      <c r="M23" s="75" t="s">
        <v>146</v>
      </c>
    </row>
    <row r="24" spans="1:14">
      <c r="A24" s="196" t="s">
        <v>32</v>
      </c>
      <c r="B24" s="200">
        <v>358.09</v>
      </c>
      <c r="C24" s="200">
        <v>372.69</v>
      </c>
      <c r="D24" s="200">
        <v>484.24</v>
      </c>
      <c r="E24" s="200">
        <v>360.22</v>
      </c>
      <c r="F24" s="200">
        <v>385.68</v>
      </c>
      <c r="G24" s="200">
        <v>417.85</v>
      </c>
      <c r="H24" s="200">
        <v>460.48</v>
      </c>
      <c r="I24" s="200">
        <v>552.92999999999995</v>
      </c>
      <c r="J24" s="200">
        <v>656</v>
      </c>
      <c r="K24" s="200">
        <v>690.07</v>
      </c>
      <c r="L24" s="200">
        <v>714.41</v>
      </c>
      <c r="M24" s="200">
        <v>843.57</v>
      </c>
    </row>
    <row r="25" spans="1:14">
      <c r="A25" s="197"/>
      <c r="B25" s="204"/>
      <c r="C25" s="204"/>
      <c r="D25" s="204"/>
      <c r="E25" s="204"/>
      <c r="F25" s="204"/>
      <c r="G25" s="204"/>
      <c r="H25" s="204"/>
      <c r="I25" s="204"/>
      <c r="J25" s="204"/>
      <c r="K25" s="204"/>
      <c r="L25" s="204"/>
      <c r="M25" s="204"/>
    </row>
    <row r="26" spans="1:14">
      <c r="A26" s="196" t="s">
        <v>33</v>
      </c>
      <c r="B26" s="200" t="s">
        <v>66</v>
      </c>
      <c r="C26" s="202" t="s">
        <v>66</v>
      </c>
      <c r="D26" s="202" t="s">
        <v>66</v>
      </c>
      <c r="E26" s="232" t="s">
        <v>66</v>
      </c>
      <c r="F26" s="234" t="s">
        <v>66</v>
      </c>
      <c r="G26" s="234" t="s">
        <v>66</v>
      </c>
      <c r="H26" s="235" t="s">
        <v>66</v>
      </c>
      <c r="I26" s="235" t="s">
        <v>66</v>
      </c>
      <c r="J26" s="236" t="s">
        <v>66</v>
      </c>
      <c r="K26" s="236" t="s">
        <v>66</v>
      </c>
      <c r="L26" s="236" t="s">
        <v>66</v>
      </c>
      <c r="M26" s="236" t="s">
        <v>66</v>
      </c>
      <c r="N26" s="416"/>
    </row>
    <row r="27" spans="1:14">
      <c r="A27" s="197"/>
      <c r="B27" s="201"/>
      <c r="C27" s="203"/>
      <c r="D27" s="203"/>
      <c r="E27" s="233"/>
      <c r="F27" s="237"/>
      <c r="G27" s="237"/>
      <c r="H27" s="238"/>
      <c r="I27" s="238"/>
      <c r="J27" s="239"/>
      <c r="K27" s="239"/>
      <c r="L27" s="239"/>
      <c r="M27" s="239"/>
      <c r="N27" s="416"/>
    </row>
    <row r="28" spans="1:14">
      <c r="A28" s="196" t="s">
        <v>34</v>
      </c>
      <c r="B28" s="200">
        <v>14.46</v>
      </c>
      <c r="C28" s="200">
        <v>20.73</v>
      </c>
      <c r="D28" s="200">
        <v>23.71</v>
      </c>
      <c r="E28" s="200">
        <v>22.69</v>
      </c>
      <c r="F28" s="200">
        <v>21.25</v>
      </c>
      <c r="G28" s="200">
        <v>37.01</v>
      </c>
      <c r="H28" s="200">
        <v>40.89</v>
      </c>
      <c r="I28" s="200">
        <v>24.24</v>
      </c>
      <c r="J28" s="200">
        <v>42.51</v>
      </c>
      <c r="K28" s="200">
        <v>48.04</v>
      </c>
      <c r="L28" s="200">
        <v>48.2</v>
      </c>
      <c r="M28" s="200">
        <v>71.430000000000007</v>
      </c>
    </row>
    <row r="29" spans="1:14">
      <c r="A29" s="197"/>
      <c r="B29" s="201"/>
      <c r="C29" s="201"/>
      <c r="D29" s="201"/>
      <c r="E29" s="201"/>
      <c r="F29" s="201"/>
      <c r="G29" s="201"/>
      <c r="H29" s="201"/>
      <c r="I29" s="201"/>
      <c r="J29" s="201"/>
      <c r="K29" s="201"/>
      <c r="L29" s="201"/>
      <c r="M29" s="201"/>
    </row>
    <row r="30" spans="1:14">
      <c r="A30" s="196" t="s">
        <v>35</v>
      </c>
      <c r="B30" s="200">
        <v>119.23</v>
      </c>
      <c r="C30" s="200">
        <v>134.38</v>
      </c>
      <c r="D30" s="200">
        <v>142.51</v>
      </c>
      <c r="E30" s="200">
        <v>158.97999999999999</v>
      </c>
      <c r="F30" s="200">
        <v>179.41</v>
      </c>
      <c r="G30" s="200">
        <v>196.81</v>
      </c>
      <c r="H30" s="200">
        <v>188.43</v>
      </c>
      <c r="I30" s="200">
        <v>176.99</v>
      </c>
      <c r="J30" s="200">
        <v>167.88</v>
      </c>
      <c r="K30" s="200">
        <v>178.16</v>
      </c>
      <c r="L30" s="200">
        <v>184.68</v>
      </c>
      <c r="M30" s="200">
        <v>217.33</v>
      </c>
      <c r="N30" s="416"/>
    </row>
    <row r="31" spans="1:14">
      <c r="A31" s="197"/>
      <c r="B31" s="201"/>
      <c r="C31" s="201"/>
      <c r="D31" s="201"/>
      <c r="E31" s="201"/>
      <c r="F31" s="201"/>
      <c r="G31" s="201"/>
      <c r="H31" s="201"/>
      <c r="I31" s="201"/>
      <c r="J31" s="201"/>
      <c r="K31" s="201"/>
      <c r="L31" s="201"/>
      <c r="M31" s="201"/>
      <c r="N31" s="417"/>
    </row>
    <row r="32" spans="1:14">
      <c r="A32" s="231" t="s">
        <v>36</v>
      </c>
      <c r="B32" s="200" t="s">
        <v>66</v>
      </c>
      <c r="C32" s="200" t="s">
        <v>66</v>
      </c>
      <c r="D32" s="200" t="s">
        <v>66</v>
      </c>
      <c r="E32" s="200" t="s">
        <v>66</v>
      </c>
      <c r="F32" s="200" t="s">
        <v>66</v>
      </c>
      <c r="G32" s="200" t="s">
        <v>66</v>
      </c>
      <c r="H32" s="200" t="s">
        <v>66</v>
      </c>
      <c r="I32" s="200" t="s">
        <v>66</v>
      </c>
      <c r="J32" s="200" t="s">
        <v>66</v>
      </c>
      <c r="K32" s="200" t="s">
        <v>66</v>
      </c>
      <c r="L32" s="200" t="s">
        <v>66</v>
      </c>
      <c r="M32" s="200" t="s">
        <v>66</v>
      </c>
      <c r="N32" s="416"/>
    </row>
    <row r="33" spans="1:15">
      <c r="A33" s="197"/>
      <c r="B33" s="201"/>
      <c r="C33" s="201"/>
      <c r="D33" s="201"/>
      <c r="E33" s="201"/>
      <c r="F33" s="201"/>
      <c r="G33" s="201"/>
      <c r="H33" s="201"/>
      <c r="I33" s="201"/>
      <c r="J33" s="201"/>
      <c r="K33" s="201"/>
      <c r="L33" s="201"/>
      <c r="M33" s="201"/>
      <c r="N33" s="416"/>
    </row>
    <row r="34" spans="1:15" ht="15" thickBot="1">
      <c r="A34" s="82" t="s">
        <v>148</v>
      </c>
      <c r="B34" s="205">
        <v>49.82</v>
      </c>
      <c r="C34" s="205">
        <v>74.02</v>
      </c>
      <c r="D34" s="205">
        <v>96.47</v>
      </c>
      <c r="E34" s="205">
        <v>89.12</v>
      </c>
      <c r="F34" s="205">
        <v>123.66</v>
      </c>
      <c r="G34" s="205">
        <v>130.16999999999999</v>
      </c>
      <c r="H34" s="205">
        <v>150.41999999999999</v>
      </c>
      <c r="I34" s="205">
        <v>180.69</v>
      </c>
      <c r="J34" s="205">
        <v>200.23</v>
      </c>
      <c r="K34" s="205">
        <v>1258.73</v>
      </c>
      <c r="L34" s="205">
        <v>265.14</v>
      </c>
      <c r="M34" s="205">
        <v>331.7</v>
      </c>
    </row>
    <row r="40" spans="1:15">
      <c r="F40" t="s">
        <v>160</v>
      </c>
    </row>
    <row r="41" spans="1:15">
      <c r="F41" t="s">
        <v>152</v>
      </c>
    </row>
    <row r="42" spans="1:15">
      <c r="F42" t="s">
        <v>149</v>
      </c>
    </row>
    <row r="43" spans="1:15">
      <c r="F43" s="85" t="s">
        <v>150</v>
      </c>
      <c r="G43" s="85"/>
      <c r="H43" s="85"/>
    </row>
    <row r="44" spans="1:15">
      <c r="F44" t="s">
        <v>151</v>
      </c>
    </row>
    <row r="45" spans="1:15">
      <c r="F45" s="85" t="s">
        <v>159</v>
      </c>
    </row>
    <row r="46" spans="1:15">
      <c r="A46" s="443" t="s">
        <v>153</v>
      </c>
      <c r="B46" s="443"/>
      <c r="C46" s="443"/>
      <c r="D46" s="443"/>
      <c r="E46" s="443"/>
      <c r="F46" s="443"/>
      <c r="G46" s="443"/>
      <c r="H46" s="443"/>
      <c r="I46" s="443"/>
      <c r="J46" s="443"/>
      <c r="K46" s="443"/>
      <c r="L46" s="443"/>
      <c r="M46" s="443"/>
    </row>
    <row r="47" spans="1:15">
      <c r="A47" s="4"/>
      <c r="B47" s="212">
        <v>2021</v>
      </c>
      <c r="C47" s="212"/>
      <c r="D47" s="212"/>
      <c r="E47" s="212"/>
      <c r="F47" s="214">
        <v>2022</v>
      </c>
      <c r="G47" s="214"/>
      <c r="H47" s="214"/>
      <c r="I47" s="214"/>
      <c r="J47" s="216">
        <v>2023</v>
      </c>
      <c r="K47" s="216"/>
      <c r="L47" s="216"/>
      <c r="M47" s="216"/>
    </row>
    <row r="48" spans="1:15" ht="15" thickBot="1">
      <c r="A48" s="10" t="s">
        <v>21</v>
      </c>
      <c r="B48" s="213"/>
      <c r="C48" s="213"/>
      <c r="D48" s="213"/>
      <c r="E48" s="213"/>
      <c r="F48" s="215"/>
      <c r="G48" s="215"/>
      <c r="H48" s="215"/>
      <c r="I48" s="215"/>
      <c r="J48" s="217"/>
      <c r="K48" s="217"/>
      <c r="L48" s="217"/>
      <c r="M48" s="217"/>
      <c r="N48" s="93">
        <v>1117491.3</v>
      </c>
      <c r="O48">
        <f>N48/100</f>
        <v>11174.913</v>
      </c>
    </row>
    <row r="49" spans="1:19">
      <c r="A49" s="168" t="s">
        <v>23</v>
      </c>
      <c r="B49" s="170">
        <v>8565.31</v>
      </c>
      <c r="C49" s="171"/>
      <c r="D49" s="171"/>
      <c r="E49" s="172"/>
      <c r="F49" s="170">
        <v>10678.37</v>
      </c>
      <c r="G49" s="171"/>
      <c r="H49" s="171"/>
      <c r="I49" s="211"/>
      <c r="J49" s="170">
        <v>15229.45</v>
      </c>
      <c r="K49" s="171"/>
      <c r="L49" s="171"/>
      <c r="M49" s="172"/>
    </row>
    <row r="50" spans="1:19">
      <c r="A50" s="169"/>
      <c r="B50" s="173"/>
      <c r="C50" s="174"/>
      <c r="D50" s="174"/>
      <c r="E50" s="175"/>
      <c r="F50" s="182"/>
      <c r="G50" s="183"/>
      <c r="H50" s="183"/>
      <c r="I50" s="184"/>
      <c r="J50" s="173"/>
      <c r="K50" s="174"/>
      <c r="L50" s="174"/>
      <c r="M50" s="175"/>
      <c r="N50">
        <f>B49</f>
        <v>8565.31</v>
      </c>
      <c r="O50">
        <f>F49</f>
        <v>10678.37</v>
      </c>
      <c r="P50">
        <f>J49</f>
        <v>15229.45</v>
      </c>
    </row>
    <row r="51" spans="1:19">
      <c r="A51" s="168" t="s">
        <v>24</v>
      </c>
      <c r="B51" s="176">
        <v>428.92200000000003</v>
      </c>
      <c r="C51" s="177"/>
      <c r="D51" s="177"/>
      <c r="E51" s="178"/>
      <c r="F51" s="179">
        <v>819.71100000000001</v>
      </c>
      <c r="G51" s="180"/>
      <c r="H51" s="180"/>
      <c r="I51" s="181"/>
      <c r="J51" s="185">
        <v>310.91000000000003</v>
      </c>
      <c r="K51" s="186"/>
      <c r="L51" s="186"/>
      <c r="M51" s="187"/>
      <c r="R51">
        <f>J49+F49</f>
        <v>25907.82</v>
      </c>
      <c r="S51">
        <f>R51/2</f>
        <v>12953.91</v>
      </c>
    </row>
    <row r="52" spans="1:19">
      <c r="A52" s="169"/>
      <c r="B52" s="173"/>
      <c r="C52" s="174"/>
      <c r="D52" s="174"/>
      <c r="E52" s="175"/>
      <c r="F52" s="182"/>
      <c r="G52" s="183"/>
      <c r="H52" s="183"/>
      <c r="I52" s="184"/>
      <c r="J52" s="188"/>
      <c r="K52" s="189"/>
      <c r="L52" s="189"/>
      <c r="M52" s="190"/>
    </row>
    <row r="53" spans="1:19">
      <c r="A53" s="168" t="s">
        <v>25</v>
      </c>
      <c r="B53" s="176">
        <v>6354.8810000000003</v>
      </c>
      <c r="C53" s="177"/>
      <c r="D53" s="177"/>
      <c r="E53" s="178"/>
      <c r="F53" s="179">
        <v>5576.69</v>
      </c>
      <c r="G53" s="180"/>
      <c r="H53" s="180"/>
      <c r="I53" s="181"/>
      <c r="J53" s="185">
        <v>9804.07</v>
      </c>
      <c r="K53" s="186"/>
      <c r="L53" s="186"/>
      <c r="M53" s="187"/>
    </row>
    <row r="54" spans="1:19" ht="15" thickBot="1">
      <c r="A54" s="169"/>
      <c r="B54" s="173"/>
      <c r="C54" s="174"/>
      <c r="D54" s="174"/>
      <c r="E54" s="175"/>
      <c r="F54" s="191"/>
      <c r="G54" s="192"/>
      <c r="H54" s="192"/>
      <c r="I54" s="193"/>
      <c r="J54" s="194"/>
      <c r="K54" s="192"/>
      <c r="L54" s="192"/>
      <c r="M54" s="195"/>
      <c r="N54">
        <f>B53</f>
        <v>6354.8810000000003</v>
      </c>
      <c r="O54">
        <f>F53</f>
        <v>5576.69</v>
      </c>
    </row>
    <row r="55" spans="1:19">
      <c r="A55" s="168" t="s">
        <v>26</v>
      </c>
      <c r="B55" s="170">
        <v>1942.06</v>
      </c>
      <c r="C55" s="171"/>
      <c r="D55" s="171"/>
      <c r="E55" s="172"/>
      <c r="F55" s="206">
        <v>5714.5</v>
      </c>
      <c r="G55" s="207"/>
      <c r="H55" s="207"/>
      <c r="I55" s="208"/>
      <c r="J55" s="209">
        <v>6424.7</v>
      </c>
      <c r="K55" s="207"/>
      <c r="L55" s="207"/>
      <c r="M55" s="210"/>
    </row>
    <row r="56" spans="1:19" ht="15" thickBot="1">
      <c r="A56" s="169"/>
      <c r="B56" s="173"/>
      <c r="C56" s="174"/>
      <c r="D56" s="174"/>
      <c r="E56" s="175"/>
      <c r="F56" s="182"/>
      <c r="G56" s="183"/>
      <c r="H56" s="183"/>
      <c r="I56" s="184"/>
      <c r="J56" s="188"/>
      <c r="K56" s="189"/>
      <c r="L56" s="189"/>
      <c r="M56" s="190"/>
    </row>
    <row r="57" spans="1:19" ht="15" thickBot="1">
      <c r="A57" s="11" t="s">
        <v>27</v>
      </c>
      <c r="B57" s="406"/>
      <c r="C57" s="407"/>
      <c r="D57" s="407"/>
      <c r="E57" s="408"/>
      <c r="F57" s="71"/>
      <c r="G57" s="72"/>
      <c r="H57" s="72"/>
      <c r="I57" s="73"/>
      <c r="J57" s="406"/>
      <c r="K57" s="407"/>
      <c r="L57" s="407"/>
      <c r="M57" s="408"/>
    </row>
    <row r="58" spans="1:19">
      <c r="A58" s="4"/>
      <c r="B58" s="218">
        <f>B47</f>
        <v>2021</v>
      </c>
      <c r="C58" s="218"/>
      <c r="D58" s="218"/>
      <c r="E58" s="218"/>
      <c r="F58" s="220">
        <f>F47</f>
        <v>2022</v>
      </c>
      <c r="G58" s="220"/>
      <c r="H58" s="220"/>
      <c r="I58" s="220"/>
      <c r="J58" s="222">
        <f>J47</f>
        <v>2023</v>
      </c>
      <c r="K58" s="222"/>
      <c r="L58" s="222"/>
      <c r="M58" s="222"/>
    </row>
    <row r="59" spans="1:19" ht="15" thickBot="1">
      <c r="A59" s="10" t="s">
        <v>28</v>
      </c>
      <c r="B59" s="219"/>
      <c r="C59" s="219"/>
      <c r="D59" s="219"/>
      <c r="E59" s="219"/>
      <c r="F59" s="221"/>
      <c r="G59" s="221"/>
      <c r="H59" s="221"/>
      <c r="I59" s="221"/>
      <c r="J59" s="223"/>
      <c r="K59" s="223"/>
      <c r="L59" s="223"/>
      <c r="M59" s="223"/>
    </row>
    <row r="60" spans="1:19">
      <c r="A60" s="168" t="s">
        <v>29</v>
      </c>
      <c r="B60" s="170">
        <v>20168</v>
      </c>
      <c r="C60" s="171"/>
      <c r="D60" s="171"/>
      <c r="E60" s="172"/>
      <c r="F60" s="206">
        <v>44327</v>
      </c>
      <c r="G60" s="207"/>
      <c r="H60" s="207"/>
      <c r="I60" s="208"/>
      <c r="J60" s="209">
        <v>44380</v>
      </c>
      <c r="K60" s="207"/>
      <c r="L60" s="207"/>
      <c r="M60" s="210"/>
    </row>
    <row r="61" spans="1:19">
      <c r="A61" s="169"/>
      <c r="B61" s="173"/>
      <c r="C61" s="174"/>
      <c r="D61" s="174"/>
      <c r="E61" s="175"/>
      <c r="F61" s="182"/>
      <c r="G61" s="183"/>
      <c r="H61" s="183"/>
      <c r="I61" s="184"/>
      <c r="J61" s="188"/>
      <c r="K61" s="189"/>
      <c r="L61" s="189"/>
      <c r="M61" s="190"/>
      <c r="N61">
        <f>J60</f>
        <v>44380</v>
      </c>
      <c r="O61">
        <f>F60</f>
        <v>44327</v>
      </c>
      <c r="P61">
        <f>B60</f>
        <v>20168</v>
      </c>
    </row>
    <row r="62" spans="1:19">
      <c r="A62" s="168" t="s">
        <v>30</v>
      </c>
      <c r="B62" s="176">
        <v>-14012</v>
      </c>
      <c r="C62" s="177"/>
      <c r="D62" s="177"/>
      <c r="E62" s="178"/>
      <c r="F62" s="179">
        <v>-9438</v>
      </c>
      <c r="G62" s="180"/>
      <c r="H62" s="180"/>
      <c r="I62" s="181"/>
      <c r="J62" s="185">
        <v>-10904</v>
      </c>
      <c r="K62" s="186"/>
      <c r="L62" s="186"/>
      <c r="M62" s="187"/>
    </row>
    <row r="63" spans="1:19">
      <c r="A63" s="169"/>
      <c r="B63" s="173"/>
      <c r="C63" s="174"/>
      <c r="D63" s="174"/>
      <c r="E63" s="175"/>
      <c r="F63" s="182"/>
      <c r="G63" s="183"/>
      <c r="H63" s="183"/>
      <c r="I63" s="184"/>
      <c r="J63" s="188"/>
      <c r="K63" s="189"/>
      <c r="L63" s="189"/>
      <c r="M63" s="190"/>
    </row>
    <row r="64" spans="1:19">
      <c r="A64" s="168" t="s">
        <v>31</v>
      </c>
      <c r="B64" s="176">
        <v>-1694</v>
      </c>
      <c r="C64" s="177"/>
      <c r="D64" s="177"/>
      <c r="E64" s="178"/>
      <c r="F64" s="179">
        <v>-37090</v>
      </c>
      <c r="G64" s="180"/>
      <c r="H64" s="180"/>
      <c r="I64" s="181"/>
      <c r="J64" s="185">
        <v>-23401</v>
      </c>
      <c r="K64" s="186"/>
      <c r="L64" s="186"/>
      <c r="M64" s="187"/>
    </row>
    <row r="65" spans="1:16" ht="15" thickBot="1">
      <c r="A65" s="169"/>
      <c r="B65" s="173"/>
      <c r="C65" s="174"/>
      <c r="D65" s="174"/>
      <c r="E65" s="175"/>
      <c r="F65" s="191"/>
      <c r="G65" s="192"/>
      <c r="H65" s="192"/>
      <c r="I65" s="193"/>
      <c r="J65" s="194"/>
      <c r="K65" s="192"/>
      <c r="L65" s="192"/>
      <c r="M65" s="195"/>
    </row>
    <row r="66" spans="1:16" ht="15" thickBot="1">
      <c r="A66" s="11" t="s">
        <v>27</v>
      </c>
      <c r="B66" s="410"/>
      <c r="C66" s="411"/>
      <c r="D66" s="411"/>
      <c r="E66" s="412"/>
      <c r="F66" s="71"/>
      <c r="G66" s="72"/>
      <c r="H66" s="72"/>
      <c r="I66" s="73"/>
      <c r="J66" s="406"/>
      <c r="K66" s="407"/>
      <c r="L66" s="407"/>
      <c r="M66" s="408"/>
    </row>
    <row r="67" spans="1:16">
      <c r="A67" s="14"/>
      <c r="B67" s="224">
        <f>B58</f>
        <v>2021</v>
      </c>
      <c r="C67" s="224"/>
      <c r="D67" s="224"/>
      <c r="E67" s="224"/>
      <c r="F67" s="225">
        <f>F58</f>
        <v>2022</v>
      </c>
      <c r="G67" s="225"/>
      <c r="H67" s="225"/>
      <c r="I67" s="225"/>
      <c r="J67" s="226">
        <f>J58</f>
        <v>2023</v>
      </c>
      <c r="K67" s="226"/>
      <c r="L67" s="226"/>
      <c r="M67" s="227"/>
    </row>
    <row r="68" spans="1:16">
      <c r="A68" s="15" t="s">
        <v>5</v>
      </c>
      <c r="B68" s="58"/>
      <c r="C68" s="59"/>
      <c r="E68" s="60"/>
      <c r="F68" s="61"/>
      <c r="G68" s="61"/>
      <c r="H68" s="61"/>
      <c r="I68" s="62"/>
      <c r="J68" s="63"/>
      <c r="K68" s="63"/>
      <c r="L68" s="63"/>
      <c r="M68" s="63"/>
    </row>
    <row r="69" spans="1:16">
      <c r="A69" s="433" t="s">
        <v>32</v>
      </c>
      <c r="B69" s="420">
        <v>1756.98</v>
      </c>
      <c r="C69" s="422"/>
      <c r="D69" s="422"/>
      <c r="E69" s="435"/>
      <c r="F69" s="437">
        <v>1458.56</v>
      </c>
      <c r="G69" s="437"/>
      <c r="H69" s="437"/>
      <c r="I69" s="438"/>
      <c r="J69" s="416">
        <v>1816.94</v>
      </c>
      <c r="K69" s="416"/>
      <c r="L69" s="416"/>
      <c r="M69" s="416"/>
    </row>
    <row r="70" spans="1:16">
      <c r="A70" s="434"/>
      <c r="B70" s="440"/>
      <c r="C70" s="441"/>
      <c r="D70" s="441"/>
      <c r="E70" s="442"/>
      <c r="F70" s="437"/>
      <c r="G70" s="437"/>
      <c r="H70" s="437"/>
      <c r="I70" s="438"/>
      <c r="J70" s="416"/>
      <c r="K70" s="416"/>
      <c r="L70" s="416"/>
      <c r="M70" s="416"/>
      <c r="N70">
        <f>J69</f>
        <v>1816.94</v>
      </c>
      <c r="O70">
        <f>F69</f>
        <v>1458.56</v>
      </c>
      <c r="P70">
        <f>B69</f>
        <v>1756.98</v>
      </c>
    </row>
    <row r="71" spans="1:16">
      <c r="A71" s="433" t="s">
        <v>33</v>
      </c>
      <c r="B71" s="420">
        <v>874.6</v>
      </c>
      <c r="C71" s="422"/>
      <c r="D71" s="422"/>
      <c r="E71" s="435"/>
      <c r="F71" s="437">
        <v>509.29</v>
      </c>
      <c r="G71" s="437"/>
      <c r="H71" s="437"/>
      <c r="I71" s="438"/>
      <c r="J71" s="416">
        <v>595.28</v>
      </c>
      <c r="K71" s="416"/>
      <c r="L71" s="416"/>
      <c r="M71" s="416"/>
    </row>
    <row r="72" spans="1:16">
      <c r="A72" s="434"/>
      <c r="B72" s="440"/>
      <c r="C72" s="441"/>
      <c r="D72" s="441"/>
      <c r="E72" s="442"/>
      <c r="F72" s="437"/>
      <c r="G72" s="437"/>
      <c r="H72" s="437"/>
      <c r="I72" s="438"/>
      <c r="J72" s="416"/>
      <c r="K72" s="416"/>
      <c r="L72" s="416"/>
      <c r="M72" s="416"/>
    </row>
    <row r="73" spans="1:16">
      <c r="A73" s="433" t="s">
        <v>34</v>
      </c>
      <c r="B73" s="420">
        <v>91.74</v>
      </c>
      <c r="C73" s="422"/>
      <c r="D73" s="422"/>
      <c r="E73" s="435"/>
      <c r="F73" s="437">
        <v>77.66</v>
      </c>
      <c r="G73" s="437"/>
      <c r="H73" s="437"/>
      <c r="I73" s="438"/>
      <c r="J73" s="416">
        <v>123.39</v>
      </c>
      <c r="K73" s="416"/>
      <c r="L73" s="416"/>
      <c r="M73" s="416"/>
    </row>
    <row r="74" spans="1:16">
      <c r="A74" s="434"/>
      <c r="B74" s="440"/>
      <c r="C74" s="441"/>
      <c r="D74" s="441"/>
      <c r="E74" s="442"/>
      <c r="F74" s="437"/>
      <c r="G74" s="437"/>
      <c r="H74" s="437"/>
      <c r="I74" s="438"/>
      <c r="J74" s="416"/>
      <c r="K74" s="416"/>
      <c r="L74" s="416"/>
      <c r="M74" s="416"/>
      <c r="N74">
        <f>B73</f>
        <v>91.74</v>
      </c>
      <c r="O74">
        <f>F73</f>
        <v>77.66</v>
      </c>
      <c r="P74">
        <f>J73</f>
        <v>123.39</v>
      </c>
    </row>
    <row r="75" spans="1:16">
      <c r="A75" s="433" t="s">
        <v>35</v>
      </c>
      <c r="B75" s="420">
        <v>404.12</v>
      </c>
      <c r="C75" s="422"/>
      <c r="D75" s="422"/>
      <c r="E75" s="435"/>
      <c r="F75" s="437">
        <v>555</v>
      </c>
      <c r="G75" s="437"/>
      <c r="H75" s="437"/>
      <c r="I75" s="438"/>
      <c r="J75" s="416">
        <v>741.64</v>
      </c>
      <c r="K75" s="416"/>
      <c r="L75" s="416"/>
      <c r="M75" s="416"/>
    </row>
    <row r="76" spans="1:16">
      <c r="A76" s="434"/>
      <c r="B76" s="421"/>
      <c r="C76" s="423"/>
      <c r="D76" s="423"/>
      <c r="E76" s="436"/>
      <c r="F76" s="426"/>
      <c r="G76" s="426"/>
      <c r="H76" s="426"/>
      <c r="I76" s="439"/>
      <c r="J76" s="417"/>
      <c r="K76" s="417"/>
      <c r="L76" s="417"/>
      <c r="M76" s="417"/>
      <c r="N76">
        <f>B75</f>
        <v>404.12</v>
      </c>
      <c r="O76">
        <f>F75</f>
        <v>555</v>
      </c>
      <c r="P76">
        <f>J75</f>
        <v>741.64</v>
      </c>
    </row>
    <row r="77" spans="1:16">
      <c r="A77" s="418" t="s">
        <v>36</v>
      </c>
      <c r="B77" s="420">
        <v>18.68</v>
      </c>
      <c r="C77" s="422"/>
      <c r="D77" s="422"/>
      <c r="E77" s="424"/>
      <c r="F77" s="426">
        <v>49.25</v>
      </c>
      <c r="G77" s="426"/>
      <c r="H77" s="426"/>
      <c r="I77" s="428"/>
      <c r="J77" s="417" t="s">
        <v>66</v>
      </c>
      <c r="K77" s="417"/>
      <c r="L77" s="417"/>
      <c r="M77" s="431"/>
    </row>
    <row r="78" spans="1:16" ht="15" thickBot="1">
      <c r="A78" s="419"/>
      <c r="B78" s="421"/>
      <c r="C78" s="423"/>
      <c r="D78" s="423"/>
      <c r="E78" s="425"/>
      <c r="F78" s="427"/>
      <c r="G78" s="427"/>
      <c r="H78" s="427"/>
      <c r="I78" s="429"/>
      <c r="J78" s="430"/>
      <c r="K78" s="430"/>
      <c r="L78" s="430"/>
      <c r="M78" s="432"/>
    </row>
    <row r="79" spans="1:16" ht="15" thickBot="1">
      <c r="A79" s="82" t="s">
        <v>148</v>
      </c>
      <c r="B79" s="79">
        <v>-575.41</v>
      </c>
      <c r="C79" s="80"/>
      <c r="D79" s="80"/>
      <c r="E79" s="81"/>
      <c r="F79" s="68">
        <v>294.83</v>
      </c>
      <c r="G79" s="77"/>
      <c r="H79" s="77"/>
      <c r="I79" s="78"/>
      <c r="J79" s="69">
        <v>586.29999999999995</v>
      </c>
      <c r="K79" s="76"/>
      <c r="L79" s="76"/>
      <c r="M79" s="76"/>
    </row>
    <row r="80" spans="1:16">
      <c r="A80" s="4"/>
      <c r="B80" s="413"/>
      <c r="C80" s="413"/>
      <c r="D80" s="413"/>
      <c r="E80" s="413"/>
      <c r="F80" s="414"/>
      <c r="G80" s="414"/>
      <c r="H80" s="414"/>
      <c r="I80" s="414"/>
      <c r="J80" s="415"/>
      <c r="K80" s="415"/>
      <c r="L80" s="415"/>
      <c r="M80" s="415"/>
    </row>
    <row r="82" spans="1:10">
      <c r="B82">
        <f>B79</f>
        <v>-575.41</v>
      </c>
      <c r="F82">
        <f>F79</f>
        <v>294.83</v>
      </c>
      <c r="J82">
        <f>J79</f>
        <v>586.29999999999995</v>
      </c>
    </row>
    <row r="84" spans="1:10">
      <c r="B84">
        <f>B69</f>
        <v>1756.98</v>
      </c>
      <c r="F84">
        <f>F69</f>
        <v>1458.56</v>
      </c>
      <c r="J84">
        <f>J69</f>
        <v>1816.94</v>
      </c>
    </row>
    <row r="85" spans="1:10">
      <c r="B85">
        <f>B69-B71</f>
        <v>882.38</v>
      </c>
      <c r="F85">
        <f>F69-F71</f>
        <v>949.27</v>
      </c>
      <c r="J85">
        <f>J69-J71</f>
        <v>1221.6600000000001</v>
      </c>
    </row>
    <row r="87" spans="1:10">
      <c r="B87">
        <f>B69-B75</f>
        <v>1352.8600000000001</v>
      </c>
      <c r="F87">
        <f>F69-F75</f>
        <v>903.56</v>
      </c>
      <c r="J87">
        <f>J69-J75</f>
        <v>1075.3000000000002</v>
      </c>
    </row>
    <row r="93" spans="1:10">
      <c r="B93" t="s">
        <v>326</v>
      </c>
    </row>
    <row r="94" spans="1:10">
      <c r="B94">
        <v>2021</v>
      </c>
      <c r="C94">
        <v>2022</v>
      </c>
      <c r="D94">
        <v>2023</v>
      </c>
    </row>
    <row r="95" spans="1:10">
      <c r="B95" s="27">
        <f>21.53/AVERAGE(B49,O48)</f>
        <v>2.1813330072309725E-3</v>
      </c>
      <c r="C95" s="290">
        <f>118.21/AVERAGE(F49,B49)</f>
        <v>1.2285591944991809E-2</v>
      </c>
      <c r="D95" s="27">
        <f>25.04/AVERAGE(F49,J49)</f>
        <v>1.9330070997868596E-3</v>
      </c>
    </row>
    <row r="96" spans="1:10">
      <c r="A96" s="358" t="s">
        <v>198</v>
      </c>
    </row>
    <row r="97" spans="1:9" ht="60.6">
      <c r="A97" s="359" t="s">
        <v>401</v>
      </c>
      <c r="B97" t="s">
        <v>363</v>
      </c>
    </row>
    <row r="98" spans="1:9">
      <c r="B98">
        <v>2021</v>
      </c>
      <c r="C98">
        <v>2022</v>
      </c>
      <c r="D98">
        <v>2023</v>
      </c>
    </row>
    <row r="99" spans="1:9">
      <c r="B99" s="87">
        <v>0.96399999999999997</v>
      </c>
    </row>
    <row r="101" spans="1:9">
      <c r="B101" t="s">
        <v>198</v>
      </c>
      <c r="G101" t="str">
        <f>B101</f>
        <v>Slipage Ratio</v>
      </c>
    </row>
    <row r="102" spans="1:9">
      <c r="B102">
        <v>2021</v>
      </c>
      <c r="C102">
        <v>2022</v>
      </c>
      <c r="D102">
        <v>2023</v>
      </c>
      <c r="G102" s="354">
        <f>B102</f>
        <v>2021</v>
      </c>
      <c r="H102" s="354">
        <f>C102</f>
        <v>2022</v>
      </c>
      <c r="I102" s="354">
        <f>D102</f>
        <v>2023</v>
      </c>
    </row>
    <row r="103" spans="1:9">
      <c r="A103" t="s">
        <v>398</v>
      </c>
      <c r="B103">
        <v>418.54</v>
      </c>
      <c r="C103">
        <v>372.2</v>
      </c>
      <c r="D103">
        <v>225.1</v>
      </c>
      <c r="G103" s="354" t="str">
        <f>"-"</f>
        <v>-</v>
      </c>
      <c r="H103" s="354" t="str">
        <f>"-"</f>
        <v>-</v>
      </c>
      <c r="I103" s="165">
        <f>(D103/D104)*100</f>
        <v>610.35791757049878</v>
      </c>
    </row>
    <row r="104" spans="1:9">
      <c r="A104" t="s">
        <v>397</v>
      </c>
      <c r="B104" t="s">
        <v>66</v>
      </c>
      <c r="C104" t="s">
        <v>66</v>
      </c>
      <c r="D104">
        <v>36.880000000000003</v>
      </c>
    </row>
    <row r="106" spans="1:9">
      <c r="A106" s="353"/>
      <c r="B106" s="356">
        <v>2021</v>
      </c>
      <c r="C106" s="356">
        <v>2022</v>
      </c>
      <c r="D106" s="356">
        <v>2023</v>
      </c>
      <c r="E106" s="356">
        <v>2020</v>
      </c>
    </row>
    <row r="107" spans="1:9">
      <c r="A107" s="353" t="s">
        <v>191</v>
      </c>
      <c r="B107" s="353"/>
      <c r="C107" s="353"/>
      <c r="D107" s="353"/>
    </row>
    <row r="108" spans="1:9">
      <c r="A108" s="353" t="s">
        <v>165</v>
      </c>
      <c r="B108" s="353">
        <f>'Automation Working'!H8</f>
        <v>874.59</v>
      </c>
      <c r="C108" s="353">
        <f>'Automation Working'!I8</f>
        <v>509.28</v>
      </c>
      <c r="D108" s="353">
        <f>'Automation Working'!J8</f>
        <v>595.28</v>
      </c>
    </row>
    <row r="109" spans="1:9">
      <c r="A109" s="353" t="s">
        <v>25</v>
      </c>
      <c r="B109" s="353">
        <f>B53</f>
        <v>6354.8810000000003</v>
      </c>
      <c r="C109" s="353">
        <f>F53</f>
        <v>5576.69</v>
      </c>
      <c r="D109" s="353">
        <f>J53</f>
        <v>9804.07</v>
      </c>
      <c r="E109" s="93">
        <f>859857.27/100</f>
        <v>8598.5727000000006</v>
      </c>
    </row>
    <row r="110" spans="1:9">
      <c r="A110" s="353"/>
      <c r="B110" s="357">
        <v>2021</v>
      </c>
      <c r="C110" s="357">
        <v>2022</v>
      </c>
      <c r="D110" s="357">
        <v>2023</v>
      </c>
      <c r="E110" s="357">
        <v>2020</v>
      </c>
    </row>
    <row r="111" spans="1:9">
      <c r="A111" s="353" t="s">
        <v>192</v>
      </c>
      <c r="B111" s="353"/>
      <c r="C111" s="353"/>
      <c r="D111" s="353"/>
    </row>
    <row r="112" spans="1:9">
      <c r="A112" s="353" t="s">
        <v>32</v>
      </c>
      <c r="B112" s="355">
        <f>B69</f>
        <v>1756.98</v>
      </c>
      <c r="C112" s="353">
        <f>F69</f>
        <v>1458.56</v>
      </c>
      <c r="D112" s="353">
        <f>J69</f>
        <v>1816.94</v>
      </c>
    </row>
    <row r="113" spans="1:5">
      <c r="A113" s="353" t="s">
        <v>23</v>
      </c>
      <c r="B113" s="353">
        <f>B49</f>
        <v>8565.31</v>
      </c>
      <c r="C113" s="353">
        <f>F49</f>
        <v>10678.37</v>
      </c>
      <c r="D113" s="353">
        <f>J49</f>
        <v>15229.45</v>
      </c>
      <c r="E113" s="93">
        <f>1117491.3/100</f>
        <v>11174.913</v>
      </c>
    </row>
    <row r="115" spans="1:5">
      <c r="A115" s="354" t="s">
        <v>399</v>
      </c>
      <c r="B115" s="354">
        <f>B106</f>
        <v>2021</v>
      </c>
      <c r="C115" s="354">
        <f>C106</f>
        <v>2022</v>
      </c>
      <c r="D115" s="354">
        <f>D106</f>
        <v>2023</v>
      </c>
    </row>
    <row r="116" spans="1:5">
      <c r="B116" s="26">
        <f>(B112/AVERAGE(B113,E113)-(B108/AVERAGE(B109,E109)))</f>
        <v>6.1035163587480207E-2</v>
      </c>
      <c r="C116" s="26">
        <f>(C112/AVERAGE(B113,C113)-(C108/AVERAGE(B109,C109)))</f>
        <v>6.6221672518816277E-2</v>
      </c>
      <c r="D116" s="26">
        <f>(D112/AVERAGE(D113,C113)-(D108/AVERAGE(D109,C109)))</f>
        <v>6.2856099866103007E-2</v>
      </c>
    </row>
    <row r="118" spans="1:5">
      <c r="C118" s="155">
        <f>C108/AVERAGE(B109,C109)</f>
        <v>8.5366797046256521E-2</v>
      </c>
    </row>
    <row r="119" spans="1:5">
      <c r="C119" s="155">
        <f>C112/AVERAGE(B113,C113)</f>
        <v>0.1515884695650728</v>
      </c>
    </row>
  </sheetData>
  <mergeCells count="172">
    <mergeCell ref="H4:H5"/>
    <mergeCell ref="I4:I5"/>
    <mergeCell ref="J4:J5"/>
    <mergeCell ref="K4:K5"/>
    <mergeCell ref="L4:L5"/>
    <mergeCell ref="M4:M5"/>
    <mergeCell ref="A4:A5"/>
    <mergeCell ref="B4:B5"/>
    <mergeCell ref="C4:C5"/>
    <mergeCell ref="D4:D5"/>
    <mergeCell ref="E4:E5"/>
    <mergeCell ref="F4:F5"/>
    <mergeCell ref="G4:G5"/>
    <mergeCell ref="M6:M7"/>
    <mergeCell ref="A8:A9"/>
    <mergeCell ref="B8:B9"/>
    <mergeCell ref="C8:C9"/>
    <mergeCell ref="D8:D9"/>
    <mergeCell ref="E8:E9"/>
    <mergeCell ref="F8:F9"/>
    <mergeCell ref="G8:G9"/>
    <mergeCell ref="H8:H9"/>
    <mergeCell ref="I8:I9"/>
    <mergeCell ref="G6:G7"/>
    <mergeCell ref="H6:H7"/>
    <mergeCell ref="I6:I7"/>
    <mergeCell ref="J6:J7"/>
    <mergeCell ref="K6:K7"/>
    <mergeCell ref="L6:L7"/>
    <mergeCell ref="A6:A7"/>
    <mergeCell ref="B6:B7"/>
    <mergeCell ref="C6:C7"/>
    <mergeCell ref="D6:D7"/>
    <mergeCell ref="E6:E7"/>
    <mergeCell ref="F6:F7"/>
    <mergeCell ref="J8:J9"/>
    <mergeCell ref="K8:K9"/>
    <mergeCell ref="L8:L9"/>
    <mergeCell ref="M8:M9"/>
    <mergeCell ref="A10:A11"/>
    <mergeCell ref="B10:B11"/>
    <mergeCell ref="C10:C11"/>
    <mergeCell ref="D10:D11"/>
    <mergeCell ref="E10:E11"/>
    <mergeCell ref="F10:F11"/>
    <mergeCell ref="M10:M11"/>
    <mergeCell ref="G19:G20"/>
    <mergeCell ref="H19:H20"/>
    <mergeCell ref="I19:I20"/>
    <mergeCell ref="J19:J20"/>
    <mergeCell ref="B12:E12"/>
    <mergeCell ref="J12:M12"/>
    <mergeCell ref="G10:G11"/>
    <mergeCell ref="H10:H11"/>
    <mergeCell ref="I10:I11"/>
    <mergeCell ref="J10:J11"/>
    <mergeCell ref="K10:K11"/>
    <mergeCell ref="L10:L11"/>
    <mergeCell ref="M15:M16"/>
    <mergeCell ref="G15:G16"/>
    <mergeCell ref="H15:H16"/>
    <mergeCell ref="I15:I16"/>
    <mergeCell ref="J15:J16"/>
    <mergeCell ref="K15:K16"/>
    <mergeCell ref="L15:L16"/>
    <mergeCell ref="D15:D16"/>
    <mergeCell ref="E15:E16"/>
    <mergeCell ref="F15:F16"/>
    <mergeCell ref="J17:J18"/>
    <mergeCell ref="K17:K18"/>
    <mergeCell ref="L17:L18"/>
    <mergeCell ref="A17:A18"/>
    <mergeCell ref="B17:B18"/>
    <mergeCell ref="C17:C18"/>
    <mergeCell ref="D17:D18"/>
    <mergeCell ref="E17:E18"/>
    <mergeCell ref="F17:F18"/>
    <mergeCell ref="G17:G18"/>
    <mergeCell ref="H17:H18"/>
    <mergeCell ref="I17:I18"/>
    <mergeCell ref="B57:E57"/>
    <mergeCell ref="J57:M57"/>
    <mergeCell ref="B66:E66"/>
    <mergeCell ref="J66:M66"/>
    <mergeCell ref="N26:N27"/>
    <mergeCell ref="N30:N31"/>
    <mergeCell ref="N32:N33"/>
    <mergeCell ref="A46:M46"/>
    <mergeCell ref="A1:M1"/>
    <mergeCell ref="K19:K20"/>
    <mergeCell ref="L19:L20"/>
    <mergeCell ref="M17:M18"/>
    <mergeCell ref="A19:A20"/>
    <mergeCell ref="B19:B20"/>
    <mergeCell ref="C19:C20"/>
    <mergeCell ref="D19:D20"/>
    <mergeCell ref="E19:E20"/>
    <mergeCell ref="F19:F20"/>
    <mergeCell ref="M19:M20"/>
    <mergeCell ref="B21:E21"/>
    <mergeCell ref="J21:M21"/>
    <mergeCell ref="A15:A16"/>
    <mergeCell ref="B15:B16"/>
    <mergeCell ref="C15:C16"/>
    <mergeCell ref="M69:M70"/>
    <mergeCell ref="A71:A72"/>
    <mergeCell ref="B71:B72"/>
    <mergeCell ref="C71:C72"/>
    <mergeCell ref="D71:D72"/>
    <mergeCell ref="E71:E72"/>
    <mergeCell ref="F71:F72"/>
    <mergeCell ref="G71:G72"/>
    <mergeCell ref="H71:H72"/>
    <mergeCell ref="I71:I72"/>
    <mergeCell ref="E69:E70"/>
    <mergeCell ref="F69:F70"/>
    <mergeCell ref="G69:G70"/>
    <mergeCell ref="H69:H70"/>
    <mergeCell ref="I69:I70"/>
    <mergeCell ref="J69:J70"/>
    <mergeCell ref="K69:K70"/>
    <mergeCell ref="L69:L70"/>
    <mergeCell ref="J71:J72"/>
    <mergeCell ref="K71:K72"/>
    <mergeCell ref="A69:A70"/>
    <mergeCell ref="B69:B70"/>
    <mergeCell ref="C69:C70"/>
    <mergeCell ref="D69:D70"/>
    <mergeCell ref="E75:E76"/>
    <mergeCell ref="F75:F76"/>
    <mergeCell ref="G75:G76"/>
    <mergeCell ref="H75:H76"/>
    <mergeCell ref="I75:I76"/>
    <mergeCell ref="L71:L72"/>
    <mergeCell ref="M71:M72"/>
    <mergeCell ref="A73:A74"/>
    <mergeCell ref="B73:B74"/>
    <mergeCell ref="C73:C74"/>
    <mergeCell ref="D73:D74"/>
    <mergeCell ref="E73:E74"/>
    <mergeCell ref="F73:F74"/>
    <mergeCell ref="G73:G74"/>
    <mergeCell ref="H73:H74"/>
    <mergeCell ref="I73:I74"/>
    <mergeCell ref="J73:J74"/>
    <mergeCell ref="K73:K74"/>
    <mergeCell ref="L73:L74"/>
    <mergeCell ref="M73:M74"/>
    <mergeCell ref="B80:E80"/>
    <mergeCell ref="F80:I80"/>
    <mergeCell ref="J80:M80"/>
    <mergeCell ref="J75:J76"/>
    <mergeCell ref="K75:K76"/>
    <mergeCell ref="L75:L76"/>
    <mergeCell ref="M75:M76"/>
    <mergeCell ref="A77:A78"/>
    <mergeCell ref="B77:B78"/>
    <mergeCell ref="C77:C78"/>
    <mergeCell ref="D77:D78"/>
    <mergeCell ref="E77:E78"/>
    <mergeCell ref="F77:F78"/>
    <mergeCell ref="G77:G78"/>
    <mergeCell ref="H77:H78"/>
    <mergeCell ref="I77:I78"/>
    <mergeCell ref="J77:J78"/>
    <mergeCell ref="K77:K78"/>
    <mergeCell ref="L77:L78"/>
    <mergeCell ref="M77:M78"/>
    <mergeCell ref="A75:A76"/>
    <mergeCell ref="B75:B76"/>
    <mergeCell ref="C75:C76"/>
    <mergeCell ref="D75:D76"/>
  </mergeCells>
  <pageMargins left="0.7" right="0.7" top="0.75" bottom="0.75" header="0.3" footer="0.3"/>
  <pageSetup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A23" sqref="A23"/>
    </sheetView>
  </sheetViews>
  <sheetFormatPr defaultRowHeight="14.4"/>
  <cols>
    <col min="1" max="1" width="19.109375" bestFit="1" customWidth="1"/>
    <col min="2" max="2" width="6.44140625" bestFit="1" customWidth="1"/>
    <col min="3" max="3" width="4.77734375" bestFit="1" customWidth="1"/>
    <col min="4" max="4" width="5.77734375" bestFit="1" customWidth="1"/>
    <col min="5" max="5" width="10.77734375" bestFit="1" customWidth="1"/>
    <col min="6" max="43" width="37.77734375" bestFit="1" customWidth="1"/>
    <col min="44" max="44" width="10.77734375" bestFit="1" customWidth="1"/>
  </cols>
  <sheetData>
    <row r="1" spans="1:2">
      <c r="A1" s="160" t="s">
        <v>228</v>
      </c>
      <c r="B1" t="s">
        <v>299</v>
      </c>
    </row>
    <row r="2" spans="1:2">
      <c r="A2" s="160" t="s">
        <v>229</v>
      </c>
      <c r="B2" t="s">
        <v>299</v>
      </c>
    </row>
    <row r="3" spans="1:2">
      <c r="A3" s="160" t="s">
        <v>230</v>
      </c>
      <c r="B3" t="s">
        <v>299</v>
      </c>
    </row>
    <row r="5" spans="1:2">
      <c r="A5" s="160" t="s">
        <v>302</v>
      </c>
    </row>
    <row r="6" spans="1:2">
      <c r="A6" s="161" t="s">
        <v>169</v>
      </c>
    </row>
    <row r="7" spans="1:2">
      <c r="A7" s="161" t="s">
        <v>175</v>
      </c>
    </row>
    <row r="8" spans="1:2">
      <c r="A8" s="161" t="s">
        <v>168</v>
      </c>
    </row>
    <row r="9" spans="1:2">
      <c r="A9" s="161" t="s">
        <v>301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7"/>
  <sheetViews>
    <sheetView topLeftCell="A111" workbookViewId="0">
      <selection activeCell="C145" sqref="C145"/>
    </sheetView>
  </sheetViews>
  <sheetFormatPr defaultRowHeight="14.4"/>
  <cols>
    <col min="1" max="1" width="101.77734375" bestFit="1" customWidth="1"/>
    <col min="2" max="3" width="29.77734375" bestFit="1" customWidth="1"/>
    <col min="4" max="4" width="15" bestFit="1" customWidth="1"/>
    <col min="5" max="5" width="11" customWidth="1"/>
    <col min="6" max="7" width="4.77734375" bestFit="1" customWidth="1"/>
    <col min="8" max="8" width="10.77734375" bestFit="1" customWidth="1"/>
    <col min="9" max="34" width="37.77734375" bestFit="1" customWidth="1"/>
    <col min="35" max="35" width="10.77734375" bestFit="1" customWidth="1"/>
  </cols>
  <sheetData>
    <row r="1" spans="1:5">
      <c r="A1" s="134" t="s">
        <v>313</v>
      </c>
    </row>
    <row r="2" spans="1:5">
      <c r="A2" s="134" t="s">
        <v>314</v>
      </c>
    </row>
    <row r="5" spans="1:5">
      <c r="A5" t="s">
        <v>342</v>
      </c>
    </row>
    <row r="6" spans="1:5">
      <c r="A6" t="s">
        <v>343</v>
      </c>
    </row>
    <row r="7" spans="1:5">
      <c r="A7" t="s">
        <v>344</v>
      </c>
    </row>
    <row r="8" spans="1:5">
      <c r="A8" t="s">
        <v>357</v>
      </c>
    </row>
    <row r="9" spans="1:5">
      <c r="A9" t="s">
        <v>358</v>
      </c>
    </row>
    <row r="10" spans="1:5">
      <c r="D10" s="56">
        <v>35511</v>
      </c>
      <c r="E10" s="56">
        <v>35511</v>
      </c>
    </row>
    <row r="11" spans="1:5">
      <c r="A11" s="56">
        <v>30471</v>
      </c>
    </row>
    <row r="12" spans="1:5">
      <c r="A12" s="56">
        <v>27561</v>
      </c>
    </row>
    <row r="13" spans="1:5">
      <c r="A13" s="56">
        <v>27253</v>
      </c>
    </row>
    <row r="14" spans="1:5">
      <c r="A14" s="56">
        <v>24284</v>
      </c>
    </row>
    <row r="15" spans="1:5">
      <c r="A15" s="56">
        <v>17183</v>
      </c>
    </row>
    <row r="16" spans="1:5">
      <c r="A16" s="56">
        <v>14715</v>
      </c>
    </row>
    <row r="17" spans="1:1">
      <c r="A17" s="56">
        <v>12677</v>
      </c>
    </row>
    <row r="18" spans="1:1">
      <c r="A18" s="56">
        <v>9553</v>
      </c>
    </row>
    <row r="19" spans="1:1">
      <c r="A19" s="56">
        <v>6452</v>
      </c>
    </row>
    <row r="20" spans="1:1">
      <c r="A20" s="56">
        <v>6249</v>
      </c>
    </row>
    <row r="21" spans="1:1">
      <c r="A21" s="56">
        <v>7511</v>
      </c>
    </row>
    <row r="22" spans="1:1">
      <c r="A22" s="56">
        <v>2129</v>
      </c>
    </row>
    <row r="23" spans="1:1">
      <c r="A23" s="56">
        <v>2979</v>
      </c>
    </row>
    <row r="24" spans="1:1">
      <c r="A24" s="56">
        <v>3892</v>
      </c>
    </row>
    <row r="25" spans="1:1">
      <c r="A25" s="56">
        <v>3971</v>
      </c>
    </row>
    <row r="26" spans="1:1">
      <c r="A26">
        <v>657</v>
      </c>
    </row>
    <row r="27" spans="1:1">
      <c r="A27">
        <v>741</v>
      </c>
    </row>
    <row r="28" spans="1:1">
      <c r="A28" s="56">
        <v>1590</v>
      </c>
    </row>
    <row r="29" spans="1:1">
      <c r="A29" t="s">
        <v>345</v>
      </c>
    </row>
    <row r="30" spans="1:1">
      <c r="A30" t="s">
        <v>346</v>
      </c>
    </row>
    <row r="31" spans="1:1">
      <c r="A31" t="s">
        <v>347</v>
      </c>
    </row>
    <row r="32" spans="1:1">
      <c r="A32" t="s">
        <v>348</v>
      </c>
    </row>
    <row r="33" spans="1:1">
      <c r="A33" t="s">
        <v>349</v>
      </c>
    </row>
    <row r="34" spans="1:1">
      <c r="A34" t="s">
        <v>350</v>
      </c>
    </row>
    <row r="35" spans="1:1">
      <c r="A35" t="s">
        <v>351</v>
      </c>
    </row>
    <row r="36" spans="1:1">
      <c r="A36" t="s">
        <v>352</v>
      </c>
    </row>
    <row r="37" spans="1:1">
      <c r="A37" t="s">
        <v>353</v>
      </c>
    </row>
    <row r="38" spans="1:1">
      <c r="A38" t="s">
        <v>354</v>
      </c>
    </row>
    <row r="39" spans="1:1">
      <c r="A39" t="s">
        <v>355</v>
      </c>
    </row>
    <row r="40" spans="1:1">
      <c r="A40" s="56">
        <v>1472</v>
      </c>
    </row>
    <row r="41" spans="1:1">
      <c r="A41" s="56">
        <v>2239</v>
      </c>
    </row>
    <row r="42" spans="1:1">
      <c r="A42" s="56">
        <v>2302</v>
      </c>
    </row>
    <row r="43" spans="1:1">
      <c r="A43" s="56">
        <v>2481</v>
      </c>
    </row>
    <row r="44" spans="1:1">
      <c r="A44" s="56">
        <v>3304</v>
      </c>
    </row>
    <row r="45" spans="1:1">
      <c r="A45" s="56">
        <v>5167</v>
      </c>
    </row>
    <row r="46" spans="1:1">
      <c r="A46" s="56">
        <v>2468</v>
      </c>
    </row>
    <row r="47" spans="1:1">
      <c r="A47" s="56">
        <v>3277</v>
      </c>
    </row>
    <row r="48" spans="1:1">
      <c r="A48" s="56">
        <v>3218</v>
      </c>
    </row>
    <row r="49" spans="1:1">
      <c r="A49">
        <v>0</v>
      </c>
    </row>
    <row r="50" spans="1:1">
      <c r="A50" t="s">
        <v>356</v>
      </c>
    </row>
    <row r="51" spans="1:1">
      <c r="A51" s="292">
        <v>2.2400000000000002</v>
      </c>
    </row>
    <row r="52" spans="1:1">
      <c r="A52" s="292">
        <v>3.02</v>
      </c>
    </row>
    <row r="53" spans="1:1">
      <c r="A53" s="292">
        <v>1.45</v>
      </c>
    </row>
    <row r="54" spans="1:1">
      <c r="A54" s="292">
        <v>0.62</v>
      </c>
    </row>
    <row r="55" spans="1:1">
      <c r="A55" s="292">
        <v>0.53</v>
      </c>
    </row>
    <row r="56" spans="1:1">
      <c r="A56" s="292">
        <v>0.69</v>
      </c>
    </row>
    <row r="57" spans="1:1">
      <c r="A57" s="292">
        <v>0.17</v>
      </c>
    </row>
    <row r="58" spans="1:1">
      <c r="A58" s="292">
        <v>0.13</v>
      </c>
    </row>
    <row r="59" spans="1:1">
      <c r="A59" s="292">
        <v>0.12</v>
      </c>
    </row>
    <row r="60" spans="1:1">
      <c r="A60" s="292">
        <v>0</v>
      </c>
    </row>
    <row r="66" spans="1:4">
      <c r="A66" s="346" t="s">
        <v>364</v>
      </c>
      <c r="B66" s="346" t="s">
        <v>365</v>
      </c>
      <c r="C66" s="346" t="s">
        <v>366</v>
      </c>
      <c r="D66" s="346" t="s">
        <v>367</v>
      </c>
    </row>
    <row r="67" spans="1:4" ht="15" thickBot="1">
      <c r="A67" s="347" t="s">
        <v>368</v>
      </c>
      <c r="B67" s="347" t="s">
        <v>369</v>
      </c>
      <c r="C67" s="347" t="s">
        <v>370</v>
      </c>
      <c r="D67" s="347">
        <v>600</v>
      </c>
    </row>
    <row r="68" spans="1:4" ht="15" thickBot="1">
      <c r="A68" s="347" t="s">
        <v>368</v>
      </c>
      <c r="B68" s="347" t="s">
        <v>369</v>
      </c>
      <c r="C68" s="347" t="s">
        <v>371</v>
      </c>
      <c r="D68" s="347">
        <v>400</v>
      </c>
    </row>
    <row r="69" spans="1:4" ht="15" thickBot="1">
      <c r="A69" s="347" t="s">
        <v>368</v>
      </c>
      <c r="B69" s="347" t="s">
        <v>369</v>
      </c>
      <c r="C69" s="347" t="s">
        <v>372</v>
      </c>
      <c r="D69" s="347">
        <v>564.66999999999996</v>
      </c>
    </row>
    <row r="70" spans="1:4" ht="15" thickBot="1">
      <c r="A70" s="347" t="s">
        <v>373</v>
      </c>
      <c r="B70" s="347" t="s">
        <v>374</v>
      </c>
      <c r="C70" s="347" t="s">
        <v>375</v>
      </c>
      <c r="D70" s="347">
        <v>175</v>
      </c>
    </row>
    <row r="71" spans="1:4" ht="15" thickBot="1">
      <c r="A71" s="347" t="s">
        <v>373</v>
      </c>
      <c r="B71" s="347" t="s">
        <v>374</v>
      </c>
      <c r="C71" s="347" t="s">
        <v>376</v>
      </c>
      <c r="D71" s="347">
        <v>100</v>
      </c>
    </row>
    <row r="72" spans="1:4" ht="15" thickBot="1">
      <c r="A72" s="347" t="s">
        <v>373</v>
      </c>
      <c r="B72" s="347" t="s">
        <v>374</v>
      </c>
      <c r="C72" s="347" t="s">
        <v>377</v>
      </c>
      <c r="D72" s="347">
        <v>200</v>
      </c>
    </row>
    <row r="73" spans="1:4" ht="15" thickBot="1">
      <c r="A73" s="347" t="s">
        <v>373</v>
      </c>
      <c r="B73" s="347" t="s">
        <v>374</v>
      </c>
      <c r="C73" s="347" t="s">
        <v>378</v>
      </c>
      <c r="D73" s="347">
        <v>180</v>
      </c>
    </row>
    <row r="74" spans="1:4" ht="15" thickBot="1">
      <c r="A74" s="347" t="s">
        <v>373</v>
      </c>
      <c r="B74" s="347" t="s">
        <v>374</v>
      </c>
      <c r="C74" s="347" t="s">
        <v>379</v>
      </c>
      <c r="D74" s="347">
        <v>238.5</v>
      </c>
    </row>
    <row r="75" spans="1:4" ht="15" thickBot="1">
      <c r="A75" s="347" t="s">
        <v>373</v>
      </c>
      <c r="B75" s="347" t="s">
        <v>374</v>
      </c>
      <c r="C75" s="347" t="s">
        <v>372</v>
      </c>
      <c r="D75" s="347">
        <v>37</v>
      </c>
    </row>
    <row r="76" spans="1:4" ht="15" thickBot="1">
      <c r="A76" s="347" t="s">
        <v>373</v>
      </c>
      <c r="B76" s="347" t="s">
        <v>374</v>
      </c>
      <c r="C76" s="347" t="s">
        <v>380</v>
      </c>
      <c r="D76" s="347">
        <v>1100</v>
      </c>
    </row>
    <row r="77" spans="1:4" ht="15" thickBot="1">
      <c r="A77" s="347" t="s">
        <v>373</v>
      </c>
      <c r="B77" s="347" t="s">
        <v>374</v>
      </c>
      <c r="C77" s="347" t="s">
        <v>381</v>
      </c>
      <c r="D77" s="347">
        <v>1168</v>
      </c>
    </row>
    <row r="78" spans="1:4" ht="15" thickBot="1">
      <c r="A78" s="347" t="s">
        <v>373</v>
      </c>
      <c r="B78" s="347" t="s">
        <v>374</v>
      </c>
      <c r="C78" s="347" t="s">
        <v>382</v>
      </c>
      <c r="D78" s="347">
        <v>625</v>
      </c>
    </row>
    <row r="79" spans="1:4" ht="15" thickBot="1">
      <c r="A79" s="347" t="s">
        <v>383</v>
      </c>
      <c r="B79" s="347" t="s">
        <v>384</v>
      </c>
      <c r="C79" s="347" t="s">
        <v>372</v>
      </c>
      <c r="D79" s="347">
        <v>200</v>
      </c>
    </row>
    <row r="80" spans="1:4" ht="15" thickBot="1">
      <c r="A80" s="347" t="s">
        <v>385</v>
      </c>
      <c r="B80" s="347" t="s">
        <v>386</v>
      </c>
      <c r="C80" s="347" t="s">
        <v>371</v>
      </c>
      <c r="D80" s="347">
        <v>15</v>
      </c>
    </row>
    <row r="81" spans="1:4" ht="15" thickBot="1">
      <c r="A81" s="347" t="s">
        <v>385</v>
      </c>
      <c r="B81" s="347" t="s">
        <v>386</v>
      </c>
      <c r="C81" s="347" t="s">
        <v>372</v>
      </c>
      <c r="D81" s="347">
        <v>279.35000000000002</v>
      </c>
    </row>
    <row r="82" spans="1:4" ht="15" thickBot="1">
      <c r="A82" s="347" t="s">
        <v>385</v>
      </c>
      <c r="B82" s="347" t="s">
        <v>386</v>
      </c>
      <c r="C82" s="347" t="s">
        <v>380</v>
      </c>
      <c r="D82" s="347">
        <v>25</v>
      </c>
    </row>
    <row r="83" spans="1:4" ht="15" thickBot="1">
      <c r="A83" s="347" t="s">
        <v>385</v>
      </c>
      <c r="B83" s="347" t="s">
        <v>386</v>
      </c>
      <c r="C83" s="347" t="s">
        <v>382</v>
      </c>
      <c r="D83" s="347">
        <v>25</v>
      </c>
    </row>
    <row r="84" spans="1:4" ht="15" thickBot="1">
      <c r="A84" s="347" t="s">
        <v>387</v>
      </c>
      <c r="B84" s="347" t="s">
        <v>369</v>
      </c>
      <c r="C84" s="347" t="s">
        <v>388</v>
      </c>
      <c r="D84" s="347">
        <v>379.17</v>
      </c>
    </row>
    <row r="85" spans="1:4" ht="15" thickBot="1">
      <c r="A85" s="347" t="s">
        <v>387</v>
      </c>
      <c r="B85" s="347" t="s">
        <v>369</v>
      </c>
      <c r="C85" s="347" t="s">
        <v>389</v>
      </c>
      <c r="D85" s="347">
        <v>987.5</v>
      </c>
    </row>
    <row r="86" spans="1:4" ht="15" thickBot="1">
      <c r="A86" s="347" t="s">
        <v>387</v>
      </c>
      <c r="B86" s="347" t="s">
        <v>369</v>
      </c>
      <c r="C86" s="347" t="s">
        <v>390</v>
      </c>
      <c r="D86" s="347">
        <v>300</v>
      </c>
    </row>
    <row r="87" spans="1:4" ht="15" thickBot="1">
      <c r="A87" s="347" t="s">
        <v>387</v>
      </c>
      <c r="B87" s="347" t="s">
        <v>369</v>
      </c>
      <c r="C87" s="347" t="s">
        <v>376</v>
      </c>
      <c r="D87" s="347">
        <v>245.31</v>
      </c>
    </row>
    <row r="88" spans="1:4" ht="15" thickBot="1">
      <c r="A88" s="347" t="s">
        <v>387</v>
      </c>
      <c r="B88" s="347" t="s">
        <v>369</v>
      </c>
      <c r="C88" s="347" t="s">
        <v>371</v>
      </c>
      <c r="D88" s="347">
        <v>897.5</v>
      </c>
    </row>
    <row r="89" spans="1:4" ht="15" thickBot="1">
      <c r="A89" s="347" t="s">
        <v>387</v>
      </c>
      <c r="B89" s="347" t="s">
        <v>369</v>
      </c>
      <c r="C89" s="347" t="s">
        <v>377</v>
      </c>
      <c r="D89" s="347">
        <v>250</v>
      </c>
    </row>
    <row r="90" spans="1:4" ht="15" thickBot="1">
      <c r="A90" s="347" t="s">
        <v>387</v>
      </c>
      <c r="B90" s="347" t="s">
        <v>369</v>
      </c>
      <c r="C90" s="347" t="s">
        <v>391</v>
      </c>
      <c r="D90" s="347">
        <v>100</v>
      </c>
    </row>
    <row r="91" spans="1:4" ht="15" thickBot="1">
      <c r="A91" s="347" t="s">
        <v>387</v>
      </c>
      <c r="B91" s="347" t="s">
        <v>369</v>
      </c>
      <c r="C91" s="347" t="s">
        <v>378</v>
      </c>
      <c r="D91" s="347">
        <v>193.75</v>
      </c>
    </row>
    <row r="92" spans="1:4" ht="15" thickBot="1">
      <c r="A92" s="347" t="s">
        <v>387</v>
      </c>
      <c r="B92" s="347" t="s">
        <v>369</v>
      </c>
      <c r="C92" s="347" t="s">
        <v>372</v>
      </c>
      <c r="D92" s="347">
        <v>257.88</v>
      </c>
    </row>
    <row r="93" spans="1:4" ht="15" thickBot="1">
      <c r="A93" s="347" t="s">
        <v>387</v>
      </c>
      <c r="B93" s="347" t="s">
        <v>369</v>
      </c>
      <c r="C93" s="347" t="s">
        <v>380</v>
      </c>
      <c r="D93" s="347">
        <v>588.54</v>
      </c>
    </row>
    <row r="94" spans="1:4" ht="15" thickBot="1">
      <c r="A94" s="347" t="s">
        <v>387</v>
      </c>
      <c r="B94" s="347" t="s">
        <v>369</v>
      </c>
      <c r="C94" s="347" t="s">
        <v>392</v>
      </c>
      <c r="D94" s="347">
        <v>1368.45</v>
      </c>
    </row>
    <row r="95" spans="1:4" ht="15" thickBot="1">
      <c r="A95" s="347" t="s">
        <v>387</v>
      </c>
      <c r="B95" s="347" t="s">
        <v>369</v>
      </c>
      <c r="C95" s="347" t="s">
        <v>381</v>
      </c>
      <c r="D95" s="347">
        <v>546.59</v>
      </c>
    </row>
    <row r="96" spans="1:4" ht="15" thickBot="1">
      <c r="A96" s="347" t="s">
        <v>387</v>
      </c>
      <c r="B96" s="347" t="s">
        <v>369</v>
      </c>
      <c r="C96" s="347" t="s">
        <v>393</v>
      </c>
      <c r="D96" s="347">
        <v>208.34</v>
      </c>
    </row>
    <row r="97" spans="1:4">
      <c r="A97" s="348" t="s">
        <v>387</v>
      </c>
      <c r="B97" s="348" t="s">
        <v>369</v>
      </c>
      <c r="C97" s="348" t="s">
        <v>382</v>
      </c>
      <c r="D97" s="348">
        <v>944.45</v>
      </c>
    </row>
    <row r="99" spans="1:4" ht="15" thickBot="1">
      <c r="B99" s="349" t="s">
        <v>394</v>
      </c>
      <c r="C99" s="351" t="s">
        <v>395</v>
      </c>
    </row>
    <row r="100" spans="1:4">
      <c r="B100" s="350" t="s">
        <v>381</v>
      </c>
      <c r="C100" s="341">
        <f t="shared" ref="C100:C116" si="0">SUMIF($C$67:$C$97,B100,$D$67:$D$97)</f>
        <v>1714.5900000000001</v>
      </c>
    </row>
    <row r="101" spans="1:4" ht="15" thickBot="1">
      <c r="B101" s="349" t="s">
        <v>380</v>
      </c>
      <c r="C101" s="341">
        <f t="shared" si="0"/>
        <v>1713.54</v>
      </c>
    </row>
    <row r="102" spans="1:4" ht="15" thickBot="1">
      <c r="B102" s="349" t="s">
        <v>382</v>
      </c>
      <c r="C102" s="341">
        <f t="shared" si="0"/>
        <v>1594.45</v>
      </c>
    </row>
    <row r="103" spans="1:4" ht="15" thickBot="1">
      <c r="B103" s="349" t="s">
        <v>392</v>
      </c>
      <c r="C103" s="341">
        <f t="shared" si="0"/>
        <v>1368.45</v>
      </c>
    </row>
    <row r="104" spans="1:4" ht="15" thickBot="1">
      <c r="B104" s="349" t="s">
        <v>372</v>
      </c>
      <c r="C104" s="341">
        <f t="shared" si="0"/>
        <v>1338.9</v>
      </c>
    </row>
    <row r="105" spans="1:4" ht="15" thickBot="1">
      <c r="B105" s="349" t="s">
        <v>371</v>
      </c>
      <c r="C105" s="341">
        <f t="shared" si="0"/>
        <v>1312.5</v>
      </c>
    </row>
    <row r="106" spans="1:4" ht="15" thickBot="1">
      <c r="B106" s="349" t="s">
        <v>389</v>
      </c>
      <c r="C106" s="341">
        <f t="shared" si="0"/>
        <v>987.5</v>
      </c>
    </row>
    <row r="107" spans="1:4" ht="15" thickBot="1">
      <c r="B107" s="349" t="s">
        <v>370</v>
      </c>
      <c r="C107" s="341">
        <f t="shared" si="0"/>
        <v>600</v>
      </c>
    </row>
    <row r="108" spans="1:4" ht="15" thickBot="1">
      <c r="B108" s="349" t="s">
        <v>377</v>
      </c>
      <c r="C108" s="341">
        <f t="shared" si="0"/>
        <v>450</v>
      </c>
    </row>
    <row r="109" spans="1:4" ht="15" thickBot="1">
      <c r="B109" s="349" t="s">
        <v>388</v>
      </c>
      <c r="C109" s="341">
        <f t="shared" si="0"/>
        <v>379.17</v>
      </c>
    </row>
    <row r="110" spans="1:4" ht="15" thickBot="1">
      <c r="B110" s="349" t="s">
        <v>378</v>
      </c>
      <c r="C110" s="341">
        <f t="shared" si="0"/>
        <v>373.75</v>
      </c>
    </row>
    <row r="111" spans="1:4" ht="15" thickBot="1">
      <c r="B111" s="349" t="s">
        <v>376</v>
      </c>
      <c r="C111" s="341">
        <f t="shared" si="0"/>
        <v>345.31</v>
      </c>
    </row>
    <row r="112" spans="1:4" ht="15" thickBot="1">
      <c r="B112" s="349" t="s">
        <v>390</v>
      </c>
      <c r="C112" s="341">
        <f t="shared" si="0"/>
        <v>300</v>
      </c>
    </row>
    <row r="113" spans="2:4" ht="15" thickBot="1">
      <c r="B113" s="349" t="s">
        <v>379</v>
      </c>
      <c r="C113" s="341">
        <f t="shared" si="0"/>
        <v>238.5</v>
      </c>
    </row>
    <row r="114" spans="2:4" ht="15" thickBot="1">
      <c r="B114" s="349" t="s">
        <v>393</v>
      </c>
      <c r="C114" s="341">
        <f t="shared" si="0"/>
        <v>208.34</v>
      </c>
    </row>
    <row r="115" spans="2:4" ht="15" thickBot="1">
      <c r="B115" s="349" t="s">
        <v>375</v>
      </c>
      <c r="C115" s="341">
        <f t="shared" si="0"/>
        <v>175</v>
      </c>
    </row>
    <row r="116" spans="2:4" ht="15" thickBot="1">
      <c r="B116" s="349" t="s">
        <v>391</v>
      </c>
      <c r="C116" s="341">
        <f t="shared" si="0"/>
        <v>100</v>
      </c>
    </row>
    <row r="117" spans="2:4">
      <c r="D117" t="s">
        <v>396</v>
      </c>
    </row>
  </sheetData>
  <sortState ref="B100:C117">
    <sortCondition descending="1" ref="C101"/>
  </sortState>
  <pageMargins left="0.7" right="0.7" top="0.75" bottom="0.75" header="0.3" footer="0.3"/>
  <pageSetup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113"/>
  <sheetViews>
    <sheetView zoomScale="99" workbookViewId="0">
      <selection activeCell="H9" sqref="H9"/>
    </sheetView>
  </sheetViews>
  <sheetFormatPr defaultRowHeight="14.4"/>
  <cols>
    <col min="1" max="1" width="37.109375" customWidth="1"/>
    <col min="2" max="2" width="15.6640625" bestFit="1" customWidth="1"/>
    <col min="3" max="5" width="12.109375" bestFit="1" customWidth="1"/>
    <col min="6" max="34" width="37.77734375" bestFit="1" customWidth="1"/>
    <col min="35" max="35" width="10.77734375" bestFit="1" customWidth="1"/>
  </cols>
  <sheetData>
    <row r="1" spans="1:21">
      <c r="A1" s="160" t="s">
        <v>310</v>
      </c>
      <c r="B1" s="160" t="s">
        <v>300</v>
      </c>
      <c r="G1" s="320" t="s">
        <v>155</v>
      </c>
      <c r="H1" s="320">
        <v>2021</v>
      </c>
      <c r="I1" s="320">
        <v>2022</v>
      </c>
      <c r="J1" s="320">
        <v>2023</v>
      </c>
    </row>
    <row r="2" spans="1:21">
      <c r="A2" s="160" t="s">
        <v>302</v>
      </c>
      <c r="B2" s="360">
        <v>2021</v>
      </c>
      <c r="C2" s="360">
        <v>2022</v>
      </c>
      <c r="D2" s="360">
        <v>2023</v>
      </c>
      <c r="E2" t="s">
        <v>301</v>
      </c>
      <c r="G2" s="330" t="s">
        <v>163</v>
      </c>
      <c r="H2" s="320" t="str">
        <f>IFERROR(INDEX($B$3:$E$36,MATCH($G2,$A$3:$A$36,0),MATCH(H$1,$B$2:$D$2,0)),"-")</f>
        <v>-</v>
      </c>
      <c r="I2" s="320" t="str">
        <f>IFERROR(INDEX($B$3:$E$36,MATCH($G2,$A$3:$A$36,0),MATCH(I$1,$B$2:$D$2,0)),"-")</f>
        <v>-</v>
      </c>
      <c r="J2" s="320" t="str">
        <f>IFERROR(INDEX($B$3:$E$36,MATCH($G2,$A$3:$A$36,0),MATCH(J$1,$B$2:$D$2,0)),"-")</f>
        <v>-</v>
      </c>
      <c r="Q2" s="341" t="s">
        <v>362</v>
      </c>
      <c r="R2" s="341">
        <f>H1</f>
        <v>2021</v>
      </c>
      <c r="S2" s="354">
        <f>I1</f>
        <v>2022</v>
      </c>
      <c r="T2" s="354">
        <f>J1</f>
        <v>2023</v>
      </c>
    </row>
    <row r="3" spans="1:21">
      <c r="A3" s="161" t="s">
        <v>62</v>
      </c>
      <c r="B3" s="292">
        <v>1.4199999999999999E-2</v>
      </c>
      <c r="C3" s="292">
        <v>1.3000000000000001E-2</v>
      </c>
      <c r="D3" s="292">
        <v>0</v>
      </c>
      <c r="E3" s="143">
        <v>2.7200000000000002E-2</v>
      </c>
      <c r="G3" s="321" t="s">
        <v>154</v>
      </c>
      <c r="H3" s="24">
        <f>(IFERROR(INDEX($B$3:$E$36,MATCH($G3,$A$3:$A$36,0),MATCH(H$1,$B$2:$D$2,0)),"-"))/100</f>
        <v>2.4009695307347433E-2</v>
      </c>
      <c r="I3" s="24">
        <f>(IFERROR(INDEX($B$3:$E$36,MATCH($G3,$A$3:$A$36,0),MATCH(I$1,$B$2:$D$2,0)),"-"))/100</f>
        <v>6.247498294612102E-2</v>
      </c>
      <c r="J3" s="24">
        <f>(IFERROR(INDEX($B$3:$E$36,MATCH($G3,$A$3:$A$36,0),MATCH(J$1,$B$2:$D$2,0)),"-"))/100</f>
        <v>3.8268121740570066E-2</v>
      </c>
      <c r="L3">
        <v>100</v>
      </c>
      <c r="Q3" s="341" t="s">
        <v>169</v>
      </c>
      <c r="R3" s="157">
        <f>H16</f>
        <v>14225</v>
      </c>
      <c r="S3" s="157">
        <f>I16</f>
        <v>16579</v>
      </c>
      <c r="T3" s="157">
        <f>J16</f>
        <v>16143</v>
      </c>
      <c r="U3" s="143"/>
    </row>
    <row r="4" spans="1:21">
      <c r="A4" s="161" t="s">
        <v>50</v>
      </c>
      <c r="B4" s="292">
        <v>3.0800000000000001E-2</v>
      </c>
      <c r="C4" s="292">
        <v>2.6499999999999999E-2</v>
      </c>
      <c r="D4" s="292">
        <v>2.2000000000000002E-2</v>
      </c>
      <c r="E4" s="143">
        <v>7.9300000000000009E-2</v>
      </c>
      <c r="G4" s="322" t="s">
        <v>32</v>
      </c>
      <c r="H4" s="320">
        <f t="shared" ref="H4:J28" si="0">IFERROR(INDEX($B$3:$E$36,MATCH($G4,$A$3:$A$36,0),MATCH(H$1,$B$2:$D$2,0)),"-")</f>
        <v>1756.98</v>
      </c>
      <c r="I4" s="320">
        <f t="shared" si="0"/>
        <v>1458.56</v>
      </c>
      <c r="J4" s="320">
        <f t="shared" si="0"/>
        <v>1816.94</v>
      </c>
      <c r="Q4" s="341" t="s">
        <v>175</v>
      </c>
      <c r="R4" s="157">
        <f>H19</f>
        <v>3680</v>
      </c>
      <c r="S4" s="157">
        <f>I19</f>
        <v>9494</v>
      </c>
      <c r="T4" s="157">
        <f>J19</f>
        <v>15198</v>
      </c>
      <c r="U4" s="143"/>
    </row>
    <row r="5" spans="1:21">
      <c r="A5" s="161" t="s">
        <v>169</v>
      </c>
      <c r="B5" s="143">
        <v>14225</v>
      </c>
      <c r="C5" s="143">
        <v>16579</v>
      </c>
      <c r="D5" s="143">
        <v>16143</v>
      </c>
      <c r="E5" s="143">
        <v>46947</v>
      </c>
      <c r="G5" s="321" t="s">
        <v>161</v>
      </c>
      <c r="H5" s="320">
        <f t="shared" si="0"/>
        <v>286.52999999999997</v>
      </c>
      <c r="I5" s="320">
        <f t="shared" si="0"/>
        <v>167</v>
      </c>
      <c r="J5" s="320">
        <f t="shared" si="0"/>
        <v>143</v>
      </c>
    </row>
    <row r="6" spans="1:21">
      <c r="A6" s="161" t="s">
        <v>51</v>
      </c>
      <c r="B6" s="292">
        <v>1.1399999999999999E-2</v>
      </c>
      <c r="C6" s="292">
        <v>1.1399999999999999E-2</v>
      </c>
      <c r="D6" s="292">
        <v>1.1299999999999999E-2</v>
      </c>
      <c r="E6" s="143">
        <v>3.4099999999999998E-2</v>
      </c>
      <c r="G6" s="322" t="s">
        <v>162</v>
      </c>
      <c r="H6" s="320">
        <f t="shared" si="0"/>
        <v>404.12</v>
      </c>
      <c r="I6" s="320">
        <f t="shared" si="0"/>
        <v>555</v>
      </c>
      <c r="J6" s="320">
        <f t="shared" si="0"/>
        <v>741.64</v>
      </c>
    </row>
    <row r="7" spans="1:21">
      <c r="A7" s="161" t="s">
        <v>173</v>
      </c>
      <c r="B7" s="143">
        <v>265.08999999999997</v>
      </c>
      <c r="C7" s="143">
        <v>335.2</v>
      </c>
      <c r="D7" s="143">
        <v>601.38</v>
      </c>
      <c r="E7" s="143">
        <v>1201.67</v>
      </c>
      <c r="G7" s="330" t="s">
        <v>164</v>
      </c>
      <c r="H7" s="320" t="str">
        <f t="shared" si="0"/>
        <v>-</v>
      </c>
      <c r="I7" s="320" t="str">
        <f t="shared" si="0"/>
        <v>-</v>
      </c>
      <c r="J7" s="320" t="str">
        <f t="shared" si="0"/>
        <v>-</v>
      </c>
    </row>
    <row r="8" spans="1:21">
      <c r="A8" s="161" t="s">
        <v>154</v>
      </c>
      <c r="B8" s="295">
        <v>2.4009695307347432</v>
      </c>
      <c r="C8" s="295">
        <v>6.247498294612102</v>
      </c>
      <c r="D8" s="295">
        <v>3.8268121740570069</v>
      </c>
      <c r="E8" s="143">
        <v>12.475279999403853</v>
      </c>
      <c r="G8" s="322" t="s">
        <v>165</v>
      </c>
      <c r="H8" s="320">
        <f t="shared" si="0"/>
        <v>874.59</v>
      </c>
      <c r="I8" s="320">
        <f t="shared" si="0"/>
        <v>509.28</v>
      </c>
      <c r="J8" s="320">
        <f t="shared" si="0"/>
        <v>595.28</v>
      </c>
    </row>
    <row r="9" spans="1:21">
      <c r="A9" s="161" t="s">
        <v>191</v>
      </c>
      <c r="B9" s="295">
        <v>9.9782333776499338E-2</v>
      </c>
      <c r="C9" s="295"/>
      <c r="D9" s="295"/>
      <c r="E9" s="143">
        <v>9.9782333776499338E-2</v>
      </c>
      <c r="G9" s="321" t="s">
        <v>166</v>
      </c>
      <c r="H9" s="320">
        <f t="shared" si="0"/>
        <v>-575.41</v>
      </c>
      <c r="I9" s="320">
        <f t="shared" si="0"/>
        <v>294.83</v>
      </c>
      <c r="J9" s="320">
        <f t="shared" si="0"/>
        <v>586.29999999999995</v>
      </c>
    </row>
    <row r="10" spans="1:21">
      <c r="A10" s="161" t="s">
        <v>192</v>
      </c>
      <c r="B10" s="295">
        <v>0.14703528639012911</v>
      </c>
      <c r="C10" s="143"/>
      <c r="D10" s="143"/>
      <c r="E10" s="143">
        <v>0.14703528639012911</v>
      </c>
      <c r="G10" s="322" t="s">
        <v>167</v>
      </c>
      <c r="H10" s="320">
        <f t="shared" si="0"/>
        <v>882.38</v>
      </c>
      <c r="I10" s="320">
        <f t="shared" si="0"/>
        <v>949.27</v>
      </c>
      <c r="J10" s="320">
        <f t="shared" si="0"/>
        <v>1221.6600000000001</v>
      </c>
    </row>
    <row r="11" spans="1:21">
      <c r="A11" s="161" t="s">
        <v>186</v>
      </c>
      <c r="B11" s="292">
        <v>0.2029</v>
      </c>
      <c r="C11" s="292">
        <v>0.49059999999999998</v>
      </c>
      <c r="D11" s="292">
        <v>0.3891</v>
      </c>
      <c r="E11" s="143">
        <v>1.0826</v>
      </c>
      <c r="G11" s="321" t="s">
        <v>168</v>
      </c>
      <c r="H11" s="24">
        <f t="shared" si="0"/>
        <v>8.2000000000000003E-2</v>
      </c>
      <c r="I11" s="24">
        <f t="shared" si="0"/>
        <v>8.8999999999999996E-2</v>
      </c>
      <c r="J11" s="24">
        <f t="shared" si="0"/>
        <v>0.107</v>
      </c>
    </row>
    <row r="12" spans="1:21">
      <c r="A12" s="161" t="s">
        <v>195</v>
      </c>
      <c r="B12" s="294">
        <v>3.1508526435692137E-2</v>
      </c>
      <c r="C12" s="143"/>
      <c r="D12" s="143"/>
      <c r="E12" s="143">
        <v>3.1508526435692137E-2</v>
      </c>
      <c r="G12" s="330" t="s">
        <v>170</v>
      </c>
      <c r="H12" s="320" t="str">
        <f t="shared" si="0"/>
        <v>-</v>
      </c>
      <c r="I12" s="320" t="str">
        <f t="shared" si="0"/>
        <v>-</v>
      </c>
      <c r="J12" s="320" t="str">
        <f t="shared" si="0"/>
        <v>-</v>
      </c>
    </row>
    <row r="13" spans="1:21">
      <c r="A13" s="161" t="s">
        <v>161</v>
      </c>
      <c r="B13" s="143">
        <v>286.52999999999997</v>
      </c>
      <c r="C13" s="143">
        <v>167</v>
      </c>
      <c r="D13" s="143">
        <v>143</v>
      </c>
      <c r="E13" s="143">
        <v>596.53</v>
      </c>
      <c r="G13" s="321" t="s">
        <v>171</v>
      </c>
      <c r="H13" s="320">
        <f t="shared" si="0"/>
        <v>1942.06</v>
      </c>
      <c r="I13" s="320">
        <f t="shared" si="0"/>
        <v>5714.5</v>
      </c>
      <c r="J13" s="320">
        <f t="shared" si="0"/>
        <v>6424.7</v>
      </c>
    </row>
    <row r="14" spans="1:21">
      <c r="A14" s="161" t="s">
        <v>165</v>
      </c>
      <c r="B14" s="143">
        <v>874.59</v>
      </c>
      <c r="C14" s="143">
        <v>509.28</v>
      </c>
      <c r="D14" s="143">
        <v>595.28</v>
      </c>
      <c r="E14" s="143">
        <v>1979.1499999999999</v>
      </c>
      <c r="G14" s="322" t="s">
        <v>172</v>
      </c>
      <c r="H14" s="320">
        <f t="shared" si="0"/>
        <v>8399.93</v>
      </c>
      <c r="I14" s="320">
        <f t="shared" si="0"/>
        <v>7095.15</v>
      </c>
      <c r="J14" s="320">
        <f t="shared" si="0"/>
        <v>11597.12</v>
      </c>
    </row>
    <row r="15" spans="1:21">
      <c r="A15" s="161" t="s">
        <v>176</v>
      </c>
      <c r="B15" s="143">
        <v>4.08</v>
      </c>
      <c r="C15" s="143">
        <v>1.18</v>
      </c>
      <c r="D15" s="143">
        <v>1.73</v>
      </c>
      <c r="E15" s="143">
        <v>6.99</v>
      </c>
      <c r="G15" s="321" t="s">
        <v>176</v>
      </c>
      <c r="H15" s="320">
        <f t="shared" si="0"/>
        <v>4.08</v>
      </c>
      <c r="I15" s="320">
        <f t="shared" si="0"/>
        <v>1.18</v>
      </c>
      <c r="J15" s="320">
        <f t="shared" si="0"/>
        <v>1.73</v>
      </c>
    </row>
    <row r="16" spans="1:21">
      <c r="A16" s="161" t="s">
        <v>178</v>
      </c>
      <c r="B16" s="143">
        <v>4.3099999999999996</v>
      </c>
      <c r="C16" s="143">
        <v>3.29</v>
      </c>
      <c r="D16" s="143">
        <v>1.44</v>
      </c>
      <c r="E16" s="143">
        <v>9.0399999999999991</v>
      </c>
      <c r="G16" s="322" t="s">
        <v>169</v>
      </c>
      <c r="H16" s="320">
        <f t="shared" si="0"/>
        <v>14225</v>
      </c>
      <c r="I16" s="320">
        <f t="shared" si="0"/>
        <v>16579</v>
      </c>
      <c r="J16" s="320">
        <f t="shared" si="0"/>
        <v>16143</v>
      </c>
    </row>
    <row r="17" spans="1:10">
      <c r="A17" s="161" t="s">
        <v>32</v>
      </c>
      <c r="B17" s="143">
        <v>1756.98</v>
      </c>
      <c r="C17" s="143">
        <v>1458.56</v>
      </c>
      <c r="D17" s="143">
        <v>1816.94</v>
      </c>
      <c r="E17" s="143">
        <v>5032.4799999999996</v>
      </c>
      <c r="G17" s="321" t="s">
        <v>174</v>
      </c>
      <c r="H17" s="24">
        <f t="shared" si="0"/>
        <v>0.77</v>
      </c>
      <c r="I17" s="24">
        <f t="shared" si="0"/>
        <v>0.53</v>
      </c>
      <c r="J17" s="24">
        <f t="shared" si="0"/>
        <v>0.62</v>
      </c>
    </row>
    <row r="18" spans="1:10">
      <c r="A18" s="161" t="s">
        <v>175</v>
      </c>
      <c r="B18" s="143">
        <v>3680</v>
      </c>
      <c r="C18" s="143">
        <v>9494</v>
      </c>
      <c r="D18" s="143">
        <v>15198</v>
      </c>
      <c r="E18" s="143">
        <v>28372</v>
      </c>
      <c r="G18" s="322" t="s">
        <v>173</v>
      </c>
      <c r="H18" s="320">
        <f t="shared" si="0"/>
        <v>265.08999999999997</v>
      </c>
      <c r="I18" s="320">
        <f t="shared" si="0"/>
        <v>335.2</v>
      </c>
      <c r="J18" s="320">
        <f t="shared" si="0"/>
        <v>601.38</v>
      </c>
    </row>
    <row r="19" spans="1:10">
      <c r="A19" s="161" t="s">
        <v>167</v>
      </c>
      <c r="B19" s="143">
        <v>882.38</v>
      </c>
      <c r="C19" s="143">
        <v>949.27</v>
      </c>
      <c r="D19" s="143">
        <v>1221.6600000000001</v>
      </c>
      <c r="E19" s="143">
        <v>3053.3100000000004</v>
      </c>
      <c r="G19" s="321" t="s">
        <v>175</v>
      </c>
      <c r="H19" s="320">
        <f t="shared" si="0"/>
        <v>3680</v>
      </c>
      <c r="I19" s="320">
        <f t="shared" si="0"/>
        <v>9494</v>
      </c>
      <c r="J19" s="320">
        <f t="shared" si="0"/>
        <v>15198</v>
      </c>
    </row>
    <row r="20" spans="1:10">
      <c r="A20" s="161" t="s">
        <v>168</v>
      </c>
      <c r="B20" s="293">
        <v>8.2000000000000003E-2</v>
      </c>
      <c r="C20" s="293">
        <v>8.8999999999999996E-2</v>
      </c>
      <c r="D20" s="293">
        <v>0.107</v>
      </c>
      <c r="E20" s="143">
        <v>0.27799999999999997</v>
      </c>
      <c r="G20" s="330" t="s">
        <v>177</v>
      </c>
      <c r="H20" s="320" t="str">
        <f t="shared" si="0"/>
        <v>-</v>
      </c>
      <c r="I20" s="320" t="str">
        <f t="shared" si="0"/>
        <v>-</v>
      </c>
      <c r="J20" s="320" t="str">
        <f t="shared" si="0"/>
        <v>-</v>
      </c>
    </row>
    <row r="21" spans="1:10">
      <c r="A21" s="161" t="s">
        <v>179</v>
      </c>
      <c r="B21" s="143">
        <v>1.32</v>
      </c>
      <c r="C21" s="143">
        <v>1.3</v>
      </c>
      <c r="D21" s="143">
        <v>0.78</v>
      </c>
      <c r="E21" s="143">
        <v>3.4000000000000004</v>
      </c>
      <c r="G21" s="321" t="s">
        <v>178</v>
      </c>
      <c r="H21" s="24">
        <f t="shared" ref="H21:J22" si="1">(IFERROR(INDEX($B$3:$E$36,MATCH($G21,$A$3:$A$36,0),MATCH(H$1,$B$2:$D$2,0)),"-"))/100</f>
        <v>4.3099999999999999E-2</v>
      </c>
      <c r="I21" s="24">
        <f t="shared" si="1"/>
        <v>3.2899999999999999E-2</v>
      </c>
      <c r="J21" s="24">
        <f t="shared" si="1"/>
        <v>1.44E-2</v>
      </c>
    </row>
    <row r="22" spans="1:10">
      <c r="A22" s="161" t="s">
        <v>171</v>
      </c>
      <c r="B22" s="143">
        <v>1942.06</v>
      </c>
      <c r="C22" s="143">
        <v>5714.5</v>
      </c>
      <c r="D22" s="143">
        <v>6424.7</v>
      </c>
      <c r="E22" s="143">
        <v>14081.259999999998</v>
      </c>
      <c r="G22" s="322" t="s">
        <v>179</v>
      </c>
      <c r="H22" s="24">
        <f t="shared" si="1"/>
        <v>1.32E-2</v>
      </c>
      <c r="I22" s="24">
        <f t="shared" si="1"/>
        <v>1.3000000000000001E-2</v>
      </c>
      <c r="J22" s="24">
        <f t="shared" si="1"/>
        <v>7.8000000000000005E-3</v>
      </c>
    </row>
    <row r="23" spans="1:10">
      <c r="A23" s="161" t="s">
        <v>54</v>
      </c>
      <c r="B23" s="293">
        <v>2.4700000000000003E-2</v>
      </c>
      <c r="C23" s="293">
        <v>2.2799999999999997E-2</v>
      </c>
      <c r="D23" s="293">
        <v>0</v>
      </c>
      <c r="E23" s="143">
        <v>4.7500000000000001E-2</v>
      </c>
      <c r="G23" s="321" t="s">
        <v>180</v>
      </c>
      <c r="H23" s="24">
        <f t="shared" si="0"/>
        <v>0.69373549883990715</v>
      </c>
      <c r="I23" s="24">
        <f t="shared" si="0"/>
        <v>0.60486322188449848</v>
      </c>
      <c r="J23" s="24">
        <f t="shared" si="0"/>
        <v>0.45833333333333331</v>
      </c>
    </row>
    <row r="24" spans="1:10">
      <c r="A24" s="161" t="s">
        <v>162</v>
      </c>
      <c r="B24" s="143">
        <v>404.12</v>
      </c>
      <c r="C24" s="143">
        <v>555</v>
      </c>
      <c r="D24" s="143">
        <v>741.64</v>
      </c>
      <c r="E24" s="143">
        <v>1700.76</v>
      </c>
      <c r="G24" s="330" t="s">
        <v>182</v>
      </c>
      <c r="H24" s="320" t="str">
        <f t="shared" si="0"/>
        <v>-</v>
      </c>
      <c r="I24" s="320" t="str">
        <f t="shared" si="0"/>
        <v>-</v>
      </c>
      <c r="J24" s="320" t="str">
        <f t="shared" si="0"/>
        <v>-</v>
      </c>
    </row>
    <row r="25" spans="1:10">
      <c r="A25" s="161" t="s">
        <v>166</v>
      </c>
      <c r="B25" s="143">
        <v>-575.41</v>
      </c>
      <c r="C25" s="143">
        <v>294.83</v>
      </c>
      <c r="D25" s="143">
        <v>586.29999999999995</v>
      </c>
      <c r="E25" s="143">
        <v>305.71999999999997</v>
      </c>
      <c r="G25" s="322" t="s">
        <v>183</v>
      </c>
      <c r="H25" s="24">
        <f t="shared" si="0"/>
        <v>-0.55600000000000005</v>
      </c>
      <c r="I25" s="24">
        <f t="shared" si="0"/>
        <v>2.7E-2</v>
      </c>
      <c r="J25" s="24">
        <f t="shared" si="0"/>
        <v>4.3999999999999997E-2</v>
      </c>
    </row>
    <row r="26" spans="1:10">
      <c r="A26" s="161" t="s">
        <v>180</v>
      </c>
      <c r="B26" s="293">
        <v>0.69373549883990715</v>
      </c>
      <c r="C26" s="293">
        <v>0.60486322188449848</v>
      </c>
      <c r="D26" s="293">
        <v>0.45833333333333331</v>
      </c>
      <c r="E26" s="143">
        <v>1.7569320540577389</v>
      </c>
      <c r="G26" s="321" t="s">
        <v>184</v>
      </c>
      <c r="H26" s="24">
        <f t="shared" si="0"/>
        <v>-0.22800000000000001</v>
      </c>
      <c r="I26" s="24">
        <f t="shared" si="0"/>
        <v>5.7000000000000002E-2</v>
      </c>
      <c r="J26" s="24">
        <f t="shared" si="0"/>
        <v>9.7000000000000003E-2</v>
      </c>
    </row>
    <row r="27" spans="1:10">
      <c r="A27" s="161" t="s">
        <v>57</v>
      </c>
      <c r="B27" s="292">
        <v>0</v>
      </c>
      <c r="C27" s="292">
        <v>0</v>
      </c>
      <c r="D27" s="292">
        <v>1.9099999999999999E-2</v>
      </c>
      <c r="E27" s="143">
        <v>1.9099999999999999E-2</v>
      </c>
      <c r="G27" s="330" t="s">
        <v>185</v>
      </c>
      <c r="H27" s="320" t="str">
        <f>IFERROR(INDEX($B$3:$E$36,MATCH($G27,$A$3:$A$36,0),MATCH(H$1,$B$2:$D$2,0)),"-")</f>
        <v>-</v>
      </c>
      <c r="I27" s="320" t="str">
        <f>IFERROR(INDEX($B$3:$E$36,MATCH($G27,$A$3:$A$36,0),MATCH(I$1,$B$2:$D$2,0)),"-")</f>
        <v>-</v>
      </c>
      <c r="J27" s="320" t="str">
        <f>IFERROR(INDEX($B$3:$E$36,MATCH($G27,$A$3:$A$36,0),MATCH(J$1,$B$2:$D$2,0)),"-")</f>
        <v>-</v>
      </c>
    </row>
    <row r="28" spans="1:10">
      <c r="A28" s="161" t="s">
        <v>39</v>
      </c>
      <c r="B28" s="293">
        <v>0.61499999999999999</v>
      </c>
      <c r="C28" s="293">
        <v>0.62139999999999995</v>
      </c>
      <c r="D28" s="293">
        <v>0.62130000000000007</v>
      </c>
      <c r="E28" s="143">
        <v>1.8576999999999999</v>
      </c>
      <c r="G28" s="321" t="s">
        <v>186</v>
      </c>
      <c r="H28" s="24">
        <f t="shared" si="0"/>
        <v>0.2029</v>
      </c>
      <c r="I28" s="24">
        <f t="shared" si="0"/>
        <v>0.49059999999999998</v>
      </c>
      <c r="J28" s="24">
        <f t="shared" si="0"/>
        <v>0.3891</v>
      </c>
    </row>
    <row r="29" spans="1:10">
      <c r="A29" s="161" t="s">
        <v>183</v>
      </c>
      <c r="B29" s="292">
        <v>-0.55600000000000005</v>
      </c>
      <c r="C29" s="292">
        <v>2.7E-2</v>
      </c>
      <c r="D29" s="292">
        <v>4.3999999999999997E-2</v>
      </c>
      <c r="E29" s="143">
        <v>-0.48500000000000004</v>
      </c>
    </row>
    <row r="30" spans="1:10">
      <c r="A30" s="161" t="s">
        <v>184</v>
      </c>
      <c r="B30" s="292">
        <v>-0.22800000000000001</v>
      </c>
      <c r="C30" s="292">
        <v>5.7000000000000002E-2</v>
      </c>
      <c r="D30" s="292">
        <v>9.7000000000000003E-2</v>
      </c>
      <c r="E30" s="143">
        <v>-7.400000000000001E-2</v>
      </c>
    </row>
    <row r="31" spans="1:10">
      <c r="A31" s="161" t="s">
        <v>296</v>
      </c>
      <c r="B31" s="143"/>
      <c r="C31" s="143"/>
      <c r="D31" s="143">
        <v>7989.68</v>
      </c>
      <c r="E31" s="143">
        <v>7989.68</v>
      </c>
    </row>
    <row r="32" spans="1:10">
      <c r="A32" s="161" t="s">
        <v>198</v>
      </c>
      <c r="B32" s="295">
        <v>3.9045553145336219E-2</v>
      </c>
      <c r="C32" s="143"/>
      <c r="D32" s="143"/>
      <c r="E32" s="143">
        <v>3.9045553145336219E-2</v>
      </c>
      <c r="G32" s="330" t="s">
        <v>163</v>
      </c>
    </row>
    <row r="33" spans="1:11">
      <c r="A33" s="161" t="s">
        <v>194</v>
      </c>
      <c r="B33" s="295">
        <v>4.7252952613629773E-2</v>
      </c>
      <c r="C33" s="143"/>
      <c r="D33" s="143"/>
      <c r="E33" s="143">
        <v>4.7252952613629773E-2</v>
      </c>
      <c r="G33" s="330" t="s">
        <v>164</v>
      </c>
    </row>
    <row r="34" spans="1:11">
      <c r="A34" s="161" t="s">
        <v>172</v>
      </c>
      <c r="B34" s="143">
        <v>8399.93</v>
      </c>
      <c r="C34" s="143">
        <v>7095.15</v>
      </c>
      <c r="D34" s="143">
        <v>11597.12</v>
      </c>
      <c r="E34" s="143">
        <v>27092.2</v>
      </c>
      <c r="G34" s="330" t="s">
        <v>170</v>
      </c>
    </row>
    <row r="35" spans="1:11">
      <c r="A35" s="161" t="s">
        <v>174</v>
      </c>
      <c r="B35" s="143">
        <v>0.77</v>
      </c>
      <c r="C35" s="143">
        <v>0.53</v>
      </c>
      <c r="D35" s="143">
        <v>0.62</v>
      </c>
      <c r="E35" s="143">
        <v>1.92</v>
      </c>
      <c r="G35" s="330" t="s">
        <v>177</v>
      </c>
    </row>
    <row r="36" spans="1:11">
      <c r="A36" s="161" t="s">
        <v>400</v>
      </c>
      <c r="B36" s="143"/>
      <c r="C36" s="143"/>
      <c r="D36" s="143"/>
      <c r="E36" s="143"/>
      <c r="G36" s="330" t="s">
        <v>182</v>
      </c>
    </row>
    <row r="37" spans="1:11">
      <c r="A37" s="161" t="s">
        <v>297</v>
      </c>
      <c r="B37" s="143"/>
      <c r="C37" s="143"/>
      <c r="D37" s="143">
        <v>8153.32</v>
      </c>
      <c r="E37" s="143">
        <v>8153.32</v>
      </c>
      <c r="G37" s="330" t="s">
        <v>185</v>
      </c>
    </row>
    <row r="38" spans="1:11">
      <c r="A38" s="161" t="s">
        <v>301</v>
      </c>
      <c r="B38" s="143">
        <v>32155.40632968194</v>
      </c>
      <c r="C38" s="143">
        <v>43166.301061516511</v>
      </c>
      <c r="D38" s="143">
        <v>71222.185945507401</v>
      </c>
      <c r="E38" s="143">
        <v>146543.89333670583</v>
      </c>
    </row>
    <row r="39" spans="1:11">
      <c r="A39" s="161"/>
      <c r="B39" s="87"/>
      <c r="C39" s="87"/>
      <c r="D39" s="87"/>
      <c r="E39" s="87"/>
    </row>
    <row r="40" spans="1:11">
      <c r="G40" s="320"/>
      <c r="H40" s="320"/>
      <c r="I40" s="320"/>
      <c r="J40" s="320"/>
    </row>
    <row r="44" spans="1:11">
      <c r="A44" s="120" t="s">
        <v>0</v>
      </c>
      <c r="B44" s="162">
        <v>2021</v>
      </c>
      <c r="C44" s="162">
        <v>2022</v>
      </c>
      <c r="D44" s="162">
        <v>2023</v>
      </c>
    </row>
    <row r="45" spans="1:11">
      <c r="A45" s="163" t="s">
        <v>39</v>
      </c>
      <c r="B45" s="24">
        <f t="shared" ref="B45:B50" si="2">IFERROR(INDEX($B$3:$D$36,MATCH($A45,$A$3:$A$36,0),MATCH(B$44,$B$2:$D$2,0)),"-")</f>
        <v>0.61499999999999999</v>
      </c>
      <c r="C45" s="24">
        <f t="shared" ref="C45:D50" si="3">IFERROR(INDEX($B$3:$D$36,MATCH($A45,$A$3:$A$36,0),MATCH(C$44,$B$2:$D$2,0)),"-")</f>
        <v>0.62139999999999995</v>
      </c>
      <c r="D45" s="24">
        <f t="shared" si="3"/>
        <v>0.62130000000000007</v>
      </c>
      <c r="E45" t="s">
        <v>39</v>
      </c>
    </row>
    <row r="46" spans="1:11">
      <c r="A46" s="163" t="s">
        <v>50</v>
      </c>
      <c r="B46" s="24">
        <f t="shared" si="2"/>
        <v>3.0800000000000001E-2</v>
      </c>
      <c r="C46" s="24">
        <f t="shared" si="3"/>
        <v>2.6499999999999999E-2</v>
      </c>
      <c r="D46" s="24">
        <f t="shared" si="3"/>
        <v>2.2000000000000002E-2</v>
      </c>
      <c r="E46" t="s">
        <v>50</v>
      </c>
    </row>
    <row r="47" spans="1:11">
      <c r="A47" s="164" t="s">
        <v>54</v>
      </c>
      <c r="B47" s="24">
        <f t="shared" si="2"/>
        <v>2.4700000000000003E-2</v>
      </c>
      <c r="C47" s="24">
        <f t="shared" si="3"/>
        <v>2.2799999999999997E-2</v>
      </c>
      <c r="D47" s="24">
        <f t="shared" si="3"/>
        <v>0</v>
      </c>
      <c r="E47" t="s">
        <v>54</v>
      </c>
      <c r="H47" t="str">
        <f>G1</f>
        <v>Ratios</v>
      </c>
      <c r="I47" s="143">
        <f>H1</f>
        <v>2021</v>
      </c>
      <c r="J47" s="143">
        <f>I1</f>
        <v>2022</v>
      </c>
      <c r="K47" s="143">
        <f>J1</f>
        <v>2023</v>
      </c>
    </row>
    <row r="48" spans="1:11">
      <c r="A48" s="164" t="s">
        <v>57</v>
      </c>
      <c r="B48" s="24">
        <f t="shared" si="2"/>
        <v>0</v>
      </c>
      <c r="C48" s="24">
        <f t="shared" si="3"/>
        <v>0</v>
      </c>
      <c r="D48" s="24">
        <f t="shared" si="3"/>
        <v>1.9099999999999999E-2</v>
      </c>
      <c r="E48" t="s">
        <v>57</v>
      </c>
      <c r="H48" t="str">
        <f t="shared" ref="H48:K54" si="4">G13</f>
        <v xml:space="preserve">Net Worth </v>
      </c>
      <c r="I48">
        <f t="shared" si="4"/>
        <v>1942.06</v>
      </c>
      <c r="J48">
        <f t="shared" si="4"/>
        <v>5714.5</v>
      </c>
      <c r="K48">
        <f t="shared" si="4"/>
        <v>6424.7</v>
      </c>
    </row>
    <row r="49" spans="1:11">
      <c r="A49" s="163" t="s">
        <v>62</v>
      </c>
      <c r="B49" s="24">
        <f t="shared" si="2"/>
        <v>1.4199999999999999E-2</v>
      </c>
      <c r="C49" s="24">
        <f t="shared" si="3"/>
        <v>1.3000000000000001E-2</v>
      </c>
      <c r="D49" s="24">
        <f t="shared" si="3"/>
        <v>0</v>
      </c>
      <c r="E49" t="s">
        <v>62</v>
      </c>
      <c r="H49" t="str">
        <f t="shared" si="4"/>
        <v>Total Debt</v>
      </c>
      <c r="I49">
        <f t="shared" si="4"/>
        <v>8399.93</v>
      </c>
      <c r="J49">
        <f t="shared" si="4"/>
        <v>7095.15</v>
      </c>
      <c r="K49">
        <f t="shared" si="4"/>
        <v>11597.12</v>
      </c>
    </row>
    <row r="50" spans="1:11">
      <c r="A50" s="163" t="s">
        <v>51</v>
      </c>
      <c r="B50" s="24">
        <f t="shared" si="2"/>
        <v>1.1399999999999999E-2</v>
      </c>
      <c r="C50" s="24">
        <f t="shared" si="3"/>
        <v>1.1399999999999999E-2</v>
      </c>
      <c r="D50" s="24">
        <f t="shared" si="3"/>
        <v>1.1299999999999999E-2</v>
      </c>
      <c r="E50" t="s">
        <v>51</v>
      </c>
      <c r="H50" t="str">
        <f t="shared" si="4"/>
        <v>Gearing Ratio Times</v>
      </c>
      <c r="I50">
        <f t="shared" si="4"/>
        <v>4.08</v>
      </c>
      <c r="J50">
        <f t="shared" si="4"/>
        <v>1.18</v>
      </c>
      <c r="K50">
        <f t="shared" si="4"/>
        <v>1.73</v>
      </c>
    </row>
    <row r="51" spans="1:11">
      <c r="B51" s="24"/>
      <c r="C51" s="24"/>
      <c r="D51" s="24"/>
      <c r="H51" t="str">
        <f t="shared" si="4"/>
        <v>AUM</v>
      </c>
      <c r="I51">
        <f t="shared" si="4"/>
        <v>14225</v>
      </c>
      <c r="J51">
        <f t="shared" si="4"/>
        <v>16579</v>
      </c>
      <c r="K51">
        <f t="shared" si="4"/>
        <v>16143</v>
      </c>
    </row>
    <row r="52" spans="1:11">
      <c r="H52" t="str">
        <f t="shared" si="4"/>
        <v>Total Debt To Total Asset</v>
      </c>
      <c r="I52" s="155">
        <f t="shared" si="4"/>
        <v>0.77</v>
      </c>
      <c r="J52" s="155">
        <f t="shared" si="4"/>
        <v>0.53</v>
      </c>
      <c r="K52" s="155">
        <f t="shared" si="4"/>
        <v>0.62</v>
      </c>
    </row>
    <row r="53" spans="1:11">
      <c r="A53" s="120" t="s">
        <v>155</v>
      </c>
      <c r="B53" s="162" t="s">
        <v>228</v>
      </c>
      <c r="C53" s="162" t="s">
        <v>229</v>
      </c>
      <c r="D53" s="162" t="s">
        <v>230</v>
      </c>
      <c r="H53" t="str">
        <f t="shared" si="4"/>
        <v>Cash &amp; Cash Equivalent</v>
      </c>
      <c r="I53">
        <f t="shared" si="4"/>
        <v>265.08999999999997</v>
      </c>
      <c r="J53">
        <f t="shared" si="4"/>
        <v>335.2</v>
      </c>
      <c r="K53">
        <f t="shared" si="4"/>
        <v>601.38</v>
      </c>
    </row>
    <row r="54" spans="1:11">
      <c r="A54" s="86" t="s">
        <v>169</v>
      </c>
      <c r="B54" s="165">
        <f t="shared" ref="B54:D56" si="5">IFERROR(INDEX($B$3:$D$36,MATCH($A54,$A$3:$A$36,0),MATCH(B$44,$B$2:$D$2,0)),"-")</f>
        <v>14225</v>
      </c>
      <c r="C54" s="165">
        <f t="shared" si="5"/>
        <v>16579</v>
      </c>
      <c r="D54" s="165">
        <f t="shared" si="5"/>
        <v>16143</v>
      </c>
      <c r="H54" t="str">
        <f t="shared" si="4"/>
        <v xml:space="preserve">Loans Disbursed </v>
      </c>
      <c r="I54">
        <f t="shared" si="4"/>
        <v>3680</v>
      </c>
      <c r="J54">
        <f t="shared" si="4"/>
        <v>9494</v>
      </c>
      <c r="K54">
        <f t="shared" si="4"/>
        <v>15198</v>
      </c>
    </row>
    <row r="55" spans="1:11">
      <c r="A55" s="120" t="s">
        <v>175</v>
      </c>
      <c r="B55" s="165">
        <f t="shared" si="5"/>
        <v>3680</v>
      </c>
      <c r="C55" s="165">
        <f t="shared" si="5"/>
        <v>9494</v>
      </c>
      <c r="D55" s="165">
        <f t="shared" si="5"/>
        <v>15198</v>
      </c>
    </row>
    <row r="56" spans="1:11">
      <c r="A56" s="120" t="s">
        <v>168</v>
      </c>
      <c r="B56" s="25">
        <f t="shared" si="5"/>
        <v>8.2000000000000003E-2</v>
      </c>
      <c r="C56" s="25">
        <f t="shared" si="5"/>
        <v>8.8999999999999996E-2</v>
      </c>
      <c r="D56" s="25">
        <f t="shared" si="5"/>
        <v>0.107</v>
      </c>
    </row>
    <row r="77" spans="1:6">
      <c r="A77" s="166" t="str">
        <f>A44</f>
        <v>Promoter Holdings</v>
      </c>
      <c r="B77" s="166">
        <f>B44</f>
        <v>2021</v>
      </c>
      <c r="C77" s="166">
        <f>C44</f>
        <v>2022</v>
      </c>
      <c r="D77" s="166">
        <f>D44</f>
        <v>2023</v>
      </c>
    </row>
    <row r="78" spans="1:6">
      <c r="A78" s="290" t="str">
        <f t="shared" ref="A78:A83" si="6">IF(AND(B78="-",C78="-"),LARGE($D$78:$D$83,VLOOKUP($F78,$F$78:$F$83,1)),IF(AND(B78="-",D78="-"),LARGE($C$78:$C$83,VLOOKUP($F78,$F$78:$F$83,1)),IF(AND(C78="-",D78="-"),LARGE($B$78:$B$83,VLOOKUP($F78,$F$78:$F$83,1)),A45)))</f>
        <v>Rising Sun Holdings Pvt Ltd</v>
      </c>
      <c r="B78" s="25">
        <f t="shared" ref="B78:D79" si="7">IF(B45&gt;0,B45,"-")</f>
        <v>0.61499999999999999</v>
      </c>
      <c r="C78" s="25">
        <f t="shared" si="7"/>
        <v>0.62139999999999995</v>
      </c>
      <c r="D78" s="25">
        <f t="shared" si="7"/>
        <v>0.62130000000000007</v>
      </c>
      <c r="F78">
        <v>1</v>
      </c>
    </row>
    <row r="79" spans="1:6">
      <c r="A79" s="290" t="str">
        <f t="shared" si="6"/>
        <v>Amansa Holdings Private Limited</v>
      </c>
      <c r="B79" s="25">
        <f t="shared" si="7"/>
        <v>3.0800000000000001E-2</v>
      </c>
      <c r="C79" s="25">
        <f t="shared" si="7"/>
        <v>2.6499999999999999E-2</v>
      </c>
      <c r="D79" s="25">
        <f t="shared" si="7"/>
        <v>2.2000000000000002E-2</v>
      </c>
      <c r="F79">
        <f>F78+1</f>
        <v>2</v>
      </c>
    </row>
    <row r="80" spans="1:6">
      <c r="A80" s="290" t="str">
        <f t="shared" si="6"/>
        <v>Nippon Life India Trustee Ltd- A/C Nippo</v>
      </c>
      <c r="B80" s="25">
        <f>IF(B47&gt;0,B47,"-")</f>
        <v>2.4700000000000003E-2</v>
      </c>
      <c r="C80" s="25">
        <f>IF(C47&gt;0,C47,"-")</f>
        <v>2.2799999999999997E-2</v>
      </c>
      <c r="D80" s="25">
        <f>IF(D47&gt;0,D47,0)</f>
        <v>0</v>
      </c>
      <c r="F80">
        <f>F79+1</f>
        <v>3</v>
      </c>
    </row>
    <row r="81" spans="1:8">
      <c r="A81" s="290" t="str">
        <f t="shared" si="6"/>
        <v>Quant Mutual Fund - Quant Mid Cap Fund</v>
      </c>
      <c r="B81" s="25">
        <f>IF(B48&gt;0,B48,0)</f>
        <v>0</v>
      </c>
      <c r="C81" s="25">
        <f>IF(C48&gt;0,C48,0)</f>
        <v>0</v>
      </c>
      <c r="D81" s="25">
        <f>IF(D48&gt;0,D48,"-")</f>
        <v>1.9099999999999999E-2</v>
      </c>
      <c r="F81">
        <f>F80+1</f>
        <v>4</v>
      </c>
    </row>
    <row r="82" spans="1:8">
      <c r="A82" s="290" t="str">
        <f t="shared" si="6"/>
        <v>Aditya Birla Sun Life Trustee Private Limited</v>
      </c>
      <c r="B82" s="25">
        <f>IF(B49&gt;0,B49,"-")</f>
        <v>1.4199999999999999E-2</v>
      </c>
      <c r="C82" s="25">
        <f>IF(C49&gt;0,C49,"-")</f>
        <v>1.3000000000000001E-2</v>
      </c>
      <c r="D82" s="25">
        <f>IF(D49&gt;0,D49,0)</f>
        <v>0</v>
      </c>
      <c r="F82">
        <f>F81+1</f>
        <v>5</v>
      </c>
    </row>
    <row r="83" spans="1:8">
      <c r="A83" s="290" t="str">
        <f t="shared" si="6"/>
        <v>Bank Muscat India Fund</v>
      </c>
      <c r="B83" s="25">
        <f>IF(B50&gt;0,B50,"-")</f>
        <v>1.1399999999999999E-2</v>
      </c>
      <c r="C83" s="25">
        <f>IF(C50&gt;0,C50,"-")</f>
        <v>1.1399999999999999E-2</v>
      </c>
      <c r="D83" s="25">
        <f>IF(D50&gt;0,D50,"-")</f>
        <v>1.1299999999999999E-2</v>
      </c>
      <c r="F83">
        <f>F82+1</f>
        <v>6</v>
      </c>
    </row>
    <row r="84" spans="1:8">
      <c r="B84" s="25"/>
      <c r="C84" s="25"/>
      <c r="D84" s="25"/>
    </row>
    <row r="85" spans="1:8">
      <c r="A85" s="166" t="s">
        <v>0</v>
      </c>
      <c r="B85" s="165">
        <f>IF(AND(ISNUMBER($B$78),ISNUMBER($C$78),ISNUMBER($D$78)),B77,"Holdings%")</f>
        <v>2021</v>
      </c>
      <c r="C85" s="165">
        <f>IF(AND(ISNUMBER($B$78),ISNUMBER($C$78),ISNUMBER($D$78)),C77,"Holdings%")</f>
        <v>2022</v>
      </c>
      <c r="D85" s="165">
        <f>IF(AND(ISNUMBER($B$78),ISNUMBER($C$78),ISNUMBER($D$78)),D77,"Holdings%")</f>
        <v>2023</v>
      </c>
      <c r="E85" s="166" t="s">
        <v>0</v>
      </c>
      <c r="F85" s="166" t="s">
        <v>315</v>
      </c>
      <c r="G85" s="166" t="s">
        <v>316</v>
      </c>
      <c r="H85" s="166" t="s">
        <v>317</v>
      </c>
    </row>
    <row r="86" spans="1:8" ht="57.45" customHeight="1">
      <c r="A86" s="166" t="str">
        <f t="shared" ref="A86:A91" si="8">IF(AND(ISNUMBER(A78),C78="-",D78="-"),VLOOKUP(A78,$B$45:$E$50,4,0),IF(AND(ISNUMBER(A78),B78="-",D78="-"),VLOOKUP(A78,$C$45:$E$50,3,0),IF(AND(ISNUMBER(A78),B78="-",C78="-"),VLOOKUP(A78,$D$45:$E$50,2,0),A78)))</f>
        <v>Rising Sun Holdings Pvt Ltd</v>
      </c>
      <c r="B86" s="24">
        <f t="shared" ref="B86:D91" si="9">IF(ISNUMBER($A78),VLOOKUP($A78,$A$78:$A$83,1,0),INDEX($B$45:$D$50,MATCH($A86,$A$45:$A$50,0),MATCH(B$85,$B$77:$D$77,0)))</f>
        <v>0.61499999999999999</v>
      </c>
      <c r="C86" s="24">
        <f t="shared" si="9"/>
        <v>0.62139999999999995</v>
      </c>
      <c r="D86" s="24">
        <f t="shared" si="9"/>
        <v>0.62130000000000007</v>
      </c>
      <c r="E86" s="166" t="str">
        <f t="shared" ref="E86:E91" si="10">A86</f>
        <v>Rising Sun Holdings Pvt Ltd</v>
      </c>
      <c r="F86" s="118">
        <f t="shared" ref="F86:F91" si="11">D86</f>
        <v>0.62130000000000007</v>
      </c>
      <c r="H86" t="s">
        <v>318</v>
      </c>
    </row>
    <row r="87" spans="1:8" ht="57.45" customHeight="1">
      <c r="A87" s="166" t="str">
        <f t="shared" si="8"/>
        <v>Amansa Holdings Private Limited</v>
      </c>
      <c r="B87" s="24">
        <f t="shared" si="9"/>
        <v>3.0800000000000001E-2</v>
      </c>
      <c r="C87" s="24">
        <f t="shared" si="9"/>
        <v>2.6499999999999999E-2</v>
      </c>
      <c r="D87" s="24">
        <f t="shared" si="9"/>
        <v>2.2000000000000002E-2</v>
      </c>
      <c r="E87" s="166" t="str">
        <f t="shared" si="10"/>
        <v>Amansa Holdings Private Limited</v>
      </c>
      <c r="F87" s="118">
        <f t="shared" si="11"/>
        <v>2.2000000000000002E-2</v>
      </c>
      <c r="H87" t="s">
        <v>319</v>
      </c>
    </row>
    <row r="88" spans="1:8" ht="58.95" customHeight="1">
      <c r="A88" s="166" t="str">
        <f t="shared" si="8"/>
        <v>Nippon Life India Trustee Ltd- A/C Nippo</v>
      </c>
      <c r="B88" s="24">
        <f t="shared" si="9"/>
        <v>2.4700000000000003E-2</v>
      </c>
      <c r="C88" s="24">
        <f t="shared" si="9"/>
        <v>2.2799999999999997E-2</v>
      </c>
      <c r="D88" s="24">
        <f t="shared" si="9"/>
        <v>0</v>
      </c>
      <c r="E88" s="166" t="str">
        <f t="shared" si="10"/>
        <v>Nippon Life India Trustee Ltd- A/C Nippo</v>
      </c>
      <c r="F88" s="118">
        <f t="shared" si="11"/>
        <v>0</v>
      </c>
      <c r="H88" t="s">
        <v>320</v>
      </c>
    </row>
    <row r="89" spans="1:8" ht="46.95" customHeight="1">
      <c r="A89" s="166" t="str">
        <f t="shared" si="8"/>
        <v>Quant Mutual Fund - Quant Mid Cap Fund</v>
      </c>
      <c r="B89" s="24">
        <f t="shared" si="9"/>
        <v>0</v>
      </c>
      <c r="C89" s="24">
        <f t="shared" si="9"/>
        <v>0</v>
      </c>
      <c r="D89" s="24">
        <f t="shared" si="9"/>
        <v>1.9099999999999999E-2</v>
      </c>
      <c r="E89" s="166" t="str">
        <f t="shared" si="10"/>
        <v>Quant Mutual Fund - Quant Mid Cap Fund</v>
      </c>
      <c r="F89" s="118">
        <f t="shared" si="11"/>
        <v>1.9099999999999999E-2</v>
      </c>
      <c r="H89" t="s">
        <v>321</v>
      </c>
    </row>
    <row r="90" spans="1:8" ht="28.95" customHeight="1">
      <c r="A90" s="166" t="str">
        <f t="shared" si="8"/>
        <v>Aditya Birla Sun Life Trustee Private Limited</v>
      </c>
      <c r="B90" s="24">
        <f t="shared" si="9"/>
        <v>1.4199999999999999E-2</v>
      </c>
      <c r="C90" s="24">
        <f t="shared" si="9"/>
        <v>1.3000000000000001E-2</v>
      </c>
      <c r="D90" s="24">
        <f t="shared" si="9"/>
        <v>0</v>
      </c>
      <c r="E90" s="166" t="str">
        <f t="shared" si="10"/>
        <v>Aditya Birla Sun Life Trustee Private Limited</v>
      </c>
      <c r="F90" s="118">
        <f t="shared" si="11"/>
        <v>0</v>
      </c>
      <c r="H90" t="s">
        <v>322</v>
      </c>
    </row>
    <row r="91" spans="1:8" ht="19.5" customHeight="1">
      <c r="A91" s="166" t="str">
        <f t="shared" si="8"/>
        <v>Bank Muscat India Fund</v>
      </c>
      <c r="B91" s="24">
        <f t="shared" si="9"/>
        <v>1.1399999999999999E-2</v>
      </c>
      <c r="C91" s="24">
        <f t="shared" si="9"/>
        <v>1.1399999999999999E-2</v>
      </c>
      <c r="D91" s="24">
        <f t="shared" si="9"/>
        <v>1.1299999999999999E-2</v>
      </c>
      <c r="E91" s="166" t="str">
        <f t="shared" si="10"/>
        <v>Bank Muscat India Fund</v>
      </c>
      <c r="F91" s="118">
        <f t="shared" si="11"/>
        <v>1.1299999999999999E-2</v>
      </c>
      <c r="H91" t="s">
        <v>323</v>
      </c>
    </row>
    <row r="96" spans="1:8">
      <c r="E96" s="166" t="str">
        <f t="shared" ref="E96:E102" si="12">E85</f>
        <v>Promoter Holdings</v>
      </c>
      <c r="F96" t="s">
        <v>324</v>
      </c>
      <c r="H96" s="166" t="str">
        <f t="shared" ref="H96:H102" si="13">F85</f>
        <v>Holdings %</v>
      </c>
    </row>
    <row r="97" spans="1:8" ht="23.55" customHeight="1">
      <c r="E97" s="166" t="str">
        <f t="shared" si="12"/>
        <v>Rising Sun Holdings Pvt Ltd</v>
      </c>
      <c r="H97" s="118">
        <f t="shared" si="13"/>
        <v>0.62130000000000007</v>
      </c>
    </row>
    <row r="98" spans="1:8" ht="19.05" customHeight="1">
      <c r="E98" s="166" t="str">
        <f t="shared" si="12"/>
        <v>Amansa Holdings Private Limited</v>
      </c>
      <c r="H98" s="118">
        <f t="shared" si="13"/>
        <v>2.2000000000000002E-2</v>
      </c>
    </row>
    <row r="99" spans="1:8" ht="21" customHeight="1">
      <c r="E99" s="166" t="str">
        <f t="shared" si="12"/>
        <v>Nippon Life India Trustee Ltd- A/C Nippo</v>
      </c>
      <c r="H99" s="118">
        <f t="shared" si="13"/>
        <v>0</v>
      </c>
    </row>
    <row r="100" spans="1:8" ht="24.45" customHeight="1">
      <c r="E100" s="166" t="str">
        <f t="shared" si="12"/>
        <v>Quant Mutual Fund - Quant Mid Cap Fund</v>
      </c>
      <c r="H100" s="118">
        <f t="shared" si="13"/>
        <v>1.9099999999999999E-2</v>
      </c>
    </row>
    <row r="101" spans="1:8" ht="21.45" customHeight="1">
      <c r="E101" s="166" t="str">
        <f t="shared" si="12"/>
        <v>Aditya Birla Sun Life Trustee Private Limited</v>
      </c>
      <c r="H101" s="118">
        <f t="shared" si="13"/>
        <v>0</v>
      </c>
    </row>
    <row r="102" spans="1:8" ht="19.95" customHeight="1">
      <c r="E102" s="166" t="str">
        <f t="shared" si="12"/>
        <v>Bank Muscat India Fund</v>
      </c>
      <c r="H102" s="118">
        <f t="shared" si="13"/>
        <v>1.1299999999999999E-2</v>
      </c>
    </row>
    <row r="107" spans="1:8">
      <c r="A107" s="166" t="s">
        <v>0</v>
      </c>
      <c r="B107" s="165">
        <v>2021</v>
      </c>
      <c r="C107" s="165">
        <v>2022</v>
      </c>
      <c r="D107" s="165">
        <v>2023</v>
      </c>
    </row>
    <row r="108" spans="1:8">
      <c r="A108" s="166" t="s">
        <v>39</v>
      </c>
      <c r="B108" s="24">
        <v>0.61499999999999999</v>
      </c>
      <c r="C108" s="24">
        <v>0.62139999999999995</v>
      </c>
      <c r="D108" s="24">
        <v>0.62130000000000007</v>
      </c>
    </row>
    <row r="109" spans="1:8">
      <c r="A109" s="166" t="s">
        <v>50</v>
      </c>
      <c r="B109" s="24">
        <v>3.0800000000000001E-2</v>
      </c>
      <c r="C109" s="24">
        <v>2.6499999999999999E-2</v>
      </c>
      <c r="D109" s="24">
        <v>2.2000000000000002E-2</v>
      </c>
    </row>
    <row r="110" spans="1:8">
      <c r="A110" s="166" t="s">
        <v>54</v>
      </c>
      <c r="B110" s="24">
        <v>2.4700000000000003E-2</v>
      </c>
      <c r="C110" s="24">
        <v>2.2799999999999997E-2</v>
      </c>
      <c r="D110" s="24">
        <v>0</v>
      </c>
    </row>
    <row r="111" spans="1:8">
      <c r="A111" s="166" t="s">
        <v>57</v>
      </c>
      <c r="B111" s="24">
        <v>0</v>
      </c>
      <c r="C111" s="24">
        <v>0</v>
      </c>
      <c r="D111" s="24">
        <v>1.9099999999999999E-2</v>
      </c>
    </row>
    <row r="112" spans="1:8">
      <c r="A112" s="166" t="s">
        <v>62</v>
      </c>
      <c r="B112" s="24">
        <v>1.4199999999999999E-2</v>
      </c>
      <c r="C112" s="24">
        <v>1.3000000000000001E-2</v>
      </c>
      <c r="D112" s="24">
        <v>0</v>
      </c>
    </row>
    <row r="113" spans="1:4">
      <c r="A113" s="166" t="s">
        <v>51</v>
      </c>
      <c r="B113" s="24">
        <v>1.1399999999999999E-2</v>
      </c>
      <c r="C113" s="24">
        <v>1.1399999999999999E-2</v>
      </c>
      <c r="D113" s="24">
        <v>1.1299999999999999E-2</v>
      </c>
    </row>
  </sheetData>
  <pageMargins left="0.7" right="0.7" top="0.75" bottom="0.75" header="0.3" footer="0.3"/>
  <drawing r:id="rId2"/>
  <legacy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3A4CF648-6AED-40f4-86FF-DC5316D8AED3}">
      <x14:slicerList xmlns:x14="http://schemas.microsoft.com/office/spreadsheetml/2009/9/main">
        <x14:slicer r:id="rId6"/>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topLeftCell="A55" workbookViewId="0">
      <selection activeCell="F74" sqref="F74"/>
    </sheetView>
  </sheetViews>
  <sheetFormatPr defaultRowHeight="14.4"/>
  <cols>
    <col min="1" max="1" width="21.77734375" bestFit="1" customWidth="1"/>
    <col min="2" max="2" width="7.6640625" bestFit="1" customWidth="1"/>
    <col min="3" max="3" width="8.77734375" bestFit="1" customWidth="1"/>
  </cols>
  <sheetData>
    <row r="1" spans="1:3">
      <c r="A1" t="s">
        <v>308</v>
      </c>
      <c r="B1" t="s">
        <v>304</v>
      </c>
      <c r="C1" t="s">
        <v>303</v>
      </c>
    </row>
    <row r="2" spans="1:3">
      <c r="A2" t="s">
        <v>154</v>
      </c>
      <c r="B2">
        <v>2021</v>
      </c>
      <c r="C2" s="84">
        <v>2.4009695307347432</v>
      </c>
    </row>
    <row r="3" spans="1:3">
      <c r="A3" t="s">
        <v>154</v>
      </c>
      <c r="B3">
        <v>2022</v>
      </c>
      <c r="C3" s="84">
        <v>6.247498294612102</v>
      </c>
    </row>
    <row r="4" spans="1:3">
      <c r="A4" t="s">
        <v>154</v>
      </c>
      <c r="B4">
        <v>2023</v>
      </c>
      <c r="C4" s="84">
        <v>3.8268121740570069</v>
      </c>
    </row>
    <row r="5" spans="1:3">
      <c r="A5" t="s">
        <v>32</v>
      </c>
      <c r="B5">
        <v>2021</v>
      </c>
      <c r="C5" s="84">
        <v>1756.98</v>
      </c>
    </row>
    <row r="6" spans="1:3">
      <c r="A6" t="s">
        <v>32</v>
      </c>
      <c r="B6">
        <v>2022</v>
      </c>
      <c r="C6" s="84">
        <v>1458.56</v>
      </c>
    </row>
    <row r="7" spans="1:3">
      <c r="A7" t="s">
        <v>32</v>
      </c>
      <c r="B7">
        <v>2023</v>
      </c>
      <c r="C7" s="84">
        <v>1816.94</v>
      </c>
    </row>
    <row r="8" spans="1:3">
      <c r="A8" t="s">
        <v>161</v>
      </c>
      <c r="B8">
        <v>2021</v>
      </c>
      <c r="C8" s="84">
        <v>286.52999999999997</v>
      </c>
    </row>
    <row r="9" spans="1:3">
      <c r="A9" t="s">
        <v>161</v>
      </c>
      <c r="B9">
        <v>2022</v>
      </c>
      <c r="C9" s="84">
        <v>167</v>
      </c>
    </row>
    <row r="10" spans="1:3">
      <c r="A10" t="s">
        <v>161</v>
      </c>
      <c r="B10">
        <v>2023</v>
      </c>
      <c r="C10" s="84">
        <v>143</v>
      </c>
    </row>
    <row r="11" spans="1:3">
      <c r="A11" t="s">
        <v>162</v>
      </c>
      <c r="B11">
        <v>2021</v>
      </c>
      <c r="C11" s="84">
        <v>404.12</v>
      </c>
    </row>
    <row r="12" spans="1:3">
      <c r="A12" t="s">
        <v>162</v>
      </c>
      <c r="B12">
        <v>2022</v>
      </c>
      <c r="C12" s="84">
        <v>555</v>
      </c>
    </row>
    <row r="13" spans="1:3">
      <c r="A13" t="s">
        <v>162</v>
      </c>
      <c r="B13">
        <v>2023</v>
      </c>
      <c r="C13" s="84">
        <v>741.64</v>
      </c>
    </row>
    <row r="14" spans="1:3">
      <c r="A14" t="s">
        <v>165</v>
      </c>
      <c r="B14">
        <v>2021</v>
      </c>
      <c r="C14" s="84">
        <v>874.59</v>
      </c>
    </row>
    <row r="15" spans="1:3">
      <c r="A15" t="s">
        <v>165</v>
      </c>
      <c r="B15">
        <v>2022</v>
      </c>
      <c r="C15" s="84">
        <v>509.28</v>
      </c>
    </row>
    <row r="16" spans="1:3">
      <c r="A16" t="s">
        <v>165</v>
      </c>
      <c r="B16">
        <v>2023</v>
      </c>
      <c r="C16" s="84">
        <v>595.28</v>
      </c>
    </row>
    <row r="17" spans="1:3">
      <c r="A17" t="s">
        <v>166</v>
      </c>
      <c r="B17">
        <v>2021</v>
      </c>
      <c r="C17" s="84">
        <v>-575.41</v>
      </c>
    </row>
    <row r="18" spans="1:3">
      <c r="A18" t="s">
        <v>166</v>
      </c>
      <c r="B18">
        <v>2022</v>
      </c>
      <c r="C18" s="84">
        <v>294.83</v>
      </c>
    </row>
    <row r="19" spans="1:3">
      <c r="A19" t="s">
        <v>166</v>
      </c>
      <c r="B19">
        <v>2023</v>
      </c>
      <c r="C19" s="84">
        <v>586.29999999999995</v>
      </c>
    </row>
    <row r="20" spans="1:3">
      <c r="A20" t="s">
        <v>167</v>
      </c>
      <c r="B20">
        <v>2021</v>
      </c>
      <c r="C20" s="166">
        <v>882.38</v>
      </c>
    </row>
    <row r="21" spans="1:3">
      <c r="A21" t="s">
        <v>167</v>
      </c>
      <c r="B21">
        <v>2022</v>
      </c>
      <c r="C21" s="166">
        <v>949.27</v>
      </c>
    </row>
    <row r="22" spans="1:3">
      <c r="A22" t="s">
        <v>167</v>
      </c>
      <c r="B22">
        <v>2023</v>
      </c>
      <c r="C22" s="166">
        <v>1221.6600000000001</v>
      </c>
    </row>
    <row r="23" spans="1:3">
      <c r="A23" t="s">
        <v>168</v>
      </c>
      <c r="B23">
        <v>2021</v>
      </c>
      <c r="C23" s="25">
        <v>8.2000000000000003E-2</v>
      </c>
    </row>
    <row r="24" spans="1:3">
      <c r="A24" t="s">
        <v>168</v>
      </c>
      <c r="B24">
        <v>2022</v>
      </c>
      <c r="C24" s="25">
        <v>8.8999999999999996E-2</v>
      </c>
    </row>
    <row r="25" spans="1:3">
      <c r="A25" t="s">
        <v>168</v>
      </c>
      <c r="B25">
        <v>2023</v>
      </c>
      <c r="C25" s="25">
        <v>0.107</v>
      </c>
    </row>
    <row r="26" spans="1:3">
      <c r="A26" t="s">
        <v>171</v>
      </c>
      <c r="B26">
        <v>2021</v>
      </c>
      <c r="C26" s="166">
        <v>1942.06</v>
      </c>
    </row>
    <row r="27" spans="1:3">
      <c r="A27" t="s">
        <v>171</v>
      </c>
      <c r="B27">
        <v>2022</v>
      </c>
      <c r="C27" s="166">
        <v>5714.5</v>
      </c>
    </row>
    <row r="28" spans="1:3">
      <c r="A28" t="s">
        <v>171</v>
      </c>
      <c r="B28">
        <v>2023</v>
      </c>
      <c r="C28" s="166">
        <v>6424.7</v>
      </c>
    </row>
    <row r="29" spans="1:3">
      <c r="A29" t="s">
        <v>172</v>
      </c>
      <c r="B29">
        <v>2021</v>
      </c>
      <c r="C29" s="166">
        <v>8399.93</v>
      </c>
    </row>
    <row r="30" spans="1:3">
      <c r="A30" t="s">
        <v>172</v>
      </c>
      <c r="B30">
        <v>2022</v>
      </c>
      <c r="C30" s="166">
        <v>7095.15</v>
      </c>
    </row>
    <row r="31" spans="1:3">
      <c r="A31" t="s">
        <v>172</v>
      </c>
      <c r="B31">
        <v>2023</v>
      </c>
      <c r="C31" s="166">
        <v>11597.12</v>
      </c>
    </row>
    <row r="32" spans="1:3">
      <c r="A32" t="s">
        <v>176</v>
      </c>
      <c r="B32">
        <v>2021</v>
      </c>
      <c r="C32" s="166">
        <v>4.08</v>
      </c>
    </row>
    <row r="33" spans="1:3">
      <c r="A33" t="s">
        <v>176</v>
      </c>
      <c r="B33">
        <v>2022</v>
      </c>
      <c r="C33" s="166">
        <v>1.18</v>
      </c>
    </row>
    <row r="34" spans="1:3">
      <c r="A34" t="s">
        <v>176</v>
      </c>
      <c r="B34">
        <v>2023</v>
      </c>
      <c r="C34" s="166">
        <v>1.73</v>
      </c>
    </row>
    <row r="35" spans="1:3">
      <c r="A35" t="s">
        <v>169</v>
      </c>
      <c r="B35">
        <v>2021</v>
      </c>
      <c r="C35" s="166">
        <v>14225</v>
      </c>
    </row>
    <row r="36" spans="1:3">
      <c r="A36" t="s">
        <v>169</v>
      </c>
      <c r="B36">
        <v>2022</v>
      </c>
      <c r="C36" s="166">
        <v>16579</v>
      </c>
    </row>
    <row r="37" spans="1:3">
      <c r="A37" t="s">
        <v>169</v>
      </c>
      <c r="B37">
        <v>2023</v>
      </c>
      <c r="C37" s="166">
        <v>16143</v>
      </c>
    </row>
    <row r="38" spans="1:3">
      <c r="A38" t="s">
        <v>174</v>
      </c>
      <c r="B38">
        <v>2021</v>
      </c>
      <c r="C38" s="166">
        <v>0.77</v>
      </c>
    </row>
    <row r="39" spans="1:3">
      <c r="A39" t="s">
        <v>174</v>
      </c>
      <c r="B39">
        <v>2022</v>
      </c>
      <c r="C39" s="166">
        <v>0.53</v>
      </c>
    </row>
    <row r="40" spans="1:3">
      <c r="A40" t="s">
        <v>174</v>
      </c>
      <c r="B40">
        <v>2023</v>
      </c>
      <c r="C40" s="166">
        <v>0.62</v>
      </c>
    </row>
    <row r="41" spans="1:3">
      <c r="A41" t="s">
        <v>173</v>
      </c>
      <c r="B41">
        <v>2021</v>
      </c>
      <c r="C41" s="166">
        <v>265.08999999999997</v>
      </c>
    </row>
    <row r="42" spans="1:3">
      <c r="A42" t="s">
        <v>173</v>
      </c>
      <c r="B42">
        <v>2022</v>
      </c>
      <c r="C42" s="166">
        <v>335.2</v>
      </c>
    </row>
    <row r="43" spans="1:3">
      <c r="A43" t="s">
        <v>173</v>
      </c>
      <c r="B43">
        <v>2023</v>
      </c>
      <c r="C43" s="166">
        <v>601.38</v>
      </c>
    </row>
    <row r="44" spans="1:3">
      <c r="A44" t="s">
        <v>175</v>
      </c>
      <c r="B44">
        <v>2021</v>
      </c>
      <c r="C44" s="166">
        <v>3680</v>
      </c>
    </row>
    <row r="45" spans="1:3">
      <c r="A45" t="s">
        <v>175</v>
      </c>
      <c r="B45">
        <v>2022</v>
      </c>
      <c r="C45" s="166">
        <v>9494</v>
      </c>
    </row>
    <row r="46" spans="1:3">
      <c r="A46" t="s">
        <v>175</v>
      </c>
      <c r="B46">
        <v>2023</v>
      </c>
      <c r="C46" s="166">
        <v>15198</v>
      </c>
    </row>
    <row r="47" spans="1:3">
      <c r="A47" t="s">
        <v>178</v>
      </c>
      <c r="B47">
        <v>2021</v>
      </c>
      <c r="C47" s="166">
        <v>4.3099999999999996</v>
      </c>
    </row>
    <row r="48" spans="1:3">
      <c r="A48" t="s">
        <v>178</v>
      </c>
      <c r="B48">
        <v>2022</v>
      </c>
      <c r="C48" s="166">
        <v>3.29</v>
      </c>
    </row>
    <row r="49" spans="1:3">
      <c r="A49" t="s">
        <v>178</v>
      </c>
      <c r="B49">
        <v>2023</v>
      </c>
      <c r="C49" s="166">
        <v>1.44</v>
      </c>
    </row>
    <row r="50" spans="1:3">
      <c r="A50" t="s">
        <v>179</v>
      </c>
      <c r="B50">
        <v>2021</v>
      </c>
      <c r="C50" s="166">
        <v>1.32</v>
      </c>
    </row>
    <row r="51" spans="1:3">
      <c r="A51" t="s">
        <v>179</v>
      </c>
      <c r="B51">
        <v>2022</v>
      </c>
      <c r="C51" s="166">
        <v>1.3</v>
      </c>
    </row>
    <row r="52" spans="1:3">
      <c r="A52" t="s">
        <v>179</v>
      </c>
      <c r="B52">
        <v>2023</v>
      </c>
      <c r="C52" s="166">
        <v>0.78</v>
      </c>
    </row>
    <row r="53" spans="1:3">
      <c r="A53" t="s">
        <v>180</v>
      </c>
      <c r="B53">
        <v>2021</v>
      </c>
      <c r="C53" s="25">
        <v>0.69373549883990715</v>
      </c>
    </row>
    <row r="54" spans="1:3">
      <c r="A54" t="s">
        <v>180</v>
      </c>
      <c r="B54">
        <v>2022</v>
      </c>
      <c r="C54" s="25">
        <v>0.60486322188449848</v>
      </c>
    </row>
    <row r="55" spans="1:3">
      <c r="A55" t="s">
        <v>180</v>
      </c>
      <c r="B55">
        <v>2023</v>
      </c>
      <c r="C55" s="25">
        <v>0.45833333333333331</v>
      </c>
    </row>
    <row r="56" spans="1:3">
      <c r="A56" t="s">
        <v>183</v>
      </c>
      <c r="B56">
        <v>2021</v>
      </c>
      <c r="C56" s="25">
        <v>-0.55600000000000005</v>
      </c>
    </row>
    <row r="57" spans="1:3">
      <c r="A57" t="s">
        <v>183</v>
      </c>
      <c r="B57">
        <v>2022</v>
      </c>
      <c r="C57" s="25">
        <v>2.7E-2</v>
      </c>
    </row>
    <row r="58" spans="1:3">
      <c r="A58" t="s">
        <v>183</v>
      </c>
      <c r="B58">
        <v>2023</v>
      </c>
      <c r="C58" s="25">
        <v>4.3999999999999997E-2</v>
      </c>
    </row>
    <row r="59" spans="1:3">
      <c r="A59" t="s">
        <v>184</v>
      </c>
      <c r="B59">
        <v>2021</v>
      </c>
      <c r="C59" s="25">
        <v>-0.22800000000000001</v>
      </c>
    </row>
    <row r="60" spans="1:3">
      <c r="A60" t="s">
        <v>184</v>
      </c>
      <c r="B60">
        <v>2022</v>
      </c>
      <c r="C60" s="25">
        <v>5.7000000000000002E-2</v>
      </c>
    </row>
    <row r="61" spans="1:3">
      <c r="A61" t="s">
        <v>184</v>
      </c>
      <c r="B61">
        <v>2023</v>
      </c>
      <c r="C61" s="25">
        <v>9.7000000000000003E-2</v>
      </c>
    </row>
    <row r="62" spans="1:3">
      <c r="A62" t="s">
        <v>186</v>
      </c>
      <c r="B62">
        <v>2021</v>
      </c>
      <c r="C62" s="25">
        <v>0.2029</v>
      </c>
    </row>
    <row r="63" spans="1:3">
      <c r="A63" t="s">
        <v>186</v>
      </c>
      <c r="B63">
        <v>2022</v>
      </c>
      <c r="C63" s="25">
        <v>0.49059999999999998</v>
      </c>
    </row>
    <row r="64" spans="1:3">
      <c r="A64" t="s">
        <v>186</v>
      </c>
      <c r="B64">
        <v>2023</v>
      </c>
      <c r="C64" s="25">
        <v>0.3891</v>
      </c>
    </row>
    <row r="65" spans="1:3">
      <c r="A65" t="s">
        <v>296</v>
      </c>
      <c r="B65">
        <v>2023</v>
      </c>
      <c r="C65" s="84">
        <v>7989.68</v>
      </c>
    </row>
    <row r="66" spans="1:3">
      <c r="A66" t="s">
        <v>297</v>
      </c>
      <c r="B66">
        <v>2023</v>
      </c>
      <c r="C66" s="84">
        <v>8153.32</v>
      </c>
    </row>
    <row r="67" spans="1:3">
      <c r="A67" t="s">
        <v>194</v>
      </c>
      <c r="B67">
        <v>2021</v>
      </c>
      <c r="C67" s="84">
        <v>4.7252952613629773E-2</v>
      </c>
    </row>
    <row r="68" spans="1:3">
      <c r="A68" t="s">
        <v>191</v>
      </c>
      <c r="B68">
        <v>2021</v>
      </c>
      <c r="C68" s="84">
        <v>9.9782333776499338E-2</v>
      </c>
    </row>
    <row r="69" spans="1:3">
      <c r="A69" t="s">
        <v>192</v>
      </c>
      <c r="B69">
        <v>2021</v>
      </c>
      <c r="C69" s="84">
        <v>0.14703528639012911</v>
      </c>
    </row>
    <row r="70" spans="1:3">
      <c r="A70" t="s">
        <v>195</v>
      </c>
      <c r="B70">
        <v>2021</v>
      </c>
      <c r="C70" s="26">
        <f>'DATA FS'!B95</f>
        <v>2.1813330072309725E-3</v>
      </c>
    </row>
    <row r="71" spans="1:3">
      <c r="A71" t="s">
        <v>198</v>
      </c>
      <c r="B71">
        <v>2021</v>
      </c>
      <c r="C71" s="84">
        <v>3.9045553145336219E-2</v>
      </c>
    </row>
    <row r="72" spans="1:3">
      <c r="A72" t="s">
        <v>195</v>
      </c>
      <c r="B72">
        <v>2022</v>
      </c>
      <c r="C72" s="26">
        <f>'DATA FS'!C95</f>
        <v>1.2285591944991809E-2</v>
      </c>
    </row>
    <row r="73" spans="1:3">
      <c r="A73" t="s">
        <v>195</v>
      </c>
      <c r="B73">
        <v>2023</v>
      </c>
      <c r="C73" s="26">
        <f>'DATA FS'!D95</f>
        <v>1.9330070997868596E-3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
  <sheetViews>
    <sheetView topLeftCell="A58" workbookViewId="0">
      <selection sqref="A1:C1"/>
    </sheetView>
  </sheetViews>
  <sheetFormatPr defaultRowHeight="14.4"/>
  <cols>
    <col min="1" max="1" width="21.77734375" bestFit="1" customWidth="1"/>
    <col min="2" max="2" width="7.6640625" bestFit="1" customWidth="1"/>
    <col min="3" max="3" width="8.33203125" bestFit="1" customWidth="1"/>
    <col min="4" max="4" width="11.77734375" bestFit="1" customWidth="1"/>
  </cols>
  <sheetData>
    <row r="1" spans="1:3">
      <c r="A1" t="s">
        <v>308</v>
      </c>
      <c r="B1" t="s">
        <v>304</v>
      </c>
      <c r="C1" t="s">
        <v>303</v>
      </c>
    </row>
    <row r="2" spans="1:3">
      <c r="A2" t="s">
        <v>154</v>
      </c>
      <c r="B2" t="s">
        <v>228</v>
      </c>
      <c r="C2" s="84">
        <v>2.4009695307347432</v>
      </c>
    </row>
    <row r="3" spans="1:3">
      <c r="A3" t="s">
        <v>154</v>
      </c>
      <c r="B3" t="s">
        <v>229</v>
      </c>
      <c r="C3" s="84">
        <v>6.247498294612102</v>
      </c>
    </row>
    <row r="4" spans="1:3">
      <c r="A4" t="s">
        <v>154</v>
      </c>
      <c r="B4" t="s">
        <v>230</v>
      </c>
      <c r="C4" s="84">
        <v>3.8268121740570069</v>
      </c>
    </row>
    <row r="5" spans="1:3">
      <c r="A5" t="s">
        <v>32</v>
      </c>
      <c r="B5" t="s">
        <v>228</v>
      </c>
      <c r="C5" s="84">
        <v>1756.98</v>
      </c>
    </row>
    <row r="6" spans="1:3">
      <c r="A6" t="s">
        <v>32</v>
      </c>
      <c r="B6" t="s">
        <v>229</v>
      </c>
      <c r="C6" s="84">
        <v>1458.56</v>
      </c>
    </row>
    <row r="7" spans="1:3">
      <c r="A7" t="s">
        <v>32</v>
      </c>
      <c r="B7" t="s">
        <v>230</v>
      </c>
      <c r="C7" s="84">
        <v>1816.94</v>
      </c>
    </row>
    <row r="8" spans="1:3">
      <c r="A8" t="s">
        <v>161</v>
      </c>
      <c r="B8" t="s">
        <v>228</v>
      </c>
      <c r="C8" s="84">
        <v>286.52999999999997</v>
      </c>
    </row>
    <row r="9" spans="1:3">
      <c r="A9" t="s">
        <v>161</v>
      </c>
      <c r="B9" t="s">
        <v>229</v>
      </c>
      <c r="C9" s="84">
        <v>167</v>
      </c>
    </row>
    <row r="10" spans="1:3">
      <c r="A10" t="s">
        <v>161</v>
      </c>
      <c r="B10" t="s">
        <v>230</v>
      </c>
      <c r="C10" s="84">
        <v>143</v>
      </c>
    </row>
    <row r="11" spans="1:3">
      <c r="A11" t="s">
        <v>162</v>
      </c>
      <c r="B11" t="s">
        <v>228</v>
      </c>
      <c r="C11" s="84">
        <v>404.12</v>
      </c>
    </row>
    <row r="12" spans="1:3">
      <c r="A12" t="s">
        <v>162</v>
      </c>
      <c r="B12" t="s">
        <v>229</v>
      </c>
      <c r="C12" s="84">
        <v>555</v>
      </c>
    </row>
    <row r="13" spans="1:3">
      <c r="A13" t="s">
        <v>162</v>
      </c>
      <c r="B13" t="s">
        <v>230</v>
      </c>
      <c r="C13" s="84">
        <v>741.64</v>
      </c>
    </row>
    <row r="14" spans="1:3">
      <c r="A14" t="s">
        <v>165</v>
      </c>
      <c r="B14" t="s">
        <v>228</v>
      </c>
      <c r="C14" s="84">
        <v>874.59</v>
      </c>
    </row>
    <row r="15" spans="1:3">
      <c r="A15" t="s">
        <v>165</v>
      </c>
      <c r="B15" t="s">
        <v>229</v>
      </c>
      <c r="C15" s="84">
        <v>509.28</v>
      </c>
    </row>
    <row r="16" spans="1:3">
      <c r="A16" t="s">
        <v>165</v>
      </c>
      <c r="B16" t="s">
        <v>230</v>
      </c>
      <c r="C16" s="84">
        <v>595.28</v>
      </c>
    </row>
    <row r="17" spans="1:3">
      <c r="A17" t="s">
        <v>166</v>
      </c>
      <c r="B17" t="s">
        <v>228</v>
      </c>
      <c r="C17" s="84">
        <v>-575.41</v>
      </c>
    </row>
    <row r="18" spans="1:3">
      <c r="A18" t="s">
        <v>166</v>
      </c>
      <c r="B18" t="s">
        <v>229</v>
      </c>
      <c r="C18" s="84">
        <v>294.83</v>
      </c>
    </row>
    <row r="19" spans="1:3">
      <c r="A19" t="s">
        <v>166</v>
      </c>
      <c r="B19" t="s">
        <v>230</v>
      </c>
      <c r="C19" s="84">
        <v>586.29999999999995</v>
      </c>
    </row>
    <row r="20" spans="1:3">
      <c r="A20" t="s">
        <v>167</v>
      </c>
      <c r="B20" t="s">
        <v>228</v>
      </c>
      <c r="C20" s="84">
        <v>882.38</v>
      </c>
    </row>
    <row r="21" spans="1:3">
      <c r="A21" t="s">
        <v>167</v>
      </c>
      <c r="B21" t="s">
        <v>229</v>
      </c>
      <c r="C21" s="84">
        <v>949.27</v>
      </c>
    </row>
    <row r="22" spans="1:3">
      <c r="A22" t="s">
        <v>167</v>
      </c>
      <c r="B22" t="s">
        <v>230</v>
      </c>
      <c r="C22" s="84">
        <v>1221.6600000000001</v>
      </c>
    </row>
    <row r="23" spans="1:3">
      <c r="A23" t="s">
        <v>168</v>
      </c>
      <c r="B23" t="s">
        <v>228</v>
      </c>
      <c r="C23" s="24">
        <v>8.2000000000000003E-2</v>
      </c>
    </row>
    <row r="24" spans="1:3">
      <c r="A24" t="s">
        <v>168</v>
      </c>
      <c r="B24" t="s">
        <v>229</v>
      </c>
      <c r="C24" s="24">
        <v>8.8999999999999996E-2</v>
      </c>
    </row>
    <row r="25" spans="1:3">
      <c r="A25" t="s">
        <v>168</v>
      </c>
      <c r="B25" t="s">
        <v>230</v>
      </c>
      <c r="C25" s="24">
        <v>0.107</v>
      </c>
    </row>
    <row r="26" spans="1:3">
      <c r="A26" t="s">
        <v>171</v>
      </c>
      <c r="B26" t="s">
        <v>228</v>
      </c>
      <c r="C26" s="84">
        <v>1942.06</v>
      </c>
    </row>
    <row r="27" spans="1:3">
      <c r="A27" t="s">
        <v>171</v>
      </c>
      <c r="B27" t="s">
        <v>229</v>
      </c>
      <c r="C27" s="84">
        <v>5714.5</v>
      </c>
    </row>
    <row r="28" spans="1:3">
      <c r="A28" t="s">
        <v>171</v>
      </c>
      <c r="B28" t="s">
        <v>230</v>
      </c>
      <c r="C28" s="84">
        <v>6424.7</v>
      </c>
    </row>
    <row r="29" spans="1:3">
      <c r="A29" t="s">
        <v>172</v>
      </c>
      <c r="B29" t="s">
        <v>228</v>
      </c>
      <c r="C29" s="84">
        <v>8399.93</v>
      </c>
    </row>
    <row r="30" spans="1:3">
      <c r="A30" t="s">
        <v>172</v>
      </c>
      <c r="B30" t="s">
        <v>229</v>
      </c>
      <c r="C30" s="84">
        <v>7095.15</v>
      </c>
    </row>
    <row r="31" spans="1:3">
      <c r="A31" t="s">
        <v>172</v>
      </c>
      <c r="B31" t="s">
        <v>230</v>
      </c>
      <c r="C31" s="84">
        <v>11597.12</v>
      </c>
    </row>
    <row r="32" spans="1:3">
      <c r="A32" t="s">
        <v>176</v>
      </c>
      <c r="B32" t="s">
        <v>228</v>
      </c>
      <c r="C32" s="84">
        <v>4.08</v>
      </c>
    </row>
    <row r="33" spans="1:3">
      <c r="A33" t="s">
        <v>176</v>
      </c>
      <c r="B33" t="s">
        <v>229</v>
      </c>
      <c r="C33" s="84">
        <v>1.18</v>
      </c>
    </row>
    <row r="34" spans="1:3">
      <c r="A34" t="s">
        <v>176</v>
      </c>
      <c r="B34" t="s">
        <v>230</v>
      </c>
      <c r="C34" s="84">
        <v>1.73</v>
      </c>
    </row>
    <row r="35" spans="1:3">
      <c r="A35" t="s">
        <v>169</v>
      </c>
      <c r="B35" t="s">
        <v>228</v>
      </c>
      <c r="C35" s="84">
        <v>14225</v>
      </c>
    </row>
    <row r="36" spans="1:3">
      <c r="A36" t="s">
        <v>169</v>
      </c>
      <c r="B36" t="s">
        <v>229</v>
      </c>
      <c r="C36" s="84">
        <v>16579</v>
      </c>
    </row>
    <row r="37" spans="1:3">
      <c r="A37" t="s">
        <v>169</v>
      </c>
      <c r="B37" t="s">
        <v>230</v>
      </c>
      <c r="C37" s="84">
        <v>16143</v>
      </c>
    </row>
    <row r="38" spans="1:3">
      <c r="A38" t="s">
        <v>174</v>
      </c>
      <c r="B38" t="s">
        <v>228</v>
      </c>
      <c r="C38" s="84">
        <v>0.77</v>
      </c>
    </row>
    <row r="39" spans="1:3">
      <c r="A39" t="s">
        <v>174</v>
      </c>
      <c r="B39" t="s">
        <v>229</v>
      </c>
      <c r="C39" s="84">
        <v>0.53</v>
      </c>
    </row>
    <row r="40" spans="1:3">
      <c r="A40" t="s">
        <v>174</v>
      </c>
      <c r="B40" t="s">
        <v>230</v>
      </c>
      <c r="C40" s="84">
        <v>0.62</v>
      </c>
    </row>
    <row r="41" spans="1:3">
      <c r="A41" t="s">
        <v>173</v>
      </c>
      <c r="B41" t="s">
        <v>228</v>
      </c>
      <c r="C41" s="84">
        <v>265.08999999999997</v>
      </c>
    </row>
    <row r="42" spans="1:3">
      <c r="A42" t="s">
        <v>173</v>
      </c>
      <c r="B42" t="s">
        <v>229</v>
      </c>
      <c r="C42" s="84">
        <v>335.2</v>
      </c>
    </row>
    <row r="43" spans="1:3">
      <c r="A43" t="s">
        <v>173</v>
      </c>
      <c r="B43" t="s">
        <v>230</v>
      </c>
      <c r="C43" s="84">
        <v>601.38</v>
      </c>
    </row>
    <row r="44" spans="1:3">
      <c r="A44" t="s">
        <v>175</v>
      </c>
      <c r="B44" t="s">
        <v>228</v>
      </c>
      <c r="C44" s="84">
        <v>3680</v>
      </c>
    </row>
    <row r="45" spans="1:3">
      <c r="A45" t="s">
        <v>175</v>
      </c>
      <c r="B45" t="s">
        <v>229</v>
      </c>
      <c r="C45" s="84">
        <v>9494</v>
      </c>
    </row>
    <row r="46" spans="1:3">
      <c r="A46" t="s">
        <v>175</v>
      </c>
      <c r="B46" t="s">
        <v>230</v>
      </c>
      <c r="C46" s="84">
        <v>15198</v>
      </c>
    </row>
    <row r="47" spans="1:3">
      <c r="A47" t="s">
        <v>178</v>
      </c>
      <c r="B47" t="s">
        <v>228</v>
      </c>
      <c r="C47" s="84">
        <v>4.3099999999999996</v>
      </c>
    </row>
    <row r="48" spans="1:3">
      <c r="A48" t="s">
        <v>178</v>
      </c>
      <c r="B48" t="s">
        <v>229</v>
      </c>
      <c r="C48" s="84">
        <v>3.29</v>
      </c>
    </row>
    <row r="49" spans="1:3">
      <c r="A49" t="s">
        <v>178</v>
      </c>
      <c r="B49" t="s">
        <v>230</v>
      </c>
      <c r="C49" s="84">
        <v>1.44</v>
      </c>
    </row>
    <row r="50" spans="1:3">
      <c r="A50" t="s">
        <v>179</v>
      </c>
      <c r="B50" t="s">
        <v>228</v>
      </c>
      <c r="C50" s="84">
        <v>1.32</v>
      </c>
    </row>
    <row r="51" spans="1:3">
      <c r="A51" t="s">
        <v>179</v>
      </c>
      <c r="B51" t="s">
        <v>229</v>
      </c>
      <c r="C51" s="84">
        <v>1.3</v>
      </c>
    </row>
    <row r="52" spans="1:3">
      <c r="A52" t="s">
        <v>179</v>
      </c>
      <c r="B52" t="s">
        <v>230</v>
      </c>
      <c r="C52" s="84">
        <v>0.78</v>
      </c>
    </row>
    <row r="53" spans="1:3">
      <c r="A53" t="s">
        <v>180</v>
      </c>
      <c r="B53" t="s">
        <v>228</v>
      </c>
      <c r="C53" s="24">
        <v>0.69373549883990715</v>
      </c>
    </row>
    <row r="54" spans="1:3">
      <c r="A54" t="s">
        <v>180</v>
      </c>
      <c r="B54" t="s">
        <v>229</v>
      </c>
      <c r="C54" s="24">
        <v>0.60486322188449848</v>
      </c>
    </row>
    <row r="55" spans="1:3">
      <c r="A55" t="s">
        <v>180</v>
      </c>
      <c r="B55" t="s">
        <v>230</v>
      </c>
      <c r="C55" s="24">
        <v>0.45833333333333331</v>
      </c>
    </row>
    <row r="56" spans="1:3">
      <c r="A56" t="s">
        <v>183</v>
      </c>
      <c r="B56" t="s">
        <v>228</v>
      </c>
      <c r="C56" s="24">
        <v>-0.55600000000000005</v>
      </c>
    </row>
    <row r="57" spans="1:3">
      <c r="A57" t="s">
        <v>183</v>
      </c>
      <c r="B57" t="s">
        <v>229</v>
      </c>
      <c r="C57" s="24">
        <v>2.7E-2</v>
      </c>
    </row>
    <row r="58" spans="1:3">
      <c r="A58" t="s">
        <v>183</v>
      </c>
      <c r="B58" t="s">
        <v>230</v>
      </c>
      <c r="C58" s="24">
        <v>4.3999999999999997E-2</v>
      </c>
    </row>
    <row r="59" spans="1:3">
      <c r="A59" t="s">
        <v>184</v>
      </c>
      <c r="B59" t="s">
        <v>228</v>
      </c>
      <c r="C59" s="24">
        <v>-0.22800000000000001</v>
      </c>
    </row>
    <row r="60" spans="1:3">
      <c r="A60" t="s">
        <v>184</v>
      </c>
      <c r="B60" t="s">
        <v>229</v>
      </c>
      <c r="C60" s="24">
        <v>5.7000000000000002E-2</v>
      </c>
    </row>
    <row r="61" spans="1:3">
      <c r="A61" t="s">
        <v>184</v>
      </c>
      <c r="B61" t="s">
        <v>230</v>
      </c>
      <c r="C61" s="24">
        <v>9.7000000000000003E-2</v>
      </c>
    </row>
    <row r="62" spans="1:3">
      <c r="A62" t="s">
        <v>186</v>
      </c>
      <c r="B62" t="s">
        <v>228</v>
      </c>
      <c r="C62" s="24">
        <v>0.2029</v>
      </c>
    </row>
    <row r="63" spans="1:3">
      <c r="A63" t="s">
        <v>186</v>
      </c>
      <c r="B63" t="s">
        <v>229</v>
      </c>
      <c r="C63" s="24">
        <v>0.49059999999999998</v>
      </c>
    </row>
    <row r="64" spans="1:3">
      <c r="A64" t="s">
        <v>186</v>
      </c>
      <c r="B64" t="s">
        <v>230</v>
      </c>
      <c r="C64" s="24">
        <v>0.3891</v>
      </c>
    </row>
    <row r="65" spans="1:3">
      <c r="A65" t="s">
        <v>296</v>
      </c>
      <c r="B65" t="s">
        <v>230</v>
      </c>
      <c r="C65" s="84">
        <v>7989.68</v>
      </c>
    </row>
    <row r="66" spans="1:3">
      <c r="A66" t="s">
        <v>297</v>
      </c>
      <c r="B66" t="s">
        <v>230</v>
      </c>
      <c r="C66" s="84">
        <v>8153.32</v>
      </c>
    </row>
    <row r="67" spans="1:3">
      <c r="A67" t="s">
        <v>194</v>
      </c>
      <c r="B67" t="s">
        <v>228</v>
      </c>
      <c r="C67" s="84">
        <v>4.7252952613629773E-2</v>
      </c>
    </row>
    <row r="68" spans="1:3">
      <c r="A68" t="s">
        <v>191</v>
      </c>
      <c r="B68" t="s">
        <v>228</v>
      </c>
      <c r="C68" s="84">
        <v>9.9782333776499338E-2</v>
      </c>
    </row>
    <row r="69" spans="1:3">
      <c r="A69" t="s">
        <v>192</v>
      </c>
      <c r="B69" t="s">
        <v>228</v>
      </c>
      <c r="C69" s="84">
        <v>0.14703528639012911</v>
      </c>
    </row>
    <row r="70" spans="1:3">
      <c r="A70" t="s">
        <v>195</v>
      </c>
      <c r="B70" t="s">
        <v>228</v>
      </c>
      <c r="C70" s="84">
        <v>3.1508526435692137E-2</v>
      </c>
    </row>
    <row r="71" spans="1:3">
      <c r="A71" t="s">
        <v>198</v>
      </c>
      <c r="B71" t="s">
        <v>228</v>
      </c>
      <c r="C71" s="84">
        <v>3.9045553145336219E-2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topLeftCell="A43" workbookViewId="0">
      <selection activeCell="A48" sqref="A48:C65"/>
    </sheetView>
  </sheetViews>
  <sheetFormatPr defaultRowHeight="14.4"/>
  <cols>
    <col min="1" max="1" width="37.21875" bestFit="1" customWidth="1"/>
    <col min="2" max="2" width="6.77734375" customWidth="1"/>
    <col min="3" max="3" width="8.6640625" bestFit="1" customWidth="1"/>
    <col min="4" max="4" width="9.6640625" bestFit="1" customWidth="1"/>
    <col min="5" max="7" width="37.21875" bestFit="1" customWidth="1"/>
    <col min="8" max="8" width="36.33203125" bestFit="1" customWidth="1"/>
    <col min="9" max="9" width="10.77734375" bestFit="1" customWidth="1"/>
    <col min="10" max="10" width="7.77734375" bestFit="1" customWidth="1"/>
  </cols>
  <sheetData>
    <row r="1" spans="1:3">
      <c r="A1" t="s">
        <v>308</v>
      </c>
      <c r="B1" t="s">
        <v>307</v>
      </c>
      <c r="C1" t="s">
        <v>309</v>
      </c>
    </row>
    <row r="2" spans="1:3">
      <c r="A2" t="s">
        <v>39</v>
      </c>
      <c r="B2" t="s">
        <v>228</v>
      </c>
      <c r="C2" s="155">
        <v>0.61499999999999999</v>
      </c>
    </row>
    <row r="3" spans="1:3">
      <c r="A3" t="s">
        <v>39</v>
      </c>
      <c r="B3" t="s">
        <v>228</v>
      </c>
      <c r="C3" s="155">
        <v>0.61499999999999999</v>
      </c>
    </row>
    <row r="4" spans="1:3">
      <c r="A4" t="s">
        <v>39</v>
      </c>
      <c r="B4" t="s">
        <v>228</v>
      </c>
      <c r="C4" s="155">
        <v>0.61499999999999999</v>
      </c>
    </row>
    <row r="5" spans="1:3">
      <c r="A5" t="s">
        <v>39</v>
      </c>
      <c r="B5" t="s">
        <v>229</v>
      </c>
      <c r="C5" s="155">
        <v>0.62139999999999995</v>
      </c>
    </row>
    <row r="6" spans="1:3">
      <c r="A6" t="s">
        <v>39</v>
      </c>
      <c r="B6" t="s">
        <v>229</v>
      </c>
      <c r="C6" s="155">
        <v>0.62139999999999995</v>
      </c>
    </row>
    <row r="7" spans="1:3">
      <c r="A7" t="s">
        <v>39</v>
      </c>
      <c r="B7" t="s">
        <v>229</v>
      </c>
      <c r="C7" s="155">
        <v>0.62139999999999995</v>
      </c>
    </row>
    <row r="8" spans="1:3">
      <c r="A8" t="s">
        <v>39</v>
      </c>
      <c r="B8" t="s">
        <v>230</v>
      </c>
      <c r="C8" s="155">
        <v>0.62129999999999996</v>
      </c>
    </row>
    <row r="9" spans="1:3">
      <c r="A9" t="s">
        <v>39</v>
      </c>
      <c r="B9" t="s">
        <v>230</v>
      </c>
      <c r="C9" s="155">
        <v>0.62129999999999996</v>
      </c>
    </row>
    <row r="10" spans="1:3">
      <c r="A10" t="s">
        <v>39</v>
      </c>
      <c r="B10" t="s">
        <v>230</v>
      </c>
      <c r="C10" s="155">
        <v>0.62129999999999996</v>
      </c>
    </row>
    <row r="11" spans="1:3">
      <c r="A11" t="s">
        <v>50</v>
      </c>
      <c r="B11" t="s">
        <v>228</v>
      </c>
      <c r="C11" s="155">
        <v>3.0800000000000001E-2</v>
      </c>
    </row>
    <row r="12" spans="1:3">
      <c r="A12" t="s">
        <v>50</v>
      </c>
      <c r="B12" t="s">
        <v>228</v>
      </c>
      <c r="C12" s="155">
        <v>3.0800000000000001E-2</v>
      </c>
    </row>
    <row r="13" spans="1:3">
      <c r="A13" t="s">
        <v>50</v>
      </c>
      <c r="B13" t="s">
        <v>228</v>
      </c>
      <c r="C13" s="155">
        <v>3.0800000000000001E-2</v>
      </c>
    </row>
    <row r="14" spans="1:3">
      <c r="A14" t="s">
        <v>50</v>
      </c>
      <c r="B14" t="s">
        <v>229</v>
      </c>
      <c r="C14" s="155">
        <v>2.6499999999999999E-2</v>
      </c>
    </row>
    <row r="15" spans="1:3">
      <c r="A15" t="s">
        <v>50</v>
      </c>
      <c r="B15" t="s">
        <v>229</v>
      </c>
      <c r="C15" s="155">
        <v>2.6499999999999999E-2</v>
      </c>
    </row>
    <row r="16" spans="1:3">
      <c r="A16" t="s">
        <v>50</v>
      </c>
      <c r="B16" t="s">
        <v>229</v>
      </c>
      <c r="C16" s="155">
        <v>2.6499999999999999E-2</v>
      </c>
    </row>
    <row r="17" spans="1:3">
      <c r="A17" t="s">
        <v>50</v>
      </c>
      <c r="B17" t="s">
        <v>230</v>
      </c>
      <c r="C17" s="155">
        <v>2.1999999999999999E-2</v>
      </c>
    </row>
    <row r="18" spans="1:3">
      <c r="A18" t="s">
        <v>50</v>
      </c>
      <c r="B18" t="s">
        <v>230</v>
      </c>
      <c r="C18" s="155">
        <v>2.1999999999999999E-2</v>
      </c>
    </row>
    <row r="19" spans="1:3">
      <c r="A19" t="s">
        <v>50</v>
      </c>
      <c r="B19" t="s">
        <v>230</v>
      </c>
      <c r="C19" s="155">
        <v>2.1999999999999999E-2</v>
      </c>
    </row>
    <row r="20" spans="1:3">
      <c r="A20" t="s">
        <v>54</v>
      </c>
      <c r="B20" t="s">
        <v>228</v>
      </c>
      <c r="C20" s="155">
        <v>2.47E-2</v>
      </c>
    </row>
    <row r="21" spans="1:3">
      <c r="A21" t="s">
        <v>54</v>
      </c>
      <c r="B21" t="s">
        <v>228</v>
      </c>
      <c r="C21" s="155">
        <v>2.47E-2</v>
      </c>
    </row>
    <row r="22" spans="1:3">
      <c r="A22" t="s">
        <v>57</v>
      </c>
      <c r="B22" t="s">
        <v>228</v>
      </c>
      <c r="C22" s="155">
        <v>2.47E-2</v>
      </c>
    </row>
    <row r="23" spans="1:3">
      <c r="A23" t="s">
        <v>54</v>
      </c>
      <c r="B23" t="s">
        <v>229</v>
      </c>
      <c r="C23" s="155">
        <v>2.2800000000000001E-2</v>
      </c>
    </row>
    <row r="24" spans="1:3">
      <c r="A24" t="s">
        <v>54</v>
      </c>
      <c r="B24" t="s">
        <v>229</v>
      </c>
      <c r="C24" s="155">
        <v>2.2800000000000001E-2</v>
      </c>
    </row>
    <row r="25" spans="1:3">
      <c r="A25" t="s">
        <v>57</v>
      </c>
      <c r="B25" t="s">
        <v>229</v>
      </c>
      <c r="C25" s="155">
        <v>2.2800000000000001E-2</v>
      </c>
    </row>
    <row r="26" spans="1:3">
      <c r="A26" t="s">
        <v>54</v>
      </c>
      <c r="B26" t="s">
        <v>230</v>
      </c>
      <c r="C26" s="155">
        <v>1.9099999999999999E-2</v>
      </c>
    </row>
    <row r="27" spans="1:3">
      <c r="A27" t="s">
        <v>54</v>
      </c>
      <c r="B27" t="s">
        <v>230</v>
      </c>
      <c r="C27" s="155">
        <v>1.9099999999999999E-2</v>
      </c>
    </row>
    <row r="28" spans="1:3">
      <c r="A28" t="s">
        <v>57</v>
      </c>
      <c r="B28" t="s">
        <v>230</v>
      </c>
      <c r="C28" s="155">
        <v>1.9099999999999999E-2</v>
      </c>
    </row>
    <row r="29" spans="1:3">
      <c r="A29" t="s">
        <v>62</v>
      </c>
      <c r="B29" t="s">
        <v>228</v>
      </c>
      <c r="C29" s="155">
        <v>1.4200000000000001E-2</v>
      </c>
    </row>
    <row r="30" spans="1:3">
      <c r="A30" t="s">
        <v>62</v>
      </c>
      <c r="B30" t="s">
        <v>228</v>
      </c>
      <c r="C30" s="155">
        <v>1.4200000000000001E-2</v>
      </c>
    </row>
    <row r="31" spans="1:3">
      <c r="A31" t="s">
        <v>51</v>
      </c>
      <c r="B31" t="s">
        <v>228</v>
      </c>
      <c r="C31" s="155">
        <v>1.4200000000000001E-2</v>
      </c>
    </row>
    <row r="32" spans="1:3">
      <c r="A32" t="s">
        <v>62</v>
      </c>
      <c r="B32" t="s">
        <v>229</v>
      </c>
      <c r="C32" s="155">
        <v>1.2999999999999999E-2</v>
      </c>
    </row>
    <row r="33" spans="1:3">
      <c r="A33" t="s">
        <v>62</v>
      </c>
      <c r="B33" t="s">
        <v>229</v>
      </c>
      <c r="C33" s="155">
        <v>1.2999999999999999E-2</v>
      </c>
    </row>
    <row r="34" spans="1:3">
      <c r="A34" t="s">
        <v>51</v>
      </c>
      <c r="B34" t="s">
        <v>229</v>
      </c>
      <c r="C34" s="155">
        <v>1.2999999999999999E-2</v>
      </c>
    </row>
    <row r="35" spans="1:3">
      <c r="A35" t="s">
        <v>62</v>
      </c>
      <c r="B35" t="s">
        <v>230</v>
      </c>
      <c r="C35" s="155">
        <v>1.1299999999999999E-2</v>
      </c>
    </row>
    <row r="36" spans="1:3">
      <c r="A36" t="s">
        <v>62</v>
      </c>
      <c r="B36" t="s">
        <v>230</v>
      </c>
      <c r="C36" s="155">
        <v>1.1299999999999999E-2</v>
      </c>
    </row>
    <row r="37" spans="1:3">
      <c r="A37" t="s">
        <v>51</v>
      </c>
      <c r="B37" t="s">
        <v>230</v>
      </c>
      <c r="C37" s="155">
        <v>1.1299999999999999E-2</v>
      </c>
    </row>
    <row r="38" spans="1:3">
      <c r="A38" t="s">
        <v>51</v>
      </c>
      <c r="B38" t="s">
        <v>228</v>
      </c>
      <c r="C38" s="155">
        <v>1.14E-2</v>
      </c>
    </row>
    <row r="39" spans="1:3">
      <c r="A39" t="s">
        <v>51</v>
      </c>
      <c r="B39" t="s">
        <v>228</v>
      </c>
      <c r="C39" s="155">
        <v>1.14E-2</v>
      </c>
    </row>
    <row r="40" spans="1:3">
      <c r="A40" t="s">
        <v>51</v>
      </c>
      <c r="B40" t="s">
        <v>229</v>
      </c>
      <c r="C40" s="155">
        <v>1.14E-2</v>
      </c>
    </row>
    <row r="41" spans="1:3">
      <c r="A41" t="s">
        <v>51</v>
      </c>
      <c r="B41" t="s">
        <v>229</v>
      </c>
      <c r="C41" s="155">
        <v>1.14E-2</v>
      </c>
    </row>
    <row r="47" spans="1:3">
      <c r="A47" s="166" t="s">
        <v>311</v>
      </c>
      <c r="B47" s="166" t="s">
        <v>304</v>
      </c>
      <c r="C47" s="166" t="s">
        <v>303</v>
      </c>
    </row>
    <row r="48" spans="1:3">
      <c r="A48" s="163" t="s">
        <v>39</v>
      </c>
      <c r="B48" s="116">
        <v>2021</v>
      </c>
      <c r="C48" s="24">
        <f>'Imp Ratios'!B42</f>
        <v>0.61499999999999999</v>
      </c>
    </row>
    <row r="49" spans="1:3">
      <c r="A49" s="163" t="s">
        <v>39</v>
      </c>
      <c r="B49" s="116">
        <v>2022</v>
      </c>
      <c r="C49" s="24">
        <f>'Imp Ratios'!D42</f>
        <v>0.62139999999999995</v>
      </c>
    </row>
    <row r="50" spans="1:3">
      <c r="A50" s="163" t="s">
        <v>39</v>
      </c>
      <c r="B50" s="116">
        <v>2023</v>
      </c>
      <c r="C50" s="24">
        <f>'Imp Ratios'!F42</f>
        <v>0.62130000000000007</v>
      </c>
    </row>
    <row r="51" spans="1:3">
      <c r="A51" s="163" t="s">
        <v>50</v>
      </c>
      <c r="B51" s="116">
        <v>2021</v>
      </c>
      <c r="C51" s="24">
        <f>'Imp Ratios'!B43</f>
        <v>3.0800000000000001E-2</v>
      </c>
    </row>
    <row r="52" spans="1:3">
      <c r="A52" s="163" t="str">
        <f>A51</f>
        <v>Amansa Holdings Private Limited</v>
      </c>
      <c r="B52" s="116">
        <v>2022</v>
      </c>
      <c r="C52" s="24">
        <f>'Imp Ratios'!D43</f>
        <v>2.6499999999999999E-2</v>
      </c>
    </row>
    <row r="53" spans="1:3">
      <c r="A53" s="163" t="str">
        <f>A52</f>
        <v>Amansa Holdings Private Limited</v>
      </c>
      <c r="B53" s="116">
        <v>2023</v>
      </c>
      <c r="C53" s="24">
        <f>'Imp Ratios'!F43</f>
        <v>2.2000000000000002E-2</v>
      </c>
    </row>
    <row r="54" spans="1:3">
      <c r="A54" s="164" t="s">
        <v>54</v>
      </c>
      <c r="B54" s="116">
        <v>2021</v>
      </c>
      <c r="C54" s="24">
        <f>'Imp Ratios'!B44</f>
        <v>2.4700000000000003E-2</v>
      </c>
    </row>
    <row r="55" spans="1:3">
      <c r="A55" s="164" t="str">
        <f>A54</f>
        <v>Nippon Life India Trustee Ltd- A/C Nippo</v>
      </c>
      <c r="B55" s="116">
        <v>2022</v>
      </c>
      <c r="C55" s="24">
        <f>'Imp Ratios'!D44</f>
        <v>2.2799999999999997E-2</v>
      </c>
    </row>
    <row r="56" spans="1:3">
      <c r="A56" s="164" t="str">
        <f>A55</f>
        <v>Nippon Life India Trustee Ltd- A/C Nippo</v>
      </c>
      <c r="B56" s="116">
        <v>2023</v>
      </c>
      <c r="C56" s="24" t="str">
        <f>"-"</f>
        <v>-</v>
      </c>
    </row>
    <row r="57" spans="1:3">
      <c r="A57" s="164" t="s">
        <v>57</v>
      </c>
      <c r="B57" s="116">
        <v>2021</v>
      </c>
      <c r="C57" s="24" t="str">
        <f>"-"</f>
        <v>-</v>
      </c>
    </row>
    <row r="58" spans="1:3">
      <c r="A58" s="164" t="str">
        <f>A57</f>
        <v>Quant Mutual Fund - Quant Mid Cap Fund</v>
      </c>
      <c r="B58" s="116">
        <v>2022</v>
      </c>
      <c r="C58" s="24" t="str">
        <f>"-"</f>
        <v>-</v>
      </c>
    </row>
    <row r="59" spans="1:3">
      <c r="A59" s="164" t="str">
        <f>A58</f>
        <v>Quant Mutual Fund - Quant Mid Cap Fund</v>
      </c>
      <c r="B59" s="116">
        <v>2023</v>
      </c>
      <c r="C59" s="24">
        <f>'Imp Ratios'!F44</f>
        <v>1.9099999999999999E-2</v>
      </c>
    </row>
    <row r="60" spans="1:3">
      <c r="A60" s="163" t="s">
        <v>62</v>
      </c>
      <c r="B60" s="116">
        <v>2021</v>
      </c>
      <c r="C60" s="24">
        <f>'Imp Ratios'!B45</f>
        <v>1.4199999999999999E-2</v>
      </c>
    </row>
    <row r="61" spans="1:3">
      <c r="A61" s="163" t="str">
        <f>A60</f>
        <v>Aditya Birla Sun Life Trustee Private Limited</v>
      </c>
      <c r="B61" s="116">
        <v>2022</v>
      </c>
      <c r="C61" s="24">
        <f>'Imp Ratios'!D45</f>
        <v>1.3000000000000001E-2</v>
      </c>
    </row>
    <row r="62" spans="1:3">
      <c r="A62" s="163" t="str">
        <f>A61</f>
        <v>Aditya Birla Sun Life Trustee Private Limited</v>
      </c>
      <c r="B62" s="116">
        <v>2023</v>
      </c>
      <c r="C62" s="24" t="str">
        <f>"-"</f>
        <v>-</v>
      </c>
    </row>
    <row r="63" spans="1:3">
      <c r="A63" s="163" t="s">
        <v>51</v>
      </c>
      <c r="B63" s="116">
        <v>2021</v>
      </c>
      <c r="C63" s="24">
        <f>'Imp Ratios'!B46</f>
        <v>1.1399999999999999E-2</v>
      </c>
    </row>
    <row r="64" spans="1:3">
      <c r="A64" s="120" t="str">
        <f>A63</f>
        <v>Bank Muscat India Fund</v>
      </c>
      <c r="B64" s="116">
        <v>2022</v>
      </c>
      <c r="C64" s="24">
        <f>'Imp Ratios'!D46</f>
        <v>1.1399999999999999E-2</v>
      </c>
    </row>
    <row r="65" spans="1:3">
      <c r="A65" s="120" t="str">
        <f>A64</f>
        <v>Bank Muscat India Fund</v>
      </c>
      <c r="B65" s="116">
        <v>2023</v>
      </c>
      <c r="C65" s="24">
        <f>'Imp Ratios'!F45</f>
        <v>1.1299999999999999E-2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4"/>
  <sheetViews>
    <sheetView workbookViewId="0">
      <selection activeCell="K65" sqref="K65"/>
    </sheetView>
  </sheetViews>
  <sheetFormatPr defaultRowHeight="14.4"/>
  <cols>
    <col min="1" max="1" width="27.6640625" customWidth="1"/>
    <col min="2" max="2" width="11.6640625" customWidth="1"/>
    <col min="3" max="3" width="19.5546875" customWidth="1"/>
    <col min="4" max="4" width="11.33203125" bestFit="1" customWidth="1"/>
    <col min="5" max="5" width="19.5546875" customWidth="1"/>
    <col min="6" max="6" width="8.6640625" bestFit="1" customWidth="1"/>
    <col min="9" max="9" width="11.6640625" bestFit="1" customWidth="1"/>
    <col min="10" max="11" width="10.21875" bestFit="1" customWidth="1"/>
  </cols>
  <sheetData>
    <row r="1" spans="1:12">
      <c r="A1" s="88" t="s">
        <v>155</v>
      </c>
      <c r="B1" s="88" t="s">
        <v>228</v>
      </c>
      <c r="C1" s="88" t="s">
        <v>229</v>
      </c>
      <c r="D1" s="88" t="s">
        <v>230</v>
      </c>
      <c r="I1" t="s">
        <v>169</v>
      </c>
      <c r="J1" s="74">
        <v>2021</v>
      </c>
      <c r="K1" s="74">
        <v>2022</v>
      </c>
      <c r="L1" s="74">
        <v>2023</v>
      </c>
    </row>
    <row r="2" spans="1:12">
      <c r="A2" s="89" t="s">
        <v>163</v>
      </c>
      <c r="B2" s="89"/>
      <c r="C2" s="89"/>
      <c r="D2" s="89"/>
      <c r="J2">
        <v>14225</v>
      </c>
      <c r="K2">
        <v>16579</v>
      </c>
      <c r="L2">
        <v>16143</v>
      </c>
    </row>
    <row r="3" spans="1:12">
      <c r="A3" s="88" t="s">
        <v>154</v>
      </c>
      <c r="B3" s="84">
        <f>'DATA FS'!P61/8399.94</f>
        <v>2.4009695307347432</v>
      </c>
      <c r="C3" s="84">
        <f>'DATA FS'!O61/7095.16</f>
        <v>6.247498294612102</v>
      </c>
      <c r="D3" s="84">
        <f>'DATA FS'!N61/11597.12</f>
        <v>3.8268121740570069</v>
      </c>
    </row>
    <row r="4" spans="1:12">
      <c r="A4" s="88" t="s">
        <v>32</v>
      </c>
      <c r="B4" s="88">
        <f>'DATA FS'!B84</f>
        <v>1756.98</v>
      </c>
      <c r="C4" s="88">
        <f>'DATA FS'!F84</f>
        <v>1458.56</v>
      </c>
      <c r="D4" s="88">
        <f>'DATA FS'!J84</f>
        <v>1816.94</v>
      </c>
    </row>
    <row r="5" spans="1:12">
      <c r="A5" s="88" t="s">
        <v>161</v>
      </c>
      <c r="B5" s="88">
        <v>286.52999999999997</v>
      </c>
      <c r="C5" s="88">
        <v>167</v>
      </c>
      <c r="D5" s="88">
        <v>143</v>
      </c>
      <c r="I5" t="s">
        <v>193</v>
      </c>
      <c r="J5" s="88">
        <v>2021</v>
      </c>
      <c r="K5" s="88">
        <v>2022</v>
      </c>
      <c r="L5" s="88">
        <v>2023</v>
      </c>
    </row>
    <row r="6" spans="1:12">
      <c r="A6" s="88" t="s">
        <v>162</v>
      </c>
      <c r="B6" s="88">
        <f>'DATA FS'!N76</f>
        <v>404.12</v>
      </c>
      <c r="C6" s="88">
        <f>'DATA FS'!O76</f>
        <v>555</v>
      </c>
      <c r="D6" s="88">
        <f>'DATA FS'!P76</f>
        <v>741.64</v>
      </c>
      <c r="J6" s="93">
        <f>187685.1/100</f>
        <v>1876.8510000000001</v>
      </c>
      <c r="K6" s="93">
        <f>156707.93/100</f>
        <v>1567.0792999999999</v>
      </c>
      <c r="L6">
        <v>2010.03</v>
      </c>
    </row>
    <row r="7" spans="1:12">
      <c r="A7" s="89" t="s">
        <v>164</v>
      </c>
      <c r="B7" s="89"/>
      <c r="C7" s="89"/>
      <c r="D7" s="89"/>
    </row>
    <row r="8" spans="1:12">
      <c r="A8" s="86" t="s">
        <v>165</v>
      </c>
      <c r="B8">
        <v>874.59</v>
      </c>
      <c r="C8">
        <v>509.28</v>
      </c>
      <c r="D8">
        <v>595.28</v>
      </c>
    </row>
    <row r="9" spans="1:12">
      <c r="A9" s="86" t="s">
        <v>166</v>
      </c>
      <c r="B9">
        <f>'DATA FS'!B82</f>
        <v>-575.41</v>
      </c>
      <c r="C9">
        <f>'DATA FS'!F79</f>
        <v>294.83</v>
      </c>
      <c r="D9">
        <f>'DATA FS'!J79</f>
        <v>586.29999999999995</v>
      </c>
    </row>
    <row r="10" spans="1:12">
      <c r="A10" s="86" t="s">
        <v>167</v>
      </c>
      <c r="B10">
        <f>'DATA FS'!B85</f>
        <v>882.38</v>
      </c>
      <c r="C10">
        <f>'DATA FS'!F85</f>
        <v>949.27</v>
      </c>
      <c r="D10">
        <f>'DATA FS'!J85</f>
        <v>1221.6600000000001</v>
      </c>
    </row>
    <row r="11" spans="1:12">
      <c r="A11" s="86" t="s">
        <v>168</v>
      </c>
      <c r="B11" s="87">
        <v>8.2000000000000003E-2</v>
      </c>
      <c r="C11" s="87">
        <v>8.8999999999999996E-2</v>
      </c>
      <c r="D11" s="87">
        <v>0.107</v>
      </c>
    </row>
    <row r="12" spans="1:12">
      <c r="A12" s="89" t="s">
        <v>170</v>
      </c>
      <c r="B12" s="89"/>
      <c r="C12" s="89"/>
      <c r="D12" s="89"/>
    </row>
    <row r="13" spans="1:12">
      <c r="A13" s="86" t="s">
        <v>171</v>
      </c>
      <c r="B13">
        <v>1942.06</v>
      </c>
      <c r="C13">
        <v>5714.5</v>
      </c>
      <c r="D13">
        <v>6424.7</v>
      </c>
    </row>
    <row r="14" spans="1:12">
      <c r="A14" s="86" t="s">
        <v>172</v>
      </c>
      <c r="B14">
        <v>8399.93</v>
      </c>
      <c r="C14">
        <v>7095.15</v>
      </c>
      <c r="D14">
        <v>11597.12</v>
      </c>
    </row>
    <row r="15" spans="1:12">
      <c r="A15" s="86" t="s">
        <v>176</v>
      </c>
      <c r="B15" s="88">
        <v>4.08</v>
      </c>
      <c r="C15" s="88">
        <v>1.18</v>
      </c>
      <c r="D15" s="88">
        <v>1.73</v>
      </c>
    </row>
    <row r="16" spans="1:12">
      <c r="A16" s="86" t="s">
        <v>169</v>
      </c>
      <c r="B16" s="88">
        <v>14225</v>
      </c>
      <c r="C16" s="88">
        <v>16579</v>
      </c>
      <c r="D16" s="88">
        <v>16143</v>
      </c>
    </row>
    <row r="17" spans="1:4">
      <c r="A17" s="86" t="s">
        <v>174</v>
      </c>
      <c r="B17" s="88">
        <v>0.77</v>
      </c>
      <c r="C17" s="88">
        <v>0.53</v>
      </c>
      <c r="D17" s="88">
        <v>0.62</v>
      </c>
    </row>
    <row r="18" spans="1:4">
      <c r="A18" s="86" t="s">
        <v>173</v>
      </c>
      <c r="B18" s="88">
        <v>265.08999999999997</v>
      </c>
      <c r="C18" s="88">
        <v>335.2</v>
      </c>
      <c r="D18" s="88">
        <v>601.38</v>
      </c>
    </row>
    <row r="19" spans="1:4">
      <c r="A19" s="86" t="s">
        <v>175</v>
      </c>
      <c r="B19" s="88">
        <v>3680</v>
      </c>
      <c r="C19" s="88">
        <v>9494</v>
      </c>
      <c r="D19" s="88">
        <v>15198</v>
      </c>
    </row>
    <row r="20" spans="1:4">
      <c r="A20" s="89" t="s">
        <v>177</v>
      </c>
      <c r="B20" s="89"/>
      <c r="C20" s="89"/>
      <c r="D20" s="89"/>
    </row>
    <row r="21" spans="1:4">
      <c r="A21" s="86" t="s">
        <v>178</v>
      </c>
      <c r="B21" s="86">
        <v>4.3099999999999996</v>
      </c>
      <c r="C21" s="86">
        <v>3.29</v>
      </c>
      <c r="D21" s="86">
        <v>1.44</v>
      </c>
    </row>
    <row r="22" spans="1:4">
      <c r="A22" s="86" t="s">
        <v>179</v>
      </c>
      <c r="B22" s="86">
        <v>1.32</v>
      </c>
      <c r="C22" s="86">
        <v>1.3</v>
      </c>
      <c r="D22" s="86">
        <v>0.78</v>
      </c>
    </row>
    <row r="23" spans="1:4">
      <c r="A23" s="86" t="s">
        <v>180</v>
      </c>
      <c r="B23" s="25">
        <f>(B21-B22)/B21</f>
        <v>0.69373549883990715</v>
      </c>
      <c r="C23" s="25">
        <f>(C21-C22)/C21</f>
        <v>0.60486322188449848</v>
      </c>
      <c r="D23" s="25">
        <f>(D21-D22)/D21</f>
        <v>0.45833333333333331</v>
      </c>
    </row>
    <row r="24" spans="1:4">
      <c r="A24" s="86" t="s">
        <v>181</v>
      </c>
    </row>
    <row r="25" spans="1:4">
      <c r="A25" s="89" t="s">
        <v>182</v>
      </c>
      <c r="B25" s="89"/>
      <c r="C25" s="89"/>
      <c r="D25" s="89"/>
    </row>
    <row r="26" spans="1:4">
      <c r="A26" s="86" t="s">
        <v>183</v>
      </c>
      <c r="B26" s="87">
        <v>-0.55600000000000005</v>
      </c>
      <c r="C26" s="87">
        <v>2.7E-2</v>
      </c>
      <c r="D26" s="87">
        <v>4.3999999999999997E-2</v>
      </c>
    </row>
    <row r="27" spans="1:4">
      <c r="A27" s="86" t="s">
        <v>184</v>
      </c>
      <c r="B27" s="87">
        <v>-0.22800000000000001</v>
      </c>
      <c r="C27" s="87">
        <v>5.7000000000000002E-2</v>
      </c>
      <c r="D27" s="87">
        <v>9.7000000000000003E-2</v>
      </c>
    </row>
    <row r="28" spans="1:4">
      <c r="A28" s="89" t="s">
        <v>185</v>
      </c>
      <c r="B28" s="89"/>
      <c r="C28" s="89"/>
      <c r="D28" s="89"/>
    </row>
    <row r="29" spans="1:4">
      <c r="A29" s="86" t="s">
        <v>186</v>
      </c>
      <c r="B29" s="87">
        <v>0.2029</v>
      </c>
      <c r="C29" s="87">
        <v>0.49059999999999998</v>
      </c>
      <c r="D29" s="87">
        <v>0.3891</v>
      </c>
    </row>
    <row r="30" spans="1:4">
      <c r="A30" s="86"/>
      <c r="B30" s="87"/>
      <c r="C30" s="87"/>
      <c r="D30" s="87"/>
    </row>
    <row r="31" spans="1:4">
      <c r="A31" s="86" t="s">
        <v>295</v>
      </c>
      <c r="B31" s="87"/>
      <c r="C31" s="87"/>
      <c r="D31" s="87"/>
    </row>
    <row r="32" spans="1:4">
      <c r="A32" s="86" t="s">
        <v>296</v>
      </c>
      <c r="B32" s="87"/>
      <c r="C32" s="87"/>
      <c r="D32" s="143">
        <v>7989.68</v>
      </c>
    </row>
    <row r="33" spans="1:7">
      <c r="A33" s="86" t="s">
        <v>297</v>
      </c>
      <c r="B33" s="87"/>
      <c r="C33" s="87"/>
      <c r="D33" s="143">
        <v>8153.32</v>
      </c>
    </row>
    <row r="34" spans="1:7">
      <c r="E34" t="s">
        <v>196</v>
      </c>
      <c r="F34" t="s">
        <v>197</v>
      </c>
    </row>
    <row r="35" spans="1:7">
      <c r="A35" s="90" t="s">
        <v>194</v>
      </c>
      <c r="B35" s="24">
        <f>B37-B36</f>
        <v>4.7252952613629773E-2</v>
      </c>
      <c r="E35" s="443">
        <v>2023</v>
      </c>
      <c r="F35" s="443"/>
    </row>
    <row r="36" spans="1:7">
      <c r="A36" s="91" t="s">
        <v>191</v>
      </c>
      <c r="B36" s="84">
        <f>D8/AVERAGE('DATA FS'!N54,'DATA FS'!O54)</f>
        <v>9.9782333776499338E-2</v>
      </c>
      <c r="E36">
        <v>294.91000000000003</v>
      </c>
      <c r="F36">
        <v>8.26</v>
      </c>
    </row>
    <row r="37" spans="1:7">
      <c r="A37" s="92" t="s">
        <v>192</v>
      </c>
      <c r="B37" s="84">
        <f>(L6-D8)/AVERAGE('DATA FS'!N50,'DATA FS'!O50)</f>
        <v>0.14703528639012911</v>
      </c>
    </row>
    <row r="38" spans="1:7">
      <c r="A38" s="94" t="s">
        <v>195</v>
      </c>
      <c r="B38" s="84">
        <f>(E36+F36)/AVERAGE('DATA FS'!N50,'DATA FS'!O50)</f>
        <v>3.1508526435692137E-2</v>
      </c>
      <c r="G38" s="345"/>
    </row>
    <row r="39" spans="1:7">
      <c r="A39" s="94" t="s">
        <v>198</v>
      </c>
      <c r="B39" s="84">
        <f>D21/36.88</f>
        <v>3.9045553145336219E-2</v>
      </c>
    </row>
    <row r="40" spans="1:7">
      <c r="A40" s="94"/>
      <c r="B40" s="84"/>
    </row>
    <row r="41" spans="1:7">
      <c r="A41" s="94" t="s">
        <v>0</v>
      </c>
      <c r="B41" s="157" t="s">
        <v>228</v>
      </c>
      <c r="C41" s="94" t="s">
        <v>305</v>
      </c>
      <c r="D41" s="120" t="s">
        <v>229</v>
      </c>
      <c r="E41" s="94" t="s">
        <v>306</v>
      </c>
      <c r="F41" s="120" t="s">
        <v>230</v>
      </c>
    </row>
    <row r="42" spans="1:7">
      <c r="A42" s="94" t="str">
        <f>'Promoter Holding'!B92</f>
        <v>Rising Sun Holdings Pvt Ltd</v>
      </c>
      <c r="B42" s="25">
        <f>LARGE('Promoter Holding'!$C$65:$C$88,1)</f>
        <v>0.61499999999999999</v>
      </c>
      <c r="C42" t="str">
        <f>'Promoter Holding'!B98</f>
        <v>Rising Sun Holdings Pvt Ltd</v>
      </c>
      <c r="D42" s="25">
        <f>'Promoter Holding'!A98</f>
        <v>0.62139999999999995</v>
      </c>
      <c r="E42" t="str">
        <f>'Promoter Holding'!B104</f>
        <v>Rising Sun Holdings Pvt Ltd</v>
      </c>
      <c r="F42" s="25">
        <f>'Promoter Holding'!A104</f>
        <v>0.62130000000000007</v>
      </c>
    </row>
    <row r="43" spans="1:7">
      <c r="A43" s="94" t="str">
        <f>'Promoter Holding'!B93</f>
        <v>Amansa Holdings Private Limited</v>
      </c>
      <c r="B43" s="25">
        <f>LARGE('Promoter Holding'!$C$65:$C$88,2)</f>
        <v>3.0800000000000001E-2</v>
      </c>
      <c r="C43" t="str">
        <f>'Promoter Holding'!B99</f>
        <v>Amansa Holdings Private Limited</v>
      </c>
      <c r="D43" s="25">
        <f>'Promoter Holding'!A99</f>
        <v>2.6499999999999999E-2</v>
      </c>
      <c r="E43" t="str">
        <f>'Promoter Holding'!B105</f>
        <v>Amansa Holdings Private Limited</v>
      </c>
      <c r="F43" s="25">
        <f>'Promoter Holding'!A105</f>
        <v>2.2000000000000002E-2</v>
      </c>
    </row>
    <row r="44" spans="1:7">
      <c r="A44" s="94" t="str">
        <f>'Promoter Holding'!B94</f>
        <v>Nippon Life India Trustee Ltd- A/C Nippo</v>
      </c>
      <c r="B44" s="25">
        <f>LARGE('Promoter Holding'!$C$65:$C$88,3)</f>
        <v>2.4700000000000003E-2</v>
      </c>
      <c r="C44" t="str">
        <f>'Promoter Holding'!B100</f>
        <v>Nippon Life India Trustee Ltd- A/C Nippo</v>
      </c>
      <c r="D44" s="25">
        <f>'Promoter Holding'!A100</f>
        <v>2.2799999999999997E-2</v>
      </c>
      <c r="E44" t="str">
        <f>'Promoter Holding'!B106</f>
        <v>Quant Mutual Fund - Quant Mid Cap Fund</v>
      </c>
      <c r="F44" s="25">
        <f>'Promoter Holding'!A106</f>
        <v>1.9099999999999999E-2</v>
      </c>
    </row>
    <row r="45" spans="1:7">
      <c r="A45" s="94" t="str">
        <f>'Promoter Holding'!B95</f>
        <v>Aditya Birla Sun Life Trustee Private Limited</v>
      </c>
      <c r="B45" s="25">
        <f>LARGE('Promoter Holding'!$C$65:$C$88,4)</f>
        <v>1.4199999999999999E-2</v>
      </c>
      <c r="C45" t="str">
        <f>'Promoter Holding'!B101</f>
        <v>Aditya Birla Sun Life Trustee Private Limited</v>
      </c>
      <c r="D45" s="25">
        <f>'Promoter Holding'!A101</f>
        <v>1.3000000000000001E-2</v>
      </c>
      <c r="E45" t="str">
        <f>'Promoter Holding'!B107</f>
        <v>Bank Muscat India Fund</v>
      </c>
      <c r="F45" s="25">
        <f>'Promoter Holding'!A107</f>
        <v>1.1299999999999999E-2</v>
      </c>
    </row>
    <row r="46" spans="1:7">
      <c r="A46" s="94" t="str">
        <f>'Promoter Holding'!B96</f>
        <v>Bank Muscat India Fund</v>
      </c>
      <c r="B46" s="25">
        <f>LARGE('Promoter Holding'!$C$65:$C$88,5)</f>
        <v>1.1399999999999999E-2</v>
      </c>
      <c r="C46" t="str">
        <f>'Promoter Holding'!B102</f>
        <v>Bank Muscat India Fund</v>
      </c>
      <c r="D46" s="25">
        <f>'Promoter Holding'!A102</f>
        <v>1.1399999999999999E-2</v>
      </c>
    </row>
    <row r="47" spans="1:7">
      <c r="A47" s="94"/>
      <c r="B47" s="84"/>
    </row>
    <row r="48" spans="1:7">
      <c r="A48" s="94"/>
      <c r="B48" s="84"/>
    </row>
    <row r="49" spans="1:2">
      <c r="A49" s="94"/>
      <c r="B49" s="84"/>
    </row>
    <row r="50" spans="1:2">
      <c r="A50" s="94"/>
      <c r="B50" s="84"/>
    </row>
    <row r="51" spans="1:2">
      <c r="A51" s="94"/>
      <c r="B51" s="84"/>
    </row>
    <row r="52" spans="1:2">
      <c r="A52" s="94"/>
      <c r="B52" s="84"/>
    </row>
    <row r="53" spans="1:2">
      <c r="A53" s="94"/>
      <c r="B53" s="84"/>
    </row>
    <row r="54" spans="1:2">
      <c r="B54" t="s">
        <v>158</v>
      </c>
    </row>
    <row r="55" spans="1:2">
      <c r="B55" t="s">
        <v>152</v>
      </c>
    </row>
    <row r="56" spans="1:2">
      <c r="B56" t="s">
        <v>156</v>
      </c>
    </row>
    <row r="57" spans="1:2">
      <c r="B57" t="s">
        <v>150</v>
      </c>
    </row>
    <row r="58" spans="1:2">
      <c r="B58" t="s">
        <v>151</v>
      </c>
    </row>
    <row r="59" spans="1:2">
      <c r="B59" t="s">
        <v>157</v>
      </c>
    </row>
    <row r="61" spans="1:2">
      <c r="A61" s="308" t="s">
        <v>194</v>
      </c>
      <c r="B61" s="312">
        <v>4.7252952613629773E-2</v>
      </c>
    </row>
    <row r="62" spans="1:2">
      <c r="A62" s="313" t="s">
        <v>191</v>
      </c>
      <c r="B62" s="309">
        <v>9.9782333776499338E-2</v>
      </c>
    </row>
    <row r="63" spans="1:2">
      <c r="A63" s="311" t="s">
        <v>192</v>
      </c>
      <c r="B63" s="310">
        <v>0.14703528639012911</v>
      </c>
    </row>
    <row r="64" spans="1:2">
      <c r="A64" s="308" t="s">
        <v>195</v>
      </c>
      <c r="B64" s="309">
        <v>3.1508526435692137E-2</v>
      </c>
    </row>
    <row r="65" spans="1:2">
      <c r="A65" s="308" t="s">
        <v>198</v>
      </c>
      <c r="B65" s="310">
        <v>3.9045553145336219E-2</v>
      </c>
    </row>
    <row r="92" spans="1:2">
      <c r="A92" t="s">
        <v>328</v>
      </c>
      <c r="B92" t="s">
        <v>329</v>
      </c>
    </row>
    <row r="93" spans="1:2">
      <c r="A93" t="s">
        <v>326</v>
      </c>
      <c r="B93" t="s">
        <v>325</v>
      </c>
    </row>
    <row r="94" spans="1:2" hidden="1">
      <c r="A94" t="s">
        <v>198</v>
      </c>
      <c r="B94" t="s">
        <v>327</v>
      </c>
    </row>
  </sheetData>
  <mergeCells count="1">
    <mergeCell ref="E35:F35"/>
  </mergeCells>
  <pageMargins left="0.7" right="0.7" top="0.75" bottom="0.75" header="0.3" footer="0.3"/>
  <pageSetup orientation="portrait" horizontalDpi="360" verticalDpi="360" r:id="rId1"/>
  <drawing r:id="rId2"/>
  <legacyDrawing r:id="rId3"/>
  <tableParts count="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sqref="A1:C4"/>
    </sheetView>
  </sheetViews>
  <sheetFormatPr defaultRowHeight="14.4"/>
  <cols>
    <col min="1" max="3" width="10.5546875" bestFit="1" customWidth="1"/>
  </cols>
  <sheetData>
    <row r="1" spans="1:3">
      <c r="A1" t="s">
        <v>187</v>
      </c>
      <c r="B1" t="s">
        <v>188</v>
      </c>
      <c r="C1" t="s">
        <v>189</v>
      </c>
    </row>
    <row r="2" spans="1:3">
      <c r="A2" t="s">
        <v>190</v>
      </c>
      <c r="B2">
        <v>1</v>
      </c>
    </row>
    <row r="3" spans="1:3">
      <c r="A3" t="s">
        <v>190</v>
      </c>
      <c r="B3">
        <v>2</v>
      </c>
      <c r="C3">
        <v>347.7</v>
      </c>
    </row>
    <row r="4" spans="1:3">
      <c r="A4" t="s">
        <v>190</v>
      </c>
      <c r="B4">
        <v>3</v>
      </c>
      <c r="C4">
        <v>23669.45</v>
      </c>
    </row>
    <row r="8" spans="1:3">
      <c r="C8" s="291">
        <f ca="1">NOW()</f>
        <v>45781.743555208333</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5"/>
  <sheetViews>
    <sheetView workbookViewId="0">
      <selection sqref="A1:D4"/>
    </sheetView>
  </sheetViews>
  <sheetFormatPr defaultRowHeight="14.4"/>
  <cols>
    <col min="1" max="1" width="8.21875" bestFit="1" customWidth="1"/>
    <col min="2" max="3" width="10.5546875" bestFit="1" customWidth="1"/>
    <col min="4" max="4" width="10.44140625" bestFit="1" customWidth="1"/>
    <col min="5" max="5" width="9.6640625" customWidth="1"/>
    <col min="6" max="6" width="15.21875" bestFit="1" customWidth="1"/>
  </cols>
  <sheetData>
    <row r="1" spans="1:18">
      <c r="A1" t="s">
        <v>283</v>
      </c>
      <c r="B1" t="s">
        <v>188</v>
      </c>
      <c r="C1" t="s">
        <v>189</v>
      </c>
      <c r="D1" t="s">
        <v>284</v>
      </c>
      <c r="R1" s="316"/>
    </row>
    <row r="2" spans="1:18">
      <c r="A2" t="s">
        <v>190</v>
      </c>
      <c r="B2">
        <v>1</v>
      </c>
      <c r="D2" t="s">
        <v>285</v>
      </c>
      <c r="R2" s="317" t="s">
        <v>336</v>
      </c>
    </row>
    <row r="3" spans="1:18">
      <c r="A3" t="s">
        <v>190</v>
      </c>
      <c r="B3">
        <v>2</v>
      </c>
      <c r="C3">
        <v>348.5</v>
      </c>
      <c r="D3" t="s">
        <v>285</v>
      </c>
      <c r="E3" s="291"/>
      <c r="F3" s="291">
        <f ca="1">NOW()</f>
        <v>45781.743555208333</v>
      </c>
    </row>
    <row r="4" spans="1:18">
      <c r="A4" t="s">
        <v>190</v>
      </c>
      <c r="B4">
        <v>3</v>
      </c>
      <c r="C4">
        <v>23632.85</v>
      </c>
      <c r="D4" t="s">
        <v>285</v>
      </c>
    </row>
    <row r="7" spans="1:18">
      <c r="A7">
        <v>327</v>
      </c>
      <c r="B7">
        <f>'Stock 2'!C3</f>
        <v>347.7</v>
      </c>
      <c r="C7">
        <f>C3</f>
        <v>348.5</v>
      </c>
      <c r="E7">
        <f>(C7-B7)/B7</f>
        <v>2.3008340523440075E-3</v>
      </c>
    </row>
    <row r="8" spans="1:18">
      <c r="A8">
        <v>23317</v>
      </c>
      <c r="B8">
        <f>'Stock 2'!C4</f>
        <v>23669.45</v>
      </c>
      <c r="C8">
        <f>C4</f>
        <v>23632.85</v>
      </c>
      <c r="E8">
        <f>(C8-B8)/B8</f>
        <v>-1.5462970199984444E-3</v>
      </c>
    </row>
    <row r="10" spans="1:18">
      <c r="B10">
        <f>(C7-B7)/B7</f>
        <v>2.3008340523440075E-3</v>
      </c>
      <c r="Q10" s="314" t="s">
        <v>331</v>
      </c>
    </row>
    <row r="11" spans="1:18">
      <c r="B11">
        <f>(C8-B8)/B8</f>
        <v>-1.5462970199984444E-3</v>
      </c>
      <c r="Q11" s="314" t="s">
        <v>332</v>
      </c>
    </row>
    <row r="12" spans="1:18" ht="111">
      <c r="Q12" s="315" t="s">
        <v>335</v>
      </c>
    </row>
    <row r="13" spans="1:18">
      <c r="E13" s="25">
        <f>(C7-B7)/B7</f>
        <v>2.3008340523440075E-3</v>
      </c>
      <c r="Q13" s="314" t="s">
        <v>333</v>
      </c>
    </row>
    <row r="14" spans="1:18">
      <c r="E14" s="25">
        <f>(C8-B8)/B8</f>
        <v>-1.5462970199984444E-3</v>
      </c>
      <c r="Q14" s="314" t="s">
        <v>334</v>
      </c>
    </row>
    <row r="16" spans="1:18">
      <c r="E16">
        <v>3.1</v>
      </c>
      <c r="F16">
        <v>3.2</v>
      </c>
    </row>
    <row r="17" spans="5:16">
      <c r="E17">
        <v>4.4000000000000004</v>
      </c>
      <c r="F17">
        <v>4.2</v>
      </c>
    </row>
    <row r="29" spans="5:16">
      <c r="P29" s="155"/>
    </row>
    <row r="37" spans="17:17">
      <c r="Q37" s="27" t="e">
        <f>((K36-G36)/G36)*100</f>
        <v>#DIV/0!</v>
      </c>
    </row>
    <row r="55" spans="4:14">
      <c r="D55" s="283" t="str">
        <f>IF($C$36="-",STOCK!D55,"-")</f>
        <v>-</v>
      </c>
      <c r="E55" t="str">
        <f>IF($C$36="-",STOCK!E55,"-")</f>
        <v>-</v>
      </c>
      <c r="F55" t="str">
        <f>IF($C$36="-",STOCK!F55,"-")</f>
        <v>-</v>
      </c>
      <c r="G55" t="str">
        <f>IF($C$36="-",STOCK!G55,"-")</f>
        <v>-</v>
      </c>
      <c r="H55" t="str">
        <f>IF($C$36="-",STOCK!H55,"-")</f>
        <v>-</v>
      </c>
      <c r="I55" t="str">
        <f>IF($C$36="-",STOCK!I55,"-")</f>
        <v>-</v>
      </c>
      <c r="J55" t="str">
        <f>IF($C$36="-",STOCK!J55,"-")</f>
        <v>-</v>
      </c>
      <c r="K55" t="str">
        <f>IF($C$36="-",STOCK!K55,"-")</f>
        <v>-</v>
      </c>
      <c r="L55" t="str">
        <f>IF($C$36="-",STOCK!L55,"-")</f>
        <v>-</v>
      </c>
      <c r="M55" t="str">
        <f>IF($C$36="-",STOCK!M55,"-")</f>
        <v>-</v>
      </c>
      <c r="N55" t="str">
        <f>IF($C$36="-",STOCK!N55,"-")</f>
        <v>-</v>
      </c>
    </row>
  </sheetData>
  <pageMargins left="0.7" right="0.7" top="0.75" bottom="0.75" header="0.3" footer="0.3"/>
  <pageSetup orientation="portrait" horizontalDpi="360" verticalDpi="360" r:id="rId1"/>
  <tableParts count="1">
    <tablePart r:id="rId2"/>
  </tableParts>
  <extLst>
    <ext xmlns:x14="http://schemas.microsoft.com/office/spreadsheetml/2009/9/main" uri="{05C60535-1F16-4fd2-B633-F4F36F0B64E0}">
      <x14:sparklineGroups xmlns:xm="http://schemas.microsoft.com/office/excel/2006/main">
        <x14:sparklineGroup manualMax="0" manualMin="0" type="stacked" displayEmptyCellsAs="gap" negative="1">
          <x14:colorSeries rgb="FF00B050"/>
          <x14:colorNegative rgb="FFFF0000"/>
          <x14:colorAxis rgb="FF000000"/>
          <x14:colorMarkers rgb="FF0070C0"/>
          <x14:colorFirst rgb="FFFFC000"/>
          <x14:colorLast rgb="FFFFC000"/>
          <x14:colorHigh rgb="FF00B050"/>
          <x14:colorLow rgb="FFFF0000"/>
          <x14:sparklines>
            <x14:sparkline>
              <xm:f>STOCK!E13</xm:f>
              <xm:sqref>F13</xm:sqref>
            </x14:sparkline>
          </x14:sparklines>
        </x14:sparklineGroup>
        <x14:sparklineGroup manualMax="0" manualMin="0" type="stacked" displayEmptyCellsAs="gap" negative="1">
          <x14:colorSeries rgb="FF376092"/>
          <x14:colorNegative rgb="FFD00000"/>
          <x14:colorAxis rgb="FF000000"/>
          <x14:colorMarkers rgb="FFD00000"/>
          <x14:colorFirst rgb="FFD00000"/>
          <x14:colorLast rgb="FFD00000"/>
          <x14:colorHigh rgb="FFD00000"/>
          <x14:colorLow rgb="FFD00000"/>
          <x14:sparklines>
            <x14:sparkline>
              <xm:f>STOCK!E16:F16</xm:f>
              <xm:sqref>G16</xm:sqref>
            </x14:sparkline>
          </x14:sparklines>
        </x14:sparklineGroup>
        <x14:sparklineGroup manualMax="0" manualMin="0" type="column" displayEmptyCellsAs="gap">
          <x14:colorSeries rgb="FF376092"/>
          <x14:colorNegative rgb="FFD00000"/>
          <x14:colorAxis rgb="FF000000"/>
          <x14:colorMarkers rgb="FFD00000"/>
          <x14:colorFirst rgb="FFD00000"/>
          <x14:colorLast rgb="FFD00000"/>
          <x14:colorHigh rgb="FFD00000"/>
          <x14:colorLow rgb="FFD00000"/>
          <x14:sparklines>
            <x14:sparkline>
              <xm:f>STOCK!E17:F17</xm:f>
              <xm:sqref>G17</xm:sqref>
            </x14:sparkline>
          </x14:sparklines>
        </x14:sparklineGroup>
        <x14:sparklineGroup manualMax="0" manualMin="0" type="stacked" displayEmptyCellsAs="gap" negative="1">
          <x14:colorSeries rgb="FF00B050"/>
          <x14:colorNegative rgb="FFFF0000"/>
          <x14:colorAxis rgb="FF000000"/>
          <x14:colorMarkers rgb="FF0070C0"/>
          <x14:colorFirst rgb="FFFFC000"/>
          <x14:colorLast rgb="FFFFC000"/>
          <x14:colorHigh rgb="FF00B050"/>
          <x14:colorLow rgb="FFFF0000"/>
          <x14:sparklines>
            <x14:sparkline>
              <xm:f>STOCK!B7:C7</xm:f>
              <xm:sqref>E13</xm:sqref>
            </x14:sparkline>
          </x14:sparklines>
        </x14:sparklineGroup>
        <x14:sparklineGroup manualMax="0" manualMin="0" type="stacked" displayEmptyCellsAs="gap" negative="1">
          <x14:colorSeries rgb="FF00B050"/>
          <x14:colorNegative rgb="FFFF0000"/>
          <x14:colorAxis rgb="FF000000"/>
          <x14:colorMarkers rgb="FF0070C0"/>
          <x14:colorFirst rgb="FFFFC000"/>
          <x14:colorLast rgb="FFFFC000"/>
          <x14:colorHigh rgb="FF00B050"/>
          <x14:colorLow rgb="FFFF0000"/>
          <x14:sparklines>
            <x14:sparkline>
              <xm:f>STOCK!B8:C8</xm:f>
              <xm:sqref>E14</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36"/>
  <sheetViews>
    <sheetView zoomScale="82" workbookViewId="0">
      <pane ySplit="1" topLeftCell="A44" activePane="bottomLeft" state="frozen"/>
      <selection pane="bottomLeft" activeCell="L112" sqref="L112"/>
    </sheetView>
  </sheetViews>
  <sheetFormatPr defaultRowHeight="14.4"/>
  <cols>
    <col min="1" max="1" width="9.77734375" bestFit="1" customWidth="1"/>
    <col min="2" max="2" width="15" bestFit="1" customWidth="1"/>
    <col min="3" max="3" width="22.77734375" bestFit="1" customWidth="1"/>
    <col min="4" max="4" width="27.33203125" bestFit="1" customWidth="1"/>
    <col min="5" max="5" width="21.88671875" bestFit="1" customWidth="1"/>
    <col min="6" max="6" width="28.21875" bestFit="1" customWidth="1"/>
    <col min="7" max="7" width="31.21875" bestFit="1" customWidth="1"/>
    <col min="8" max="8" width="27.44140625" bestFit="1" customWidth="1"/>
    <col min="9" max="9" width="28.21875" bestFit="1" customWidth="1"/>
    <col min="10" max="10" width="27.44140625" bestFit="1" customWidth="1"/>
    <col min="11" max="11" width="9.21875" bestFit="1" customWidth="1"/>
    <col min="12" max="12" width="24.109375" bestFit="1" customWidth="1"/>
    <col min="13" max="14" width="22.88671875" bestFit="1" customWidth="1"/>
    <col min="15" max="15" width="23.77734375" bestFit="1" customWidth="1"/>
  </cols>
  <sheetData>
    <row r="1" spans="1:15">
      <c r="A1" s="95" t="s">
        <v>199</v>
      </c>
      <c r="B1" s="95" t="s">
        <v>200</v>
      </c>
      <c r="C1" s="95" t="s">
        <v>201</v>
      </c>
      <c r="D1" s="95" t="s">
        <v>202</v>
      </c>
      <c r="E1" s="95" t="s">
        <v>203</v>
      </c>
      <c r="F1" s="95" t="s">
        <v>204</v>
      </c>
      <c r="G1" s="95" t="s">
        <v>205</v>
      </c>
      <c r="H1" s="95" t="s">
        <v>206</v>
      </c>
      <c r="I1" s="95" t="s">
        <v>207</v>
      </c>
      <c r="J1" s="95" t="s">
        <v>208</v>
      </c>
      <c r="K1" s="95" t="s">
        <v>209</v>
      </c>
      <c r="L1" s="105" t="s">
        <v>215</v>
      </c>
      <c r="M1" s="95" t="s">
        <v>287</v>
      </c>
      <c r="N1" s="95" t="s">
        <v>288</v>
      </c>
      <c r="O1" s="95" t="s">
        <v>289</v>
      </c>
    </row>
    <row r="2" spans="1:15" hidden="1">
      <c r="A2" s="96">
        <v>45566</v>
      </c>
      <c r="B2" s="97">
        <v>6.734</v>
      </c>
      <c r="C2" s="97">
        <v>6.6669999999999998</v>
      </c>
      <c r="D2" s="97">
        <v>7.23</v>
      </c>
      <c r="E2" s="97">
        <v>7.35</v>
      </c>
      <c r="F2" s="97">
        <v>-206767.13</v>
      </c>
      <c r="G2" s="97">
        <v>6.5</v>
      </c>
      <c r="H2" s="97">
        <v>3.35</v>
      </c>
      <c r="I2" s="97">
        <v>4.5</v>
      </c>
      <c r="J2" s="97">
        <v>18</v>
      </c>
      <c r="K2" s="97">
        <v>83.9375</v>
      </c>
      <c r="L2" s="88" t="str">
        <f>IFERROR(ROUND(VLOOKUP(A2,'Bond Trades'!$A$25:$D$35,4,0),2),"-")</f>
        <v>-</v>
      </c>
    </row>
    <row r="3" spans="1:15" hidden="1">
      <c r="A3" s="96">
        <v>45567</v>
      </c>
      <c r="B3" s="97">
        <v>6.734</v>
      </c>
      <c r="C3" s="97">
        <v>6.6669999999999998</v>
      </c>
      <c r="D3" s="97">
        <v>7.23</v>
      </c>
      <c r="E3" s="97">
        <v>7.35</v>
      </c>
      <c r="F3" s="97">
        <v>-213430.13</v>
      </c>
      <c r="G3" s="97">
        <v>6.5</v>
      </c>
      <c r="H3" s="97">
        <v>3.35</v>
      </c>
      <c r="I3" s="97">
        <v>4.5</v>
      </c>
      <c r="J3" s="97">
        <v>18</v>
      </c>
      <c r="K3" s="97">
        <v>83.933599999999998</v>
      </c>
      <c r="L3" s="88" t="str">
        <f>IFERROR(ROUND(VLOOKUP(A3,'Bond Trades'!$A$25:$D$35,4,0),2),"-")</f>
        <v>-</v>
      </c>
    </row>
    <row r="4" spans="1:15" hidden="1">
      <c r="A4" s="96">
        <v>45568</v>
      </c>
      <c r="B4" s="97">
        <v>6.7759999999999998</v>
      </c>
      <c r="C4" s="97">
        <v>6.6950000000000003</v>
      </c>
      <c r="D4" s="97">
        <v>7.23</v>
      </c>
      <c r="E4" s="97">
        <v>7.35</v>
      </c>
      <c r="F4" s="97">
        <v>-288364.21000000002</v>
      </c>
      <c r="G4" s="97">
        <v>6.5</v>
      </c>
      <c r="H4" s="97">
        <v>3.35</v>
      </c>
      <c r="I4" s="97">
        <v>4.5</v>
      </c>
      <c r="J4" s="97">
        <v>18</v>
      </c>
      <c r="K4" s="97">
        <v>83.95</v>
      </c>
      <c r="L4" s="88" t="str">
        <f>IFERROR(ROUND(VLOOKUP(A4,'Bond Trades'!$A$25:$D$35,4,0),2),"-")</f>
        <v>-</v>
      </c>
    </row>
    <row r="5" spans="1:15" hidden="1">
      <c r="A5" s="96">
        <v>45569</v>
      </c>
      <c r="B5" s="97">
        <v>6.835</v>
      </c>
      <c r="C5" s="97">
        <v>6.7409999999999997</v>
      </c>
      <c r="D5" s="97">
        <v>7.23</v>
      </c>
      <c r="E5" s="97">
        <v>7.35</v>
      </c>
      <c r="F5" s="97">
        <v>-281101.26</v>
      </c>
      <c r="G5" s="97">
        <v>6.5</v>
      </c>
      <c r="H5" s="97">
        <v>3.35</v>
      </c>
      <c r="I5" s="97">
        <v>4.5</v>
      </c>
      <c r="J5" s="97">
        <v>18</v>
      </c>
      <c r="K5" s="97">
        <v>83.976299999999995</v>
      </c>
      <c r="L5" s="88" t="str">
        <f>IFERROR(ROUND(VLOOKUP(A5,'Bond Trades'!$A$25:$D$35,4,0),2),"-")</f>
        <v>-</v>
      </c>
    </row>
    <row r="6" spans="1:15" hidden="1">
      <c r="A6" s="96">
        <v>45570</v>
      </c>
      <c r="B6" s="97">
        <v>6.835</v>
      </c>
      <c r="C6" s="97">
        <v>6.7409999999999997</v>
      </c>
      <c r="D6" s="97">
        <v>7.23</v>
      </c>
      <c r="E6" s="97">
        <v>7.35</v>
      </c>
      <c r="F6" s="97">
        <v>-198279.26</v>
      </c>
      <c r="G6" s="97">
        <v>6.5</v>
      </c>
      <c r="H6" s="97">
        <v>3.35</v>
      </c>
      <c r="I6" s="97">
        <v>4.5</v>
      </c>
      <c r="J6" s="97">
        <v>18</v>
      </c>
      <c r="K6" s="97">
        <v>83.976299999999995</v>
      </c>
      <c r="L6" s="88" t="str">
        <f>IFERROR(ROUND(VLOOKUP(A6,'Bond Trades'!$A$25:$D$35,4,0),2),"-")</f>
        <v>-</v>
      </c>
    </row>
    <row r="7" spans="1:15" hidden="1">
      <c r="A7" s="96">
        <v>45571</v>
      </c>
      <c r="B7" s="97">
        <v>6.835</v>
      </c>
      <c r="C7" s="97">
        <v>6.7409999999999997</v>
      </c>
      <c r="D7" s="97">
        <v>7.23</v>
      </c>
      <c r="E7" s="97">
        <v>7.35</v>
      </c>
      <c r="F7" s="97">
        <v>-202222.26</v>
      </c>
      <c r="G7" s="97">
        <v>6.5</v>
      </c>
      <c r="H7" s="97">
        <v>3.35</v>
      </c>
      <c r="I7" s="97">
        <v>4.5</v>
      </c>
      <c r="J7" s="97">
        <v>18</v>
      </c>
      <c r="K7" s="97">
        <v>83.976299999999995</v>
      </c>
      <c r="L7" s="88" t="str">
        <f>IFERROR(ROUND(VLOOKUP(A7,'Bond Trades'!$A$25:$D$35,4,0),2),"-")</f>
        <v>-</v>
      </c>
    </row>
    <row r="8" spans="1:15" hidden="1">
      <c r="A8" s="96">
        <v>45572</v>
      </c>
      <c r="B8" s="97">
        <v>6.8520000000000003</v>
      </c>
      <c r="C8" s="97">
        <v>6.7569999999999997</v>
      </c>
      <c r="D8" s="97">
        <v>7.25</v>
      </c>
      <c r="E8" s="97">
        <v>7.39</v>
      </c>
      <c r="F8" s="97">
        <v>-157431.26</v>
      </c>
      <c r="G8" s="97">
        <v>6.5</v>
      </c>
      <c r="H8" s="97">
        <v>3.35</v>
      </c>
      <c r="I8" s="97">
        <v>4.5</v>
      </c>
      <c r="J8" s="97">
        <v>18</v>
      </c>
      <c r="K8" s="97">
        <v>83.968000000000004</v>
      </c>
      <c r="L8" s="88" t="str">
        <f>IFERROR(ROUND(VLOOKUP(A8,'Bond Trades'!$A$25:$D$35,4,0),2),"-")</f>
        <v>-</v>
      </c>
    </row>
    <row r="9" spans="1:15" hidden="1">
      <c r="A9" s="96">
        <v>45573</v>
      </c>
      <c r="B9" s="97">
        <v>6.8070000000000004</v>
      </c>
      <c r="C9" s="97">
        <v>6.7220000000000004</v>
      </c>
      <c r="D9" s="97">
        <v>7.25</v>
      </c>
      <c r="E9" s="97">
        <v>7.39</v>
      </c>
      <c r="F9" s="97">
        <v>-164088.54</v>
      </c>
      <c r="G9" s="97">
        <v>6.5</v>
      </c>
      <c r="H9" s="97">
        <v>3.35</v>
      </c>
      <c r="I9" s="97">
        <v>4.5</v>
      </c>
      <c r="J9" s="97">
        <v>18</v>
      </c>
      <c r="K9" s="97">
        <v>83.938100000000006</v>
      </c>
      <c r="L9" s="88" t="str">
        <f>IFERROR(ROUND(VLOOKUP(A9,'Bond Trades'!$A$25:$D$35,4,0),2),"-")</f>
        <v>-</v>
      </c>
    </row>
    <row r="10" spans="1:15" hidden="1">
      <c r="A10" s="96">
        <v>45574</v>
      </c>
      <c r="B10" s="97">
        <v>6.7679999999999998</v>
      </c>
      <c r="C10" s="97">
        <v>6.6870000000000003</v>
      </c>
      <c r="D10" s="97">
        <v>7.23</v>
      </c>
      <c r="E10" s="97">
        <v>7.35</v>
      </c>
      <c r="F10" s="97">
        <v>-129032.48</v>
      </c>
      <c r="G10" s="97">
        <v>6.5</v>
      </c>
      <c r="H10" s="97">
        <v>3.35</v>
      </c>
      <c r="I10" s="97">
        <v>4.5</v>
      </c>
      <c r="J10" s="97">
        <v>18</v>
      </c>
      <c r="K10" s="97">
        <v>83.938999999999993</v>
      </c>
      <c r="L10" s="88" t="str">
        <f>IFERROR(ROUND(VLOOKUP(A10,'Bond Trades'!$A$25:$D$35,4,0),2),"-")</f>
        <v>-</v>
      </c>
    </row>
    <row r="11" spans="1:15" hidden="1">
      <c r="A11" s="96">
        <v>45575</v>
      </c>
      <c r="B11" s="97">
        <v>6.7770000000000001</v>
      </c>
      <c r="C11" s="97">
        <v>6.6929999999999996</v>
      </c>
      <c r="D11" s="97">
        <v>7.25</v>
      </c>
      <c r="E11" s="97">
        <v>7.36</v>
      </c>
      <c r="F11" s="97">
        <v>-134491.48000000001</v>
      </c>
      <c r="G11" s="97">
        <v>6.5</v>
      </c>
      <c r="H11" s="97">
        <v>3.35</v>
      </c>
      <c r="I11" s="97">
        <v>4.5</v>
      </c>
      <c r="J11" s="97">
        <v>18</v>
      </c>
      <c r="K11" s="97">
        <v>83.921999999999997</v>
      </c>
      <c r="L11" s="88" t="str">
        <f>IFERROR(ROUND(VLOOKUP(A11,'Bond Trades'!$A$25:$D$35,4,0),2),"-")</f>
        <v>-</v>
      </c>
    </row>
    <row r="12" spans="1:15" hidden="1">
      <c r="A12" s="96">
        <v>45576</v>
      </c>
      <c r="B12" s="97">
        <v>6.7919999999999998</v>
      </c>
      <c r="C12" s="97">
        <v>6.7</v>
      </c>
      <c r="D12" s="97">
        <v>7.23</v>
      </c>
      <c r="E12" s="97">
        <v>7.33</v>
      </c>
      <c r="F12" s="97">
        <v>-180160.48</v>
      </c>
      <c r="G12" s="97">
        <v>6.5</v>
      </c>
      <c r="H12" s="97">
        <v>3.35</v>
      </c>
      <c r="I12" s="97">
        <v>4.5</v>
      </c>
      <c r="J12" s="97">
        <v>18</v>
      </c>
      <c r="K12" s="97">
        <v>84.12</v>
      </c>
      <c r="L12" s="88" t="str">
        <f>IFERROR(ROUND(VLOOKUP(A12,'Bond Trades'!$A$25:$D$35,4,0),2),"-")</f>
        <v>-</v>
      </c>
    </row>
    <row r="13" spans="1:15" hidden="1">
      <c r="A13" s="96">
        <v>45577</v>
      </c>
      <c r="B13" s="97">
        <v>6.7919999999999998</v>
      </c>
      <c r="C13" s="97">
        <v>6.7</v>
      </c>
      <c r="D13" s="97">
        <v>7.23</v>
      </c>
      <c r="E13" s="97">
        <v>7.33</v>
      </c>
      <c r="F13" s="97">
        <v>-181729.48</v>
      </c>
      <c r="G13" s="97">
        <v>6.5</v>
      </c>
      <c r="H13" s="97">
        <v>3.35</v>
      </c>
      <c r="I13" s="97">
        <v>4.5</v>
      </c>
      <c r="J13" s="97">
        <v>18</v>
      </c>
      <c r="K13" s="97">
        <v>84.12</v>
      </c>
      <c r="L13" s="88" t="str">
        <f>IFERROR(ROUND(VLOOKUP(A13,'Bond Trades'!$A$25:$D$35,4,0),2),"-")</f>
        <v>-</v>
      </c>
    </row>
    <row r="14" spans="1:15" hidden="1">
      <c r="A14" s="96">
        <v>45578</v>
      </c>
      <c r="B14" s="97">
        <v>6.7919999999999998</v>
      </c>
      <c r="C14" s="97">
        <v>6.7</v>
      </c>
      <c r="D14" s="97">
        <v>7.23</v>
      </c>
      <c r="E14" s="97">
        <v>7.33</v>
      </c>
      <c r="F14" s="97">
        <v>-183322.48</v>
      </c>
      <c r="G14" s="97">
        <v>6.5</v>
      </c>
      <c r="H14" s="97">
        <v>3.35</v>
      </c>
      <c r="I14" s="97">
        <v>4.5</v>
      </c>
      <c r="J14" s="97">
        <v>18</v>
      </c>
      <c r="K14" s="97">
        <v>84.12</v>
      </c>
      <c r="L14" s="88" t="str">
        <f>IFERROR(ROUND(VLOOKUP(A14,'Bond Trades'!$A$25:$D$35,4,0),2),"-")</f>
        <v>-</v>
      </c>
    </row>
    <row r="15" spans="1:15" hidden="1">
      <c r="A15" s="96">
        <v>45579</v>
      </c>
      <c r="B15" s="97">
        <v>6.7830000000000004</v>
      </c>
      <c r="C15" s="97">
        <v>6.6879999999999997</v>
      </c>
      <c r="D15" s="97">
        <v>7.2</v>
      </c>
      <c r="E15" s="97">
        <v>7.34</v>
      </c>
      <c r="F15" s="97">
        <v>-150092.48000000001</v>
      </c>
      <c r="G15" s="97">
        <v>6.5</v>
      </c>
      <c r="H15" s="97">
        <v>3.35</v>
      </c>
      <c r="I15" s="97">
        <v>4.5</v>
      </c>
      <c r="J15" s="97">
        <v>18</v>
      </c>
      <c r="K15" s="97">
        <v>84.064300000000003</v>
      </c>
      <c r="L15" s="88" t="str">
        <f>IFERROR(ROUND(VLOOKUP(A15,'Bond Trades'!$A$25:$D$35,4,0),2),"-")</f>
        <v>-</v>
      </c>
    </row>
    <row r="16" spans="1:15" hidden="1">
      <c r="A16" s="96">
        <v>45580</v>
      </c>
      <c r="B16" s="97">
        <v>6.7679999999999998</v>
      </c>
      <c r="C16" s="97">
        <v>6.681</v>
      </c>
      <c r="D16" s="97">
        <v>7.2</v>
      </c>
      <c r="E16" s="97">
        <v>7.34</v>
      </c>
      <c r="F16" s="97">
        <v>-159750.22</v>
      </c>
      <c r="G16" s="97">
        <v>6.5</v>
      </c>
      <c r="H16" s="97">
        <v>3.35</v>
      </c>
      <c r="I16" s="97">
        <v>4.5</v>
      </c>
      <c r="J16" s="97">
        <v>18</v>
      </c>
      <c r="K16" s="97">
        <v>84.059799999999996</v>
      </c>
      <c r="L16" s="88" t="str">
        <f>IFERROR(ROUND(VLOOKUP(A16,'Bond Trades'!$A$25:$D$35,4,0),2),"-")</f>
        <v>-</v>
      </c>
    </row>
    <row r="17" spans="1:12" hidden="1">
      <c r="A17" s="96">
        <v>45581</v>
      </c>
      <c r="B17" s="97">
        <v>6.7729999999999997</v>
      </c>
      <c r="C17" s="97">
        <v>6.6820000000000004</v>
      </c>
      <c r="D17" s="97">
        <v>7.2</v>
      </c>
      <c r="E17" s="97">
        <v>7.35</v>
      </c>
      <c r="F17" s="97">
        <v>-189761.13</v>
      </c>
      <c r="G17" s="97">
        <v>6.5</v>
      </c>
      <c r="H17" s="97">
        <v>3.35</v>
      </c>
      <c r="I17" s="97">
        <v>4.5</v>
      </c>
      <c r="J17" s="97">
        <v>18</v>
      </c>
      <c r="K17" s="97">
        <v>84.057000000000002</v>
      </c>
      <c r="L17" s="88" t="str">
        <f>IFERROR(ROUND(VLOOKUP(A17,'Bond Trades'!$A$25:$D$35,4,0),2),"-")</f>
        <v>-</v>
      </c>
    </row>
    <row r="18" spans="1:12" hidden="1">
      <c r="A18" s="96">
        <v>45582</v>
      </c>
      <c r="B18" s="97">
        <v>6.782</v>
      </c>
      <c r="C18" s="97">
        <v>6.6879999999999997</v>
      </c>
      <c r="D18" s="97">
        <v>7.21</v>
      </c>
      <c r="E18" s="97">
        <v>7.36</v>
      </c>
      <c r="F18" s="97">
        <v>-175175.13</v>
      </c>
      <c r="G18" s="97">
        <v>6.5</v>
      </c>
      <c r="H18" s="97">
        <v>3.35</v>
      </c>
      <c r="I18" s="97">
        <v>4.5</v>
      </c>
      <c r="J18" s="97">
        <v>18</v>
      </c>
      <c r="K18" s="97">
        <v>84.043999999999997</v>
      </c>
      <c r="L18" s="88" t="str">
        <f>IFERROR(ROUND(VLOOKUP(A18,'Bond Trades'!$A$25:$D$35,4,0),2),"-")</f>
        <v>-</v>
      </c>
    </row>
    <row r="19" spans="1:12" hidden="1">
      <c r="A19" s="96">
        <v>45583</v>
      </c>
      <c r="B19" s="97">
        <v>6.819</v>
      </c>
      <c r="C19" s="97">
        <v>6.7229999999999999</v>
      </c>
      <c r="D19" s="97">
        <v>7.22</v>
      </c>
      <c r="E19" s="97">
        <v>7.39</v>
      </c>
      <c r="F19" s="97">
        <v>-208694.13</v>
      </c>
      <c r="G19" s="97">
        <v>6.5</v>
      </c>
      <c r="H19" s="97">
        <v>3.35</v>
      </c>
      <c r="I19" s="97">
        <v>4.5</v>
      </c>
      <c r="J19" s="97">
        <v>18</v>
      </c>
      <c r="K19" s="97">
        <v>84.071399999999997</v>
      </c>
      <c r="L19" s="88" t="str">
        <f>IFERROR(ROUND(VLOOKUP(A19,'Bond Trades'!$A$25:$D$35,4,0),2),"-")</f>
        <v>-</v>
      </c>
    </row>
    <row r="20" spans="1:12" hidden="1">
      <c r="A20" s="96">
        <v>45584</v>
      </c>
      <c r="B20" s="97">
        <v>6.819</v>
      </c>
      <c r="C20" s="97">
        <v>6.7229999999999999</v>
      </c>
      <c r="D20" s="97">
        <v>7.22</v>
      </c>
      <c r="E20" s="97">
        <v>7.39</v>
      </c>
      <c r="F20" s="97">
        <v>-147256.13</v>
      </c>
      <c r="G20" s="97">
        <v>6.5</v>
      </c>
      <c r="H20" s="97">
        <v>3.35</v>
      </c>
      <c r="I20" s="97">
        <v>4.5</v>
      </c>
      <c r="J20" s="97">
        <v>18</v>
      </c>
      <c r="K20" s="97">
        <v>84.071399999999997</v>
      </c>
      <c r="L20" s="88" t="str">
        <f>IFERROR(ROUND(VLOOKUP(A20,'Bond Trades'!$A$25:$D$35,4,0),2),"-")</f>
        <v>-</v>
      </c>
    </row>
    <row r="21" spans="1:12" hidden="1">
      <c r="A21" s="96">
        <v>45585</v>
      </c>
      <c r="B21" s="97">
        <v>6.819</v>
      </c>
      <c r="C21" s="97">
        <v>6.7229999999999999</v>
      </c>
      <c r="D21" s="97">
        <v>7.22</v>
      </c>
      <c r="E21" s="97">
        <v>7.39</v>
      </c>
      <c r="F21" s="97">
        <v>-152253.13</v>
      </c>
      <c r="G21" s="97">
        <v>6.5</v>
      </c>
      <c r="H21" s="97">
        <v>3.35</v>
      </c>
      <c r="I21" s="97">
        <v>4.5</v>
      </c>
      <c r="J21" s="97">
        <v>18</v>
      </c>
      <c r="K21" s="97">
        <v>84.071399999999997</v>
      </c>
      <c r="L21" s="88" t="str">
        <f>IFERROR(ROUND(VLOOKUP(A21,'Bond Trades'!$A$25:$D$35,4,0),2),"-")</f>
        <v>-</v>
      </c>
    </row>
    <row r="22" spans="1:12" hidden="1">
      <c r="A22" s="96">
        <v>45586</v>
      </c>
      <c r="B22" s="97">
        <v>6.8289999999999997</v>
      </c>
      <c r="C22" s="97">
        <v>6.7329999999999997</v>
      </c>
      <c r="D22" s="97">
        <v>7.24</v>
      </c>
      <c r="E22" s="97">
        <v>7.45</v>
      </c>
      <c r="F22" s="97">
        <v>-79488.13</v>
      </c>
      <c r="G22" s="97">
        <v>6.5</v>
      </c>
      <c r="H22" s="97">
        <v>3.35</v>
      </c>
      <c r="I22" s="97">
        <v>4.5</v>
      </c>
      <c r="J22" s="97">
        <v>18</v>
      </c>
      <c r="K22" s="97">
        <v>84.075000000000003</v>
      </c>
      <c r="L22" s="88" t="str">
        <f>IFERROR(ROUND(VLOOKUP(A22,'Bond Trades'!$A$25:$D$35,4,0),2),"-")</f>
        <v>-</v>
      </c>
    </row>
    <row r="23" spans="1:12" hidden="1">
      <c r="A23" s="96">
        <v>45587</v>
      </c>
      <c r="B23" s="97">
        <v>6.8230000000000004</v>
      </c>
      <c r="C23" s="97">
        <v>6.74</v>
      </c>
      <c r="D23" s="97">
        <v>7.24</v>
      </c>
      <c r="E23" s="97">
        <v>7.38</v>
      </c>
      <c r="F23" s="97">
        <v>-73775.070000000007</v>
      </c>
      <c r="G23" s="97">
        <v>6.5</v>
      </c>
      <c r="H23" s="97">
        <v>3.35</v>
      </c>
      <c r="I23" s="97">
        <v>4.5</v>
      </c>
      <c r="J23" s="97">
        <v>18</v>
      </c>
      <c r="K23" s="97">
        <v>84.084999999999994</v>
      </c>
      <c r="L23" s="88" t="str">
        <f>IFERROR(ROUND(VLOOKUP(A23,'Bond Trades'!$A$25:$D$35,4,0),2),"-")</f>
        <v>-</v>
      </c>
    </row>
    <row r="24" spans="1:12" hidden="1">
      <c r="A24" s="96">
        <v>45588</v>
      </c>
      <c r="B24" s="97">
        <v>6.82</v>
      </c>
      <c r="C24" s="97">
        <v>6.7469999999999999</v>
      </c>
      <c r="D24" s="97">
        <v>7.22</v>
      </c>
      <c r="E24" s="97">
        <v>7.4</v>
      </c>
      <c r="F24" s="97">
        <v>-57428.3</v>
      </c>
      <c r="G24" s="97">
        <v>6.5</v>
      </c>
      <c r="H24" s="97">
        <v>3.35</v>
      </c>
      <c r="I24" s="97">
        <v>4.5</v>
      </c>
      <c r="J24" s="97">
        <v>18</v>
      </c>
      <c r="K24" s="97">
        <v>84.078999999999994</v>
      </c>
      <c r="L24" s="88" t="str">
        <f>IFERROR(ROUND(VLOOKUP(A24,'Bond Trades'!$A$25:$D$35,4,0),2),"-")</f>
        <v>-</v>
      </c>
    </row>
    <row r="25" spans="1:12" hidden="1">
      <c r="A25" s="96">
        <v>45589</v>
      </c>
      <c r="B25" s="97">
        <v>6.82</v>
      </c>
      <c r="C25" s="97">
        <v>6.7460000000000004</v>
      </c>
      <c r="D25" s="97">
        <v>7.22</v>
      </c>
      <c r="E25" s="97">
        <v>7.4</v>
      </c>
      <c r="F25" s="97">
        <v>-67217.3</v>
      </c>
      <c r="G25" s="97">
        <v>6.5</v>
      </c>
      <c r="H25" s="97">
        <v>3.35</v>
      </c>
      <c r="I25" s="97">
        <v>4.5</v>
      </c>
      <c r="J25" s="97">
        <v>18</v>
      </c>
      <c r="K25" s="97">
        <v>84.072599999999994</v>
      </c>
      <c r="L25" s="88" t="str">
        <f>IFERROR(ROUND(VLOOKUP(A25,'Bond Trades'!$A$25:$D$35,4,0),2),"-")</f>
        <v>-</v>
      </c>
    </row>
    <row r="26" spans="1:12" hidden="1">
      <c r="A26" s="96">
        <v>45590</v>
      </c>
      <c r="B26" s="97">
        <v>6.85</v>
      </c>
      <c r="C26" s="97">
        <v>6.7679999999999998</v>
      </c>
      <c r="D26" s="97">
        <v>7.22</v>
      </c>
      <c r="E26" s="97">
        <v>7.4</v>
      </c>
      <c r="F26" s="97">
        <v>-48906.95</v>
      </c>
      <c r="G26" s="97">
        <v>6.5</v>
      </c>
      <c r="H26" s="97">
        <v>3.35</v>
      </c>
      <c r="I26" s="97">
        <v>4.5</v>
      </c>
      <c r="J26" s="97">
        <v>18</v>
      </c>
      <c r="K26" s="97">
        <v>84.098100000000002</v>
      </c>
      <c r="L26" s="88" t="str">
        <f>IFERROR(ROUND(VLOOKUP(A26,'Bond Trades'!$A$25:$D$35,4,0),2),"-")</f>
        <v>-</v>
      </c>
    </row>
    <row r="27" spans="1:12" hidden="1">
      <c r="A27" s="96">
        <v>45591</v>
      </c>
      <c r="B27" s="97">
        <v>6.85</v>
      </c>
      <c r="C27" s="97">
        <v>6.7679999999999998</v>
      </c>
      <c r="D27" s="97">
        <v>7.22</v>
      </c>
      <c r="E27" s="97">
        <v>7.4</v>
      </c>
      <c r="F27" s="97">
        <v>-60481.95</v>
      </c>
      <c r="G27" s="97">
        <v>6.5</v>
      </c>
      <c r="H27" s="97">
        <v>3.35</v>
      </c>
      <c r="I27" s="97">
        <v>4.5</v>
      </c>
      <c r="J27" s="97">
        <v>18</v>
      </c>
      <c r="K27" s="97">
        <v>84.098100000000002</v>
      </c>
      <c r="L27" s="88" t="str">
        <f>IFERROR(ROUND(VLOOKUP(A27,'Bond Trades'!$A$25:$D$35,4,0),2),"-")</f>
        <v>-</v>
      </c>
    </row>
    <row r="28" spans="1:12" hidden="1">
      <c r="A28" s="96">
        <v>45592</v>
      </c>
      <c r="B28" s="97">
        <v>6.85</v>
      </c>
      <c r="C28" s="97">
        <v>6.7679999999999998</v>
      </c>
      <c r="D28" s="97">
        <v>7.22</v>
      </c>
      <c r="E28" s="97">
        <v>7.4</v>
      </c>
      <c r="F28" s="97">
        <v>-63976.95</v>
      </c>
      <c r="G28" s="97">
        <v>6.5</v>
      </c>
      <c r="H28" s="97">
        <v>3.35</v>
      </c>
      <c r="I28" s="97">
        <v>4.5</v>
      </c>
      <c r="J28" s="97">
        <v>18</v>
      </c>
      <c r="K28" s="97">
        <v>84.098100000000002</v>
      </c>
      <c r="L28" s="88" t="str">
        <f>IFERROR(ROUND(VLOOKUP(A28,'Bond Trades'!$A$25:$D$35,4,0),2),"-")</f>
        <v>-</v>
      </c>
    </row>
    <row r="29" spans="1:12" hidden="1">
      <c r="A29" s="96">
        <v>45593</v>
      </c>
      <c r="B29" s="97">
        <v>6.8650000000000002</v>
      </c>
      <c r="C29" s="97">
        <v>6.7930000000000001</v>
      </c>
      <c r="D29" s="97">
        <v>7.22</v>
      </c>
      <c r="E29" s="97">
        <v>7.42</v>
      </c>
      <c r="F29" s="97">
        <v>-84983.19</v>
      </c>
      <c r="G29" s="97">
        <v>6.5</v>
      </c>
      <c r="H29" s="97">
        <v>3.35</v>
      </c>
      <c r="I29" s="97">
        <v>4.5</v>
      </c>
      <c r="J29" s="97">
        <v>18</v>
      </c>
      <c r="K29" s="97">
        <v>84.03</v>
      </c>
      <c r="L29" s="88" t="str">
        <f>IFERROR(ROUND(VLOOKUP(A29,'Bond Trades'!$A$25:$D$35,4,0),2),"-")</f>
        <v>-</v>
      </c>
    </row>
    <row r="30" spans="1:12" hidden="1">
      <c r="A30" s="96">
        <v>45594</v>
      </c>
      <c r="B30" s="97">
        <v>6.8550000000000004</v>
      </c>
      <c r="C30" s="97">
        <v>6.7649999999999997</v>
      </c>
      <c r="D30" s="97">
        <v>7.22</v>
      </c>
      <c r="E30" s="97">
        <v>7.43</v>
      </c>
      <c r="F30" s="97">
        <v>-101203.09</v>
      </c>
      <c r="G30" s="97">
        <v>6.5</v>
      </c>
      <c r="H30" s="97">
        <v>3.35</v>
      </c>
      <c r="I30" s="97">
        <v>4.5</v>
      </c>
      <c r="J30" s="97">
        <v>18</v>
      </c>
      <c r="K30" s="97">
        <v>84.005499999999998</v>
      </c>
      <c r="L30" s="88" t="str">
        <f>IFERROR(ROUND(VLOOKUP(A30,'Bond Trades'!$A$25:$D$35,4,0),2),"-")</f>
        <v>-</v>
      </c>
    </row>
    <row r="31" spans="1:12" hidden="1">
      <c r="A31" s="96">
        <v>45595</v>
      </c>
      <c r="B31" s="97">
        <v>6.827</v>
      </c>
      <c r="C31" s="97">
        <v>6.75</v>
      </c>
      <c r="D31" s="97">
        <v>7.22</v>
      </c>
      <c r="E31" s="97">
        <v>7.43</v>
      </c>
      <c r="F31" s="97">
        <v>-155902.09</v>
      </c>
      <c r="G31" s="97">
        <v>6.5</v>
      </c>
      <c r="H31" s="97">
        <v>3.35</v>
      </c>
      <c r="I31" s="97">
        <v>4.5</v>
      </c>
      <c r="J31" s="97">
        <v>18</v>
      </c>
      <c r="K31" s="97">
        <v>84.099000000000004</v>
      </c>
      <c r="L31" s="88" t="str">
        <f>IFERROR(ROUND(VLOOKUP(A31,'Bond Trades'!$A$25:$D$35,4,0),2),"-")</f>
        <v>-</v>
      </c>
    </row>
    <row r="32" spans="1:12" hidden="1">
      <c r="A32" s="96">
        <v>45596</v>
      </c>
      <c r="B32" s="97">
        <v>6.8470000000000004</v>
      </c>
      <c r="C32" s="97">
        <v>6.782</v>
      </c>
      <c r="D32" s="97">
        <v>7.22</v>
      </c>
      <c r="E32" s="97">
        <v>7.43</v>
      </c>
      <c r="F32" s="97">
        <v>-153592.09</v>
      </c>
      <c r="G32" s="97">
        <v>6.5</v>
      </c>
      <c r="H32" s="97">
        <v>3.35</v>
      </c>
      <c r="I32" s="97">
        <v>4.5</v>
      </c>
      <c r="J32" s="97">
        <v>18</v>
      </c>
      <c r="K32" s="97">
        <v>84.087599999999995</v>
      </c>
      <c r="L32" s="88" t="str">
        <f>IFERROR(ROUND(VLOOKUP(A32,'Bond Trades'!$A$25:$D$35,4,0),2),"-")</f>
        <v>-</v>
      </c>
    </row>
    <row r="33" spans="1:15" hidden="1">
      <c r="A33" s="96">
        <v>45597</v>
      </c>
      <c r="B33" s="97">
        <v>6.8470000000000004</v>
      </c>
      <c r="C33" s="97">
        <v>6.782</v>
      </c>
      <c r="D33" s="97">
        <v>7.22</v>
      </c>
      <c r="E33" s="97">
        <v>7.43</v>
      </c>
      <c r="F33" s="97">
        <v>-208269.09</v>
      </c>
      <c r="G33" s="97">
        <v>6.5</v>
      </c>
      <c r="H33" s="97">
        <v>3.35</v>
      </c>
      <c r="I33" s="97">
        <v>4.5</v>
      </c>
      <c r="J33" s="97">
        <v>18</v>
      </c>
      <c r="K33" s="97">
        <v>84.087599999999995</v>
      </c>
      <c r="L33" s="88" t="str">
        <f>IFERROR(ROUND(VLOOKUP(A33,'Bond Trades'!$A$25:$D$35,4,0),2),"-")</f>
        <v>-</v>
      </c>
    </row>
    <row r="34" spans="1:15" hidden="1">
      <c r="A34" s="96">
        <v>45598</v>
      </c>
      <c r="B34" s="97">
        <v>6.8470000000000004</v>
      </c>
      <c r="C34" s="97">
        <v>6.782</v>
      </c>
      <c r="D34" s="97">
        <v>7.22</v>
      </c>
      <c r="E34" s="97">
        <v>7.43</v>
      </c>
      <c r="F34" s="97">
        <v>-158584.09</v>
      </c>
      <c r="G34" s="97">
        <v>6.5</v>
      </c>
      <c r="H34" s="97">
        <v>3.35</v>
      </c>
      <c r="I34" s="97">
        <v>4.5</v>
      </c>
      <c r="J34" s="97">
        <v>18</v>
      </c>
      <c r="K34" s="97">
        <v>84.087599999999995</v>
      </c>
      <c r="L34" s="88" t="str">
        <f>IFERROR(ROUND(VLOOKUP(A34,'Bond Trades'!$A$25:$D$35,4,0),2),"-")</f>
        <v>-</v>
      </c>
    </row>
    <row r="35" spans="1:15" hidden="1">
      <c r="A35" s="96">
        <v>45599</v>
      </c>
      <c r="B35" s="97">
        <v>6.8470000000000004</v>
      </c>
      <c r="C35" s="97">
        <v>6.782</v>
      </c>
      <c r="D35" s="97">
        <v>7.22</v>
      </c>
      <c r="E35" s="97">
        <v>7.43</v>
      </c>
      <c r="F35" s="97">
        <v>-164705.09</v>
      </c>
      <c r="G35" s="97">
        <v>6.5</v>
      </c>
      <c r="H35" s="97">
        <v>3.35</v>
      </c>
      <c r="I35" s="97">
        <v>4.5</v>
      </c>
      <c r="J35" s="97">
        <v>18</v>
      </c>
      <c r="K35" s="97">
        <v>84.087599999999995</v>
      </c>
      <c r="L35" s="88" t="str">
        <f>IFERROR(ROUND(VLOOKUP(A35,'Bond Trades'!$A$25:$D$35,4,0),2),"-")</f>
        <v>-</v>
      </c>
    </row>
    <row r="36" spans="1:15" hidden="1">
      <c r="A36" s="96">
        <v>45600</v>
      </c>
      <c r="B36" s="97">
        <v>6.8310000000000004</v>
      </c>
      <c r="C36" s="97">
        <v>6.7690000000000001</v>
      </c>
      <c r="D36" s="97">
        <v>7.22</v>
      </c>
      <c r="E36" s="97">
        <v>7.43</v>
      </c>
      <c r="F36" s="97">
        <v>-275989.49</v>
      </c>
      <c r="G36" s="97">
        <v>6.5</v>
      </c>
      <c r="H36" s="97">
        <v>3.35</v>
      </c>
      <c r="I36" s="97">
        <v>4.5</v>
      </c>
      <c r="J36" s="97">
        <v>18</v>
      </c>
      <c r="K36" s="97">
        <v>84.166499999999999</v>
      </c>
      <c r="L36" s="88" t="str">
        <f>IFERROR(ROUND(VLOOKUP(A36,'Bond Trades'!$A$25:$D$35,4,0),2),"-")</f>
        <v>-</v>
      </c>
    </row>
    <row r="37" spans="1:15" hidden="1">
      <c r="A37" s="96">
        <v>45601</v>
      </c>
      <c r="B37" s="97">
        <v>6.83</v>
      </c>
      <c r="C37" s="97">
        <v>6.7629999999999999</v>
      </c>
      <c r="D37" s="97">
        <v>7.22</v>
      </c>
      <c r="E37" s="97">
        <v>7.42</v>
      </c>
      <c r="F37" s="97">
        <v>-283860.83</v>
      </c>
      <c r="G37" s="97">
        <v>6.5</v>
      </c>
      <c r="H37" s="97">
        <v>3.35</v>
      </c>
      <c r="I37" s="97">
        <v>4.5</v>
      </c>
      <c r="J37" s="97">
        <v>18</v>
      </c>
      <c r="K37" s="97">
        <v>84.113500000000002</v>
      </c>
      <c r="L37" s="88" t="str">
        <f>IFERROR(ROUND(VLOOKUP(A37,'Bond Trades'!$A$25:$D$35,4,0),2),"-")</f>
        <v>-</v>
      </c>
    </row>
    <row r="38" spans="1:15" hidden="1">
      <c r="A38" s="98">
        <v>45602</v>
      </c>
      <c r="B38" s="97">
        <v>6.8289999999999997</v>
      </c>
      <c r="C38" s="97">
        <v>6.7690000000000001</v>
      </c>
      <c r="D38" s="97">
        <v>7.22</v>
      </c>
      <c r="E38" s="97">
        <v>7.43</v>
      </c>
      <c r="F38" s="97">
        <v>-276889.83</v>
      </c>
      <c r="G38" s="97">
        <v>6.5</v>
      </c>
      <c r="H38" s="97">
        <v>3.35</v>
      </c>
      <c r="I38" s="97">
        <v>4.5</v>
      </c>
      <c r="J38" s="97">
        <v>18</v>
      </c>
      <c r="K38" s="97">
        <v>84.310199999999995</v>
      </c>
      <c r="L38" s="88" t="str">
        <f>IFERROR(ROUND(VLOOKUP(A38,'Bond Trades'!$A$25:$D$35,4,0),2),"-")</f>
        <v>-</v>
      </c>
    </row>
    <row r="39" spans="1:15" hidden="1">
      <c r="A39" s="96">
        <v>45603</v>
      </c>
      <c r="B39" s="97">
        <v>6.8239999999999998</v>
      </c>
      <c r="C39" s="97">
        <v>6.7649999999999997</v>
      </c>
      <c r="D39" s="97">
        <v>7.22</v>
      </c>
      <c r="E39" s="97">
        <v>7.43</v>
      </c>
      <c r="F39" s="97">
        <v>-244732.83</v>
      </c>
      <c r="G39" s="97">
        <v>6.5</v>
      </c>
      <c r="H39" s="97">
        <v>3.35</v>
      </c>
      <c r="I39" s="97">
        <v>4.5</v>
      </c>
      <c r="J39" s="97">
        <v>18</v>
      </c>
      <c r="K39" s="97">
        <v>84.299199999999999</v>
      </c>
      <c r="L39" s="88" t="str">
        <f>IFERROR(ROUND(VLOOKUP(A39,'Bond Trades'!$A$25:$D$35,4,0),2),"-")</f>
        <v>-</v>
      </c>
    </row>
    <row r="40" spans="1:15" hidden="1">
      <c r="A40" s="96">
        <v>45604</v>
      </c>
      <c r="B40" s="97">
        <v>6.8109999999999999</v>
      </c>
      <c r="C40" s="97">
        <v>6.75</v>
      </c>
      <c r="D40" s="97">
        <v>7.24</v>
      </c>
      <c r="E40" s="97">
        <v>7.44</v>
      </c>
      <c r="F40" s="97">
        <v>-216028.92</v>
      </c>
      <c r="G40" s="97">
        <v>6.5</v>
      </c>
      <c r="H40" s="97">
        <v>3.35</v>
      </c>
      <c r="I40" s="97">
        <v>4.5</v>
      </c>
      <c r="J40" s="97">
        <v>18</v>
      </c>
      <c r="K40" s="97">
        <v>84.3994</v>
      </c>
      <c r="L40" s="88" t="str">
        <f>IFERROR(ROUND(VLOOKUP(A40,'Bond Trades'!$A$25:$D$35,4,0),2),"-")</f>
        <v>-</v>
      </c>
    </row>
    <row r="41" spans="1:15" hidden="1">
      <c r="A41" s="96">
        <v>45605</v>
      </c>
      <c r="B41" s="97">
        <v>6.8109999999999999</v>
      </c>
      <c r="C41" s="97">
        <v>6.75</v>
      </c>
      <c r="D41" s="97">
        <v>7.24</v>
      </c>
      <c r="E41" s="97">
        <v>7.44</v>
      </c>
      <c r="F41" s="97">
        <v>-225483.92</v>
      </c>
      <c r="G41" s="97">
        <v>6.5</v>
      </c>
      <c r="H41" s="97">
        <v>3.35</v>
      </c>
      <c r="I41" s="97">
        <v>4.5</v>
      </c>
      <c r="J41" s="97">
        <v>18</v>
      </c>
      <c r="K41" s="97">
        <v>84.3994</v>
      </c>
      <c r="L41" s="88" t="str">
        <f>IFERROR(ROUND(VLOOKUP(A41,'Bond Trades'!$A$25:$D$35,4,0),2),"-")</f>
        <v>-</v>
      </c>
    </row>
    <row r="42" spans="1:15" hidden="1">
      <c r="A42" s="96">
        <v>45606</v>
      </c>
      <c r="B42" s="97">
        <v>6.8109999999999999</v>
      </c>
      <c r="C42" s="97">
        <v>6.75</v>
      </c>
      <c r="D42" s="97">
        <v>7.24</v>
      </c>
      <c r="E42" s="97">
        <v>7.44</v>
      </c>
      <c r="F42" s="97">
        <v>-226220.92</v>
      </c>
      <c r="G42" s="97">
        <v>6.5</v>
      </c>
      <c r="H42" s="97">
        <v>3.35</v>
      </c>
      <c r="I42" s="97">
        <v>4.5</v>
      </c>
      <c r="J42" s="97">
        <v>18</v>
      </c>
      <c r="K42" s="97">
        <v>84.3994</v>
      </c>
      <c r="L42" s="88" t="str">
        <f>IFERROR(ROUND(VLOOKUP(A42,'Bond Trades'!$A$25:$D$35,4,0),2),"-")</f>
        <v>-</v>
      </c>
    </row>
    <row r="43" spans="1:15" hidden="1">
      <c r="A43" s="96">
        <v>45607</v>
      </c>
      <c r="B43" s="97">
        <v>6.8230000000000004</v>
      </c>
      <c r="C43" s="97">
        <v>6.7610000000000001</v>
      </c>
      <c r="D43" s="97">
        <v>7.2</v>
      </c>
      <c r="E43" s="97">
        <v>7.42</v>
      </c>
      <c r="F43" s="97">
        <v>-198704.92</v>
      </c>
      <c r="G43" s="97">
        <v>6.5</v>
      </c>
      <c r="H43" s="97">
        <v>3.35</v>
      </c>
      <c r="I43" s="97">
        <v>4.5</v>
      </c>
      <c r="J43" s="97">
        <v>18</v>
      </c>
      <c r="K43" s="97">
        <v>84.420599999999993</v>
      </c>
      <c r="L43" s="88" t="str">
        <f>IFERROR(ROUND(VLOOKUP(A43,'Bond Trades'!$A$25:$D$35,4,0),2),"-")</f>
        <v>-</v>
      </c>
    </row>
    <row r="44" spans="1:15">
      <c r="A44" s="98">
        <v>45608</v>
      </c>
      <c r="B44" s="111">
        <v>6.8289999999999997</v>
      </c>
      <c r="C44" s="111">
        <v>6.7640000000000002</v>
      </c>
      <c r="D44" s="111">
        <v>7.21</v>
      </c>
      <c r="E44" s="111">
        <v>7.42</v>
      </c>
      <c r="F44" s="111">
        <v>-205388.92</v>
      </c>
      <c r="G44" s="111">
        <v>6.5</v>
      </c>
      <c r="H44" s="111">
        <v>3.35</v>
      </c>
      <c r="I44" s="111">
        <v>4.5</v>
      </c>
      <c r="J44" s="111">
        <v>18</v>
      </c>
      <c r="K44" s="111">
        <v>84.396299999999997</v>
      </c>
      <c r="L44" s="88">
        <f>IFERROR(ROUND(VLOOKUP(A44,'Bond Trades'!$A$25:$D$35,4,0),2),"-")</f>
        <v>8.02</v>
      </c>
      <c r="M44" s="138">
        <f>INDEX('[1]1 Jan 2011- 23 Jan'!$B$5069:$BW$5141,MATCH($A44,'[1]1 Jan 2011- 23 Jan'!$A$5069:$A$5141,0),MATCH(M$1,'[1]1 Jan 2011- 23 Jan'!$B$4:$BW$4,0))</f>
        <v>7.66</v>
      </c>
      <c r="N44" s="138">
        <f>INDEX('[1]1 Jan 2011- 23 Jan'!$B$5069:$BW$5141,MATCH($A44,'[1]1 Jan 2011- 23 Jan'!$A$5069:$A$5141,0),MATCH(N$1,'[1]1 Jan 2011- 23 Jan'!$B$4:$BW$4,0))</f>
        <v>7.65</v>
      </c>
      <c r="O44" s="138">
        <f>INDEX('[1]1 Jan 2011- 23 Jan'!$B$5069:$BW$5141,MATCH($A44,'[1]1 Jan 2011- 23 Jan'!$A$5069:$A$5141,0),MATCH(O$1,'[1]1 Jan 2011- 23 Jan'!$B$4:$BW$4,0))</f>
        <v>7.54</v>
      </c>
    </row>
    <row r="45" spans="1:15" hidden="1">
      <c r="A45" s="96">
        <v>45609</v>
      </c>
      <c r="B45" s="97">
        <v>6.8369999999999997</v>
      </c>
      <c r="C45" s="97">
        <v>6.7720000000000002</v>
      </c>
      <c r="D45" s="97">
        <v>7.21</v>
      </c>
      <c r="E45" s="97">
        <v>7.42</v>
      </c>
      <c r="F45" s="97">
        <v>-212259.92</v>
      </c>
      <c r="G45" s="97">
        <v>6.5</v>
      </c>
      <c r="H45" s="97">
        <v>3.35</v>
      </c>
      <c r="I45" s="97">
        <v>4.5</v>
      </c>
      <c r="J45" s="97">
        <v>18</v>
      </c>
      <c r="K45" s="97">
        <v>84.422700000000006</v>
      </c>
      <c r="L45" s="88" t="str">
        <f>IFERROR(ROUND(VLOOKUP(A45,'Bond Trades'!$A$25:$D$35,4,0),2),"-")</f>
        <v>-</v>
      </c>
    </row>
    <row r="46" spans="1:15">
      <c r="A46" s="96">
        <v>45610</v>
      </c>
      <c r="B46" s="111">
        <v>6.8639999999999999</v>
      </c>
      <c r="C46" s="111">
        <v>6.8070000000000004</v>
      </c>
      <c r="D46" s="111">
        <v>7.21</v>
      </c>
      <c r="E46" s="111">
        <v>7.42</v>
      </c>
      <c r="F46" s="111">
        <v>-181379.92</v>
      </c>
      <c r="G46" s="111">
        <v>6.5</v>
      </c>
      <c r="H46" s="111">
        <v>3.35</v>
      </c>
      <c r="I46" s="111">
        <v>4.5</v>
      </c>
      <c r="J46" s="111">
        <v>18</v>
      </c>
      <c r="K46" s="111">
        <v>84.456999999999994</v>
      </c>
      <c r="L46" s="88">
        <f>IFERROR(ROUND(VLOOKUP(A46,'Bond Trades'!$A$25:$D$35,4,0),2),"-")</f>
        <v>7.95</v>
      </c>
      <c r="M46" s="138">
        <f>INDEX('[1]1 Jan 2011- 23 Jan'!$B$5069:$BW$5141,MATCH($A46,'[1]1 Jan 2011- 23 Jan'!$A$5069:$A$5141,0),MATCH(M$1,'[1]1 Jan 2011- 23 Jan'!$B$4:$BW$4,0))</f>
        <v>7.67</v>
      </c>
      <c r="N46" s="138">
        <f>INDEX('[1]1 Jan 2011- 23 Jan'!$B$5069:$BW$5141,MATCH($A46,'[1]1 Jan 2011- 23 Jan'!$A$5069:$A$5141,0),MATCH(N$1,'[1]1 Jan 2011- 23 Jan'!$B$4:$BW$4,0))</f>
        <v>7.69</v>
      </c>
      <c r="O46" s="138">
        <f>INDEX('[1]1 Jan 2011- 23 Jan'!$B$5069:$BW$5141,MATCH($A46,'[1]1 Jan 2011- 23 Jan'!$A$5069:$A$5141,0),MATCH(O$1,'[1]1 Jan 2011- 23 Jan'!$B$4:$BW$4,0))</f>
        <v>7.57</v>
      </c>
    </row>
    <row r="47" spans="1:15" hidden="1">
      <c r="A47" s="96">
        <v>45611</v>
      </c>
      <c r="B47" s="97">
        <v>6.8639999999999999</v>
      </c>
      <c r="C47" s="97">
        <v>6.8070000000000004</v>
      </c>
      <c r="D47" s="97">
        <v>7.21</v>
      </c>
      <c r="E47" s="97">
        <v>7.42</v>
      </c>
      <c r="F47" s="97">
        <v>-196339.92</v>
      </c>
      <c r="G47" s="97">
        <v>6.5</v>
      </c>
      <c r="H47" s="97">
        <v>3.35</v>
      </c>
      <c r="I47" s="97">
        <v>4.5</v>
      </c>
      <c r="J47" s="97">
        <v>18</v>
      </c>
      <c r="K47" s="97">
        <v>84.480800000000002</v>
      </c>
      <c r="L47" s="88" t="str">
        <f>IFERROR(ROUND(VLOOKUP(A47,'Bond Trades'!$A$25:$D$35,4,0),2),"-")</f>
        <v>-</v>
      </c>
    </row>
    <row r="48" spans="1:15" hidden="1">
      <c r="A48" s="96">
        <v>45612</v>
      </c>
      <c r="B48" s="97">
        <v>6.8639999999999999</v>
      </c>
      <c r="C48" s="97">
        <v>6.8070000000000004</v>
      </c>
      <c r="D48" s="97">
        <v>7.21</v>
      </c>
      <c r="E48" s="97">
        <v>7.42</v>
      </c>
      <c r="F48" s="97">
        <v>-163962.92000000001</v>
      </c>
      <c r="G48" s="97">
        <v>6.5</v>
      </c>
      <c r="H48" s="97">
        <v>3.35</v>
      </c>
      <c r="I48" s="97">
        <v>4.5</v>
      </c>
      <c r="J48" s="97">
        <v>18</v>
      </c>
      <c r="K48" s="97">
        <v>84.480800000000002</v>
      </c>
      <c r="L48" s="88" t="str">
        <f>IFERROR(ROUND(VLOOKUP(A48,'Bond Trades'!$A$25:$D$35,4,0),2),"-")</f>
        <v>-</v>
      </c>
    </row>
    <row r="49" spans="1:15" hidden="1">
      <c r="A49" s="96">
        <v>45613</v>
      </c>
      <c r="B49" s="97">
        <v>6.8639999999999999</v>
      </c>
      <c r="C49" s="97">
        <v>6.8070000000000004</v>
      </c>
      <c r="D49" s="97">
        <v>7.21</v>
      </c>
      <c r="E49" s="97">
        <v>7.42</v>
      </c>
      <c r="F49" s="97">
        <v>-166136.92000000001</v>
      </c>
      <c r="G49" s="97">
        <v>6.5</v>
      </c>
      <c r="H49" s="97">
        <v>3.35</v>
      </c>
      <c r="I49" s="97">
        <v>4.5</v>
      </c>
      <c r="J49" s="97">
        <v>18</v>
      </c>
      <c r="K49" s="97">
        <v>84.480800000000002</v>
      </c>
      <c r="L49" s="88" t="str">
        <f>IFERROR(ROUND(VLOOKUP(A49,'Bond Trades'!$A$25:$D$35,4,0),2),"-")</f>
        <v>-</v>
      </c>
    </row>
    <row r="50" spans="1:15" hidden="1">
      <c r="A50" s="96">
        <v>45614</v>
      </c>
      <c r="B50" s="97">
        <v>6.8559999999999999</v>
      </c>
      <c r="C50" s="97">
        <v>6.798</v>
      </c>
      <c r="D50" s="97">
        <v>7.21</v>
      </c>
      <c r="E50" s="97">
        <v>7.42</v>
      </c>
      <c r="F50" s="97">
        <v>-169057.09</v>
      </c>
      <c r="G50" s="97">
        <v>6.5</v>
      </c>
      <c r="H50" s="97">
        <v>3.35</v>
      </c>
      <c r="I50" s="97">
        <v>4.5</v>
      </c>
      <c r="J50" s="97">
        <v>18</v>
      </c>
      <c r="K50" s="97">
        <v>84.403400000000005</v>
      </c>
      <c r="L50" s="88" t="str">
        <f>IFERROR(ROUND(VLOOKUP(A50,'Bond Trades'!$A$25:$D$35,4,0),2),"-")</f>
        <v>-</v>
      </c>
    </row>
    <row r="51" spans="1:15" hidden="1">
      <c r="A51" s="96">
        <v>45615</v>
      </c>
      <c r="B51" s="97">
        <v>6.8460000000000001</v>
      </c>
      <c r="C51" s="97">
        <v>6.7889999999999997</v>
      </c>
      <c r="D51" s="97">
        <v>7.22</v>
      </c>
      <c r="E51" s="97">
        <v>7.43</v>
      </c>
      <c r="F51" s="97">
        <v>-103894.09</v>
      </c>
      <c r="G51" s="97">
        <v>6.5</v>
      </c>
      <c r="H51" s="97">
        <v>3.35</v>
      </c>
      <c r="I51" s="97">
        <v>4.5</v>
      </c>
      <c r="J51" s="97">
        <v>18</v>
      </c>
      <c r="K51" s="97">
        <v>84.386399999999995</v>
      </c>
      <c r="L51" s="88" t="str">
        <f>IFERROR(ROUND(VLOOKUP(A51,'Bond Trades'!$A$25:$D$35,4,0),2),"-")</f>
        <v>-</v>
      </c>
    </row>
    <row r="52" spans="1:15" hidden="1">
      <c r="A52" s="96">
        <v>45616</v>
      </c>
      <c r="B52" s="97">
        <v>6.8460000000000001</v>
      </c>
      <c r="C52" s="97">
        <v>6.7889999999999997</v>
      </c>
      <c r="D52" s="97">
        <v>7.22</v>
      </c>
      <c r="E52" s="97">
        <v>7.43</v>
      </c>
      <c r="F52" s="97">
        <v>-97136.09</v>
      </c>
      <c r="G52" s="97">
        <v>6.5</v>
      </c>
      <c r="H52" s="97">
        <v>3.35</v>
      </c>
      <c r="I52" s="97">
        <v>4.5</v>
      </c>
      <c r="J52" s="97">
        <v>18</v>
      </c>
      <c r="K52" s="97">
        <v>84.367000000000004</v>
      </c>
      <c r="L52" s="88" t="str">
        <f>IFERROR(ROUND(VLOOKUP(A52,'Bond Trades'!$A$25:$D$35,4,0),2),"-")</f>
        <v>-</v>
      </c>
    </row>
    <row r="53" spans="1:15" hidden="1">
      <c r="A53" s="96">
        <v>45617</v>
      </c>
      <c r="B53" s="97">
        <v>6.8620000000000001</v>
      </c>
      <c r="C53" s="97">
        <v>6.8019999999999996</v>
      </c>
      <c r="D53" s="97">
        <v>7.22</v>
      </c>
      <c r="E53" s="97">
        <v>7.43</v>
      </c>
      <c r="F53" s="97">
        <v>-84154.75</v>
      </c>
      <c r="G53" s="97">
        <v>6.5</v>
      </c>
      <c r="H53" s="97">
        <v>3.35</v>
      </c>
      <c r="I53" s="97">
        <v>4.5</v>
      </c>
      <c r="J53" s="97">
        <v>18</v>
      </c>
      <c r="K53" s="97">
        <v>84.498500000000007</v>
      </c>
      <c r="L53" s="88" t="str">
        <f>IFERROR(ROUND(VLOOKUP(A53,'Bond Trades'!$A$25:$D$35,4,0),2),"-")</f>
        <v>-</v>
      </c>
    </row>
    <row r="54" spans="1:15" hidden="1">
      <c r="A54" s="96">
        <v>45618</v>
      </c>
      <c r="B54" s="97">
        <v>6.8710000000000004</v>
      </c>
      <c r="C54" s="97">
        <v>6.8070000000000004</v>
      </c>
      <c r="D54" s="97">
        <v>7.25</v>
      </c>
      <c r="E54" s="97">
        <v>7.43</v>
      </c>
      <c r="F54" s="97">
        <v>-19036.759999999998</v>
      </c>
      <c r="G54" s="97">
        <v>6.5</v>
      </c>
      <c r="H54" s="97">
        <v>3.35</v>
      </c>
      <c r="I54" s="97">
        <v>4.5</v>
      </c>
      <c r="J54" s="97">
        <v>18</v>
      </c>
      <c r="K54" s="97">
        <v>84.449700000000007</v>
      </c>
      <c r="L54" s="88" t="str">
        <f>IFERROR(ROUND(VLOOKUP(A54,'Bond Trades'!$A$25:$D$35,4,0),2),"-")</f>
        <v>-</v>
      </c>
    </row>
    <row r="55" spans="1:15" hidden="1">
      <c r="A55" s="96">
        <v>45619</v>
      </c>
      <c r="B55" s="97">
        <v>6.8710000000000004</v>
      </c>
      <c r="C55" s="97">
        <v>6.8070000000000004</v>
      </c>
      <c r="D55" s="97">
        <v>7.25</v>
      </c>
      <c r="E55" s="97">
        <v>7.43</v>
      </c>
      <c r="F55" s="97">
        <v>-30939.759999999998</v>
      </c>
      <c r="G55" s="97">
        <v>6.5</v>
      </c>
      <c r="H55" s="97">
        <v>3.35</v>
      </c>
      <c r="I55" s="97">
        <v>4.5</v>
      </c>
      <c r="J55" s="97">
        <v>18</v>
      </c>
      <c r="K55" s="97">
        <v>84.449700000000007</v>
      </c>
      <c r="L55" s="88" t="str">
        <f>IFERROR(ROUND(VLOOKUP(A55,'Bond Trades'!$A$25:$D$35,4,0),2),"-")</f>
        <v>-</v>
      </c>
    </row>
    <row r="56" spans="1:15" hidden="1">
      <c r="A56" s="96">
        <v>45620</v>
      </c>
      <c r="B56" s="97">
        <v>6.8710000000000004</v>
      </c>
      <c r="C56" s="97">
        <v>6.8070000000000004</v>
      </c>
      <c r="D56" s="97">
        <v>7.25</v>
      </c>
      <c r="E56" s="97">
        <v>7.43</v>
      </c>
      <c r="F56" s="97">
        <v>-28203.759999999998</v>
      </c>
      <c r="G56" s="97">
        <v>6.5</v>
      </c>
      <c r="H56" s="97">
        <v>3.35</v>
      </c>
      <c r="I56" s="97">
        <v>4.5</v>
      </c>
      <c r="J56" s="97">
        <v>18</v>
      </c>
      <c r="K56" s="97">
        <v>84.449700000000007</v>
      </c>
      <c r="L56" s="88" t="str">
        <f>IFERROR(ROUND(VLOOKUP(A56,'Bond Trades'!$A$25:$D$35,4,0),2),"-")</f>
        <v>-</v>
      </c>
    </row>
    <row r="57" spans="1:15" hidden="1">
      <c r="A57" s="96">
        <v>45621</v>
      </c>
      <c r="B57" s="97">
        <v>6.851</v>
      </c>
      <c r="C57" s="97">
        <v>6.7919999999999998</v>
      </c>
      <c r="D57" s="97">
        <v>7.24</v>
      </c>
      <c r="E57" s="97">
        <v>7.44</v>
      </c>
      <c r="F57" s="97">
        <v>6956.24</v>
      </c>
      <c r="G57" s="97">
        <v>6.5</v>
      </c>
      <c r="H57" s="97">
        <v>3.35</v>
      </c>
      <c r="I57" s="97">
        <v>4.5</v>
      </c>
      <c r="J57" s="97">
        <v>18</v>
      </c>
      <c r="K57" s="97">
        <v>84.262</v>
      </c>
      <c r="L57" s="88" t="str">
        <f>IFERROR(ROUND(VLOOKUP(A57,'Bond Trades'!$A$25:$D$35,4,0),2),"-")</f>
        <v>-</v>
      </c>
    </row>
    <row r="58" spans="1:15" hidden="1">
      <c r="A58" s="96">
        <v>45622</v>
      </c>
      <c r="B58" s="97">
        <v>6.8550000000000004</v>
      </c>
      <c r="C58" s="97">
        <v>6.7969999999999997</v>
      </c>
      <c r="D58" s="97">
        <v>7.31</v>
      </c>
      <c r="E58" s="97">
        <v>7.45</v>
      </c>
      <c r="F58" s="97">
        <v>36418.239999999998</v>
      </c>
      <c r="G58" s="97">
        <v>6.5</v>
      </c>
      <c r="H58" s="97">
        <v>3.35</v>
      </c>
      <c r="I58" s="97">
        <v>4.5</v>
      </c>
      <c r="J58" s="97">
        <v>18</v>
      </c>
      <c r="K58" s="97">
        <v>84.316999999999993</v>
      </c>
      <c r="L58" s="88" t="str">
        <f>IFERROR(ROUND(VLOOKUP(A58,'Bond Trades'!$A$25:$D$35,4,0),2),"-")</f>
        <v>-</v>
      </c>
    </row>
    <row r="59" spans="1:15" hidden="1">
      <c r="A59" s="96">
        <v>45623</v>
      </c>
      <c r="B59" s="97">
        <v>6.8410000000000002</v>
      </c>
      <c r="C59" s="97">
        <v>6.7770000000000001</v>
      </c>
      <c r="D59" s="97">
        <v>7.31</v>
      </c>
      <c r="E59" s="97">
        <v>7.45</v>
      </c>
      <c r="F59" s="97">
        <v>30848.240000000002</v>
      </c>
      <c r="G59" s="97">
        <v>6.5</v>
      </c>
      <c r="H59" s="97">
        <v>3.35</v>
      </c>
      <c r="I59" s="97">
        <v>4.5</v>
      </c>
      <c r="J59" s="97">
        <v>18</v>
      </c>
      <c r="K59" s="97">
        <v>84.438000000000002</v>
      </c>
      <c r="L59" s="88" t="str">
        <f>IFERROR(ROUND(VLOOKUP(A59,'Bond Trades'!$A$25:$D$35,4,0),2),"-")</f>
        <v>-</v>
      </c>
    </row>
    <row r="60" spans="1:15" hidden="1">
      <c r="A60" s="96">
        <v>45624</v>
      </c>
      <c r="B60" s="97">
        <v>6.8330000000000002</v>
      </c>
      <c r="C60" s="97">
        <v>6.77</v>
      </c>
      <c r="D60" s="97">
        <v>7.22</v>
      </c>
      <c r="E60" s="97">
        <v>7.46</v>
      </c>
      <c r="F60" s="97">
        <v>9489.24</v>
      </c>
      <c r="G60" s="97">
        <v>6.5</v>
      </c>
      <c r="H60" s="97">
        <v>3.35</v>
      </c>
      <c r="I60" s="97">
        <v>4.5</v>
      </c>
      <c r="J60" s="97">
        <v>18</v>
      </c>
      <c r="K60" s="97">
        <v>84.481499999999997</v>
      </c>
      <c r="L60" s="88" t="str">
        <f>IFERROR(ROUND(VLOOKUP(A60,'Bond Trades'!$A$25:$D$35,4,0),2),"-")</f>
        <v>-</v>
      </c>
    </row>
    <row r="61" spans="1:15" hidden="1">
      <c r="A61" s="96">
        <v>45625</v>
      </c>
      <c r="B61" s="97">
        <v>6.7430000000000003</v>
      </c>
      <c r="C61" s="97">
        <v>6.68</v>
      </c>
      <c r="D61" s="97">
        <v>7.31</v>
      </c>
      <c r="E61" s="97">
        <v>7.45</v>
      </c>
      <c r="F61" s="97">
        <v>-49611.76</v>
      </c>
      <c r="G61" s="97">
        <v>6.5</v>
      </c>
      <c r="H61" s="97">
        <v>3.35</v>
      </c>
      <c r="I61" s="97">
        <v>4.5</v>
      </c>
      <c r="J61" s="97">
        <v>18</v>
      </c>
      <c r="K61" s="97">
        <v>84.560299999999998</v>
      </c>
      <c r="L61" s="88" t="str">
        <f>IFERROR(ROUND(VLOOKUP(A61,'Bond Trades'!$A$25:$D$35,4,0),2),"-")</f>
        <v>-</v>
      </c>
    </row>
    <row r="62" spans="1:15" hidden="1">
      <c r="A62" s="96">
        <v>45626</v>
      </c>
      <c r="B62" s="97">
        <v>6.7430000000000003</v>
      </c>
      <c r="C62" s="97">
        <v>6.68</v>
      </c>
      <c r="D62" s="97">
        <v>7.31</v>
      </c>
      <c r="E62" s="97">
        <v>7.45</v>
      </c>
      <c r="F62" s="97">
        <v>-53315.76</v>
      </c>
      <c r="G62" s="97">
        <v>6.5</v>
      </c>
      <c r="H62" s="97">
        <v>3.35</v>
      </c>
      <c r="I62" s="97">
        <v>4.5</v>
      </c>
      <c r="J62" s="97">
        <v>18</v>
      </c>
      <c r="K62" s="97">
        <v>84.560299999999998</v>
      </c>
      <c r="L62" s="88" t="str">
        <f>IFERROR(ROUND(VLOOKUP(A62,'Bond Trades'!$A$25:$D$35,4,0),2),"-")</f>
        <v>-</v>
      </c>
    </row>
    <row r="63" spans="1:15" hidden="1">
      <c r="A63" s="96">
        <v>45627</v>
      </c>
      <c r="B63" s="97">
        <v>6.7430000000000003</v>
      </c>
      <c r="C63" s="97">
        <v>6.68</v>
      </c>
      <c r="D63" s="97">
        <v>7.31</v>
      </c>
      <c r="E63" s="97">
        <v>7.45</v>
      </c>
      <c r="F63" s="97">
        <v>-51122.76</v>
      </c>
      <c r="G63" s="97">
        <v>6.5</v>
      </c>
      <c r="H63" s="97">
        <v>3.35</v>
      </c>
      <c r="I63" s="97">
        <v>4.5</v>
      </c>
      <c r="J63" s="97">
        <v>18</v>
      </c>
      <c r="K63" s="97">
        <v>84.560299999999998</v>
      </c>
      <c r="L63" s="88" t="str">
        <f>IFERROR(ROUND(VLOOKUP(A63,'Bond Trades'!$A$25:$D$35,4,0),2),"-")</f>
        <v>-</v>
      </c>
    </row>
    <row r="64" spans="1:15">
      <c r="A64" s="96">
        <v>45628</v>
      </c>
      <c r="B64" s="111">
        <v>6.7089999999999996</v>
      </c>
      <c r="C64" s="111">
        <v>6.633</v>
      </c>
      <c r="D64" s="111">
        <v>7.2</v>
      </c>
      <c r="E64" s="111">
        <v>7.4</v>
      </c>
      <c r="F64" s="111">
        <v>-89450.76</v>
      </c>
      <c r="G64" s="111">
        <v>6.5</v>
      </c>
      <c r="H64" s="111">
        <v>3.35</v>
      </c>
      <c r="I64" s="111">
        <v>4.5</v>
      </c>
      <c r="J64" s="111">
        <v>18</v>
      </c>
      <c r="K64" s="111">
        <v>84.725099999999998</v>
      </c>
      <c r="L64" s="88">
        <f>IFERROR(ROUND(VLOOKUP(A64,'Bond Trades'!$A$25:$D$35,4,0),2),"-")</f>
        <v>8.02</v>
      </c>
      <c r="M64" s="138">
        <f>INDEX('[1]1 Jan 2011- 23 Jan'!$B$5069:$BW$5141,MATCH($A64,'[1]1 Jan 2011- 23 Jan'!$A$5069:$A$5141,0),MATCH(M$1,'[1]1 Jan 2011- 23 Jan'!$B$4:$BW$4,0))</f>
        <v>7.58</v>
      </c>
      <c r="N64" s="138">
        <f>INDEX('[1]1 Jan 2011- 23 Jan'!$B$5069:$BW$5141,MATCH($A64,'[1]1 Jan 2011- 23 Jan'!$A$5069:$A$5141,0),MATCH(N$1,'[1]1 Jan 2011- 23 Jan'!$B$4:$BW$4,0))</f>
        <v>7.55</v>
      </c>
      <c r="O64" s="138">
        <f>INDEX('[1]1 Jan 2011- 23 Jan'!$B$5069:$BW$5141,MATCH($A64,'[1]1 Jan 2011- 23 Jan'!$A$5069:$A$5141,0),MATCH(O$1,'[1]1 Jan 2011- 23 Jan'!$B$4:$BW$4,0))</f>
        <v>7.45</v>
      </c>
    </row>
    <row r="65" spans="1:15">
      <c r="A65" s="96">
        <v>45629</v>
      </c>
      <c r="B65" s="111">
        <v>6.7119999999999997</v>
      </c>
      <c r="C65" s="111">
        <v>6.63</v>
      </c>
      <c r="D65" s="111">
        <v>7.27</v>
      </c>
      <c r="E65" s="111">
        <v>7.44</v>
      </c>
      <c r="F65" s="111">
        <v>-100217.09</v>
      </c>
      <c r="G65" s="111">
        <v>6.5</v>
      </c>
      <c r="H65" s="111">
        <v>3.35</v>
      </c>
      <c r="I65" s="111">
        <v>4.5</v>
      </c>
      <c r="J65" s="111">
        <v>18</v>
      </c>
      <c r="K65" s="111">
        <v>84.69</v>
      </c>
      <c r="L65" s="88">
        <f>IFERROR(ROUND(VLOOKUP(A65,'Bond Trades'!$A$25:$D$35,4,0),2),"-")</f>
        <v>8.02</v>
      </c>
      <c r="M65" s="138">
        <f>INDEX('[1]1 Jan 2011- 23 Jan'!$B$5069:$BW$5141,MATCH($A65,'[1]1 Jan 2011- 23 Jan'!$A$5069:$A$5141,0),MATCH(M$1,'[1]1 Jan 2011- 23 Jan'!$B$4:$BW$4,0))</f>
        <v>7.67</v>
      </c>
      <c r="N65" s="138">
        <f>INDEX('[1]1 Jan 2011- 23 Jan'!$B$5069:$BW$5141,MATCH($A65,'[1]1 Jan 2011- 23 Jan'!$A$5069:$A$5141,0),MATCH(N$1,'[1]1 Jan 2011- 23 Jan'!$B$4:$BW$4,0))</f>
        <v>7.55</v>
      </c>
      <c r="O65" s="138">
        <f>INDEX('[1]1 Jan 2011- 23 Jan'!$B$5069:$BW$5141,MATCH($A65,'[1]1 Jan 2011- 23 Jan'!$A$5069:$A$5141,0),MATCH(O$1,'[1]1 Jan 2011- 23 Jan'!$B$4:$BW$4,0))</f>
        <v>7.38</v>
      </c>
    </row>
    <row r="66" spans="1:15" hidden="1">
      <c r="A66" s="99">
        <v>45630</v>
      </c>
      <c r="B66" s="97">
        <v>6.6849999999999996</v>
      </c>
      <c r="C66" s="97">
        <v>6.62</v>
      </c>
      <c r="D66" s="97">
        <v>7.2</v>
      </c>
      <c r="E66" s="97">
        <v>7.39</v>
      </c>
      <c r="F66" s="97">
        <v>-65905.100000000006</v>
      </c>
      <c r="G66" s="97">
        <v>6.5</v>
      </c>
      <c r="H66" s="97">
        <v>3.35</v>
      </c>
      <c r="I66" s="97">
        <v>4.5</v>
      </c>
      <c r="J66" s="97">
        <v>18</v>
      </c>
      <c r="K66" s="97">
        <v>84.707800000000006</v>
      </c>
      <c r="L66" s="88" t="str">
        <f>IFERROR(ROUND(VLOOKUP(A66,'Bond Trades'!$A$25:$D$35,4,0),2),"-")</f>
        <v>-</v>
      </c>
    </row>
    <row r="67" spans="1:15" hidden="1">
      <c r="A67" s="96">
        <v>45631</v>
      </c>
      <c r="B67" s="97">
        <v>6.68</v>
      </c>
      <c r="C67" s="97">
        <v>6.6150000000000002</v>
      </c>
      <c r="D67" s="97">
        <v>7.18</v>
      </c>
      <c r="E67" s="97">
        <v>7.38</v>
      </c>
      <c r="F67" s="97">
        <v>-42369.97</v>
      </c>
      <c r="G67" s="97">
        <v>6.5</v>
      </c>
      <c r="H67" s="97">
        <v>3.35</v>
      </c>
      <c r="I67" s="97">
        <v>4.5</v>
      </c>
      <c r="J67" s="97">
        <v>18</v>
      </c>
      <c r="K67" s="97">
        <v>84.671700000000001</v>
      </c>
      <c r="L67" s="88" t="str">
        <f>IFERROR(ROUND(VLOOKUP(A67,'Bond Trades'!$A$25:$D$35,4,0),2),"-")</f>
        <v>-</v>
      </c>
    </row>
    <row r="68" spans="1:15" hidden="1">
      <c r="A68" s="96">
        <v>45632</v>
      </c>
      <c r="B68" s="97">
        <v>6.7450000000000001</v>
      </c>
      <c r="C68" s="97">
        <v>6.681</v>
      </c>
      <c r="D68" s="97">
        <v>7.25</v>
      </c>
      <c r="E68" s="97">
        <v>7.42</v>
      </c>
      <c r="F68" s="97">
        <v>-61154.39</v>
      </c>
      <c r="G68" s="97">
        <v>6.5</v>
      </c>
      <c r="H68" s="97">
        <v>3.35</v>
      </c>
      <c r="I68" s="97">
        <v>4.5</v>
      </c>
      <c r="J68" s="97">
        <v>18</v>
      </c>
      <c r="K68" s="97">
        <v>84.669200000000004</v>
      </c>
      <c r="L68" s="88" t="str">
        <f>IFERROR(ROUND(VLOOKUP(A68,'Bond Trades'!$A$25:$D$35,4,0),2),"-")</f>
        <v>-</v>
      </c>
    </row>
    <row r="69" spans="1:15" hidden="1">
      <c r="A69" s="96">
        <v>45633</v>
      </c>
      <c r="B69" s="97">
        <v>6.7450000000000001</v>
      </c>
      <c r="C69" s="97">
        <v>6.681</v>
      </c>
      <c r="D69" s="97">
        <v>7.25</v>
      </c>
      <c r="E69" s="97">
        <v>7.42</v>
      </c>
      <c r="F69" s="97">
        <v>-47300.39</v>
      </c>
      <c r="G69" s="97">
        <v>6.5</v>
      </c>
      <c r="H69" s="97">
        <v>3.35</v>
      </c>
      <c r="I69" s="97">
        <v>4.5</v>
      </c>
      <c r="J69" s="97">
        <v>18</v>
      </c>
      <c r="K69" s="97">
        <v>84.669200000000004</v>
      </c>
      <c r="L69" s="88" t="str">
        <f>IFERROR(ROUND(VLOOKUP(A69,'Bond Trades'!$A$25:$D$35,4,0),2),"-")</f>
        <v>-</v>
      </c>
    </row>
    <row r="70" spans="1:15" hidden="1">
      <c r="A70" s="96">
        <v>45634</v>
      </c>
      <c r="B70" s="97">
        <v>6.7450000000000001</v>
      </c>
      <c r="C70" s="97">
        <v>6.681</v>
      </c>
      <c r="D70" s="97">
        <v>7.25</v>
      </c>
      <c r="E70" s="97">
        <v>7.42</v>
      </c>
      <c r="F70" s="97">
        <v>-43261.39</v>
      </c>
      <c r="G70" s="97">
        <v>6.5</v>
      </c>
      <c r="H70" s="97">
        <v>3.35</v>
      </c>
      <c r="I70" s="97">
        <v>4.5</v>
      </c>
      <c r="J70" s="97">
        <v>18</v>
      </c>
      <c r="K70" s="97">
        <v>84.669200000000004</v>
      </c>
      <c r="L70" s="88" t="str">
        <f>IFERROR(ROUND(VLOOKUP(A70,'Bond Trades'!$A$25:$D$35,4,0),2),"-")</f>
        <v>-</v>
      </c>
    </row>
    <row r="71" spans="1:15" hidden="1">
      <c r="A71" s="96">
        <v>45635</v>
      </c>
      <c r="B71" s="97">
        <v>6.718</v>
      </c>
      <c r="C71" s="97">
        <v>6.6619999999999999</v>
      </c>
      <c r="D71" s="97">
        <v>7.2</v>
      </c>
      <c r="E71" s="97">
        <v>7.42</v>
      </c>
      <c r="F71" s="97">
        <v>-23342.39</v>
      </c>
      <c r="G71" s="97">
        <v>6.5</v>
      </c>
      <c r="H71" s="97">
        <v>3.35</v>
      </c>
      <c r="I71" s="97">
        <v>4.5</v>
      </c>
      <c r="J71" s="97">
        <v>18</v>
      </c>
      <c r="K71" s="97">
        <v>84.840400000000002</v>
      </c>
      <c r="L71" s="88" t="str">
        <f>IFERROR(ROUND(VLOOKUP(A71,'Bond Trades'!$A$25:$D$35,4,0),2),"-")</f>
        <v>-</v>
      </c>
    </row>
    <row r="72" spans="1:15" hidden="1">
      <c r="A72" s="96">
        <v>45636</v>
      </c>
      <c r="B72" s="97">
        <v>6.7069999999999999</v>
      </c>
      <c r="C72" s="97">
        <v>6.6390000000000002</v>
      </c>
      <c r="D72" s="97">
        <v>7.22</v>
      </c>
      <c r="E72" s="97">
        <v>7.38</v>
      </c>
      <c r="F72" s="97">
        <v>-35667.39</v>
      </c>
      <c r="G72" s="97">
        <v>6.5</v>
      </c>
      <c r="H72" s="97">
        <v>3.35</v>
      </c>
      <c r="I72" s="97">
        <v>4.5</v>
      </c>
      <c r="J72" s="97">
        <v>18</v>
      </c>
      <c r="K72" s="97">
        <v>84.873099999999994</v>
      </c>
      <c r="L72" s="88" t="str">
        <f>IFERROR(ROUND(VLOOKUP(A72,'Bond Trades'!$A$25:$D$35,4,0),2),"-")</f>
        <v>-</v>
      </c>
    </row>
    <row r="73" spans="1:15">
      <c r="A73" s="96">
        <v>45637</v>
      </c>
      <c r="B73" s="111">
        <v>6.7169999999999996</v>
      </c>
      <c r="C73" s="111">
        <v>6.6539999999999999</v>
      </c>
      <c r="D73" s="111">
        <v>7.23</v>
      </c>
      <c r="E73" s="111">
        <v>7.41</v>
      </c>
      <c r="F73" s="111">
        <v>-47129.39</v>
      </c>
      <c r="G73" s="111">
        <v>6.5</v>
      </c>
      <c r="H73" s="111">
        <v>3.35</v>
      </c>
      <c r="I73" s="111">
        <v>4.5</v>
      </c>
      <c r="J73" s="111">
        <v>18</v>
      </c>
      <c r="K73" s="111">
        <v>84.820099999999996</v>
      </c>
      <c r="L73" s="88">
        <f>IFERROR(ROUND(VLOOKUP(A73,'Bond Trades'!$A$25:$D$35,4,0),2),"-")</f>
        <v>8</v>
      </c>
      <c r="M73" s="138">
        <f>INDEX('[1]1 Jan 2011- 23 Jan'!$B$5069:$BW$5141,MATCH($A73,'[1]1 Jan 2011- 23 Jan'!$A$5069:$A$5141,0),MATCH(M$1,'[1]1 Jan 2011- 23 Jan'!$B$4:$BW$4,0))</f>
        <v>7.71</v>
      </c>
      <c r="N73" s="138">
        <f>INDEX('[1]1 Jan 2011- 23 Jan'!$B$5069:$BW$5141,MATCH($A73,'[1]1 Jan 2011- 23 Jan'!$A$5069:$A$5141,0),MATCH(N$1,'[1]1 Jan 2011- 23 Jan'!$B$4:$BW$4,0))</f>
        <v>7.56</v>
      </c>
      <c r="O73" s="138">
        <f>INDEX('[1]1 Jan 2011- 23 Jan'!$B$5069:$BW$5141,MATCH($A73,'[1]1 Jan 2011- 23 Jan'!$A$5069:$A$5141,0),MATCH(O$1,'[1]1 Jan 2011- 23 Jan'!$B$4:$BW$4,0))</f>
        <v>7.38</v>
      </c>
    </row>
    <row r="74" spans="1:15" hidden="1">
      <c r="A74" s="96">
        <v>45638</v>
      </c>
      <c r="B74" s="97">
        <v>6.74</v>
      </c>
      <c r="C74" s="97">
        <v>6.6630000000000003</v>
      </c>
      <c r="D74" s="97">
        <v>7.2</v>
      </c>
      <c r="E74" s="97">
        <v>7.39</v>
      </c>
      <c r="F74" s="97">
        <v>-64311.39</v>
      </c>
      <c r="G74" s="97">
        <v>6.5</v>
      </c>
      <c r="H74" s="97">
        <v>3.35</v>
      </c>
      <c r="I74" s="97">
        <v>4.5</v>
      </c>
      <c r="J74" s="97">
        <v>18</v>
      </c>
      <c r="K74" s="97">
        <v>84.828999999999994</v>
      </c>
      <c r="L74" s="88" t="str">
        <f>IFERROR(ROUND(VLOOKUP(A74,'Bond Trades'!$A$25:$D$35,4,0),2),"-")</f>
        <v>-</v>
      </c>
    </row>
    <row r="75" spans="1:15" hidden="1">
      <c r="A75" s="96">
        <v>45639</v>
      </c>
      <c r="B75" s="97">
        <v>6.7279999999999998</v>
      </c>
      <c r="C75" s="97">
        <v>6.657</v>
      </c>
      <c r="D75" s="97">
        <v>7.21</v>
      </c>
      <c r="E75" s="97">
        <v>7.43</v>
      </c>
      <c r="F75" s="97">
        <v>-23283.39</v>
      </c>
      <c r="G75" s="97">
        <v>6.5</v>
      </c>
      <c r="H75" s="97">
        <v>3.35</v>
      </c>
      <c r="I75" s="97">
        <v>4.5</v>
      </c>
      <c r="J75" s="97">
        <v>18</v>
      </c>
      <c r="K75" s="97">
        <v>84.816000000000003</v>
      </c>
      <c r="L75" s="88" t="str">
        <f>IFERROR(ROUND(VLOOKUP(A75,'Bond Trades'!$A$25:$D$35,4,0),2),"-")</f>
        <v>-</v>
      </c>
    </row>
    <row r="76" spans="1:15" hidden="1">
      <c r="A76" s="96">
        <v>45640</v>
      </c>
      <c r="B76" s="97">
        <v>6.7279999999999998</v>
      </c>
      <c r="C76" s="97">
        <v>6.657</v>
      </c>
      <c r="D76" s="97">
        <v>7.21</v>
      </c>
      <c r="E76" s="97">
        <v>7.43</v>
      </c>
      <c r="F76" s="97">
        <v>-18328.39</v>
      </c>
      <c r="G76" s="97">
        <v>6.5</v>
      </c>
      <c r="H76" s="97">
        <v>3.35</v>
      </c>
      <c r="I76" s="97">
        <v>4.5</v>
      </c>
      <c r="J76" s="97">
        <v>18</v>
      </c>
      <c r="K76" s="97">
        <v>84.816000000000003</v>
      </c>
      <c r="L76" s="88" t="str">
        <f>IFERROR(ROUND(VLOOKUP(A76,'Bond Trades'!$A$25:$D$35,4,0),2),"-")</f>
        <v>-</v>
      </c>
    </row>
    <row r="77" spans="1:15" hidden="1">
      <c r="A77" s="96">
        <v>45641</v>
      </c>
      <c r="B77" s="97">
        <v>6.7279999999999998</v>
      </c>
      <c r="C77" s="97">
        <v>6.657</v>
      </c>
      <c r="D77" s="97">
        <v>7.21</v>
      </c>
      <c r="E77" s="97">
        <v>7.43</v>
      </c>
      <c r="F77" s="97">
        <v>-33533.39</v>
      </c>
      <c r="G77" s="97">
        <v>6.5</v>
      </c>
      <c r="H77" s="97">
        <v>3.35</v>
      </c>
      <c r="I77" s="97">
        <v>4.5</v>
      </c>
      <c r="J77" s="97">
        <v>18</v>
      </c>
      <c r="K77" s="97">
        <v>84.816000000000003</v>
      </c>
      <c r="L77" s="88" t="str">
        <f>IFERROR(ROUND(VLOOKUP(A77,'Bond Trades'!$A$25:$D$35,4,0),2),"-")</f>
        <v>-</v>
      </c>
    </row>
    <row r="78" spans="1:15" hidden="1">
      <c r="A78" s="96">
        <v>45642</v>
      </c>
      <c r="B78" s="97">
        <v>6.7430000000000003</v>
      </c>
      <c r="C78" s="97">
        <v>6.6680000000000001</v>
      </c>
      <c r="D78" s="97">
        <v>7.21</v>
      </c>
      <c r="E78" s="97">
        <v>7.44</v>
      </c>
      <c r="F78" s="97">
        <v>110200.61</v>
      </c>
      <c r="G78" s="97">
        <v>6.5</v>
      </c>
      <c r="H78" s="97">
        <v>3.35</v>
      </c>
      <c r="I78" s="97">
        <v>4.25</v>
      </c>
      <c r="J78" s="97">
        <v>18</v>
      </c>
      <c r="K78" s="97">
        <v>84.875</v>
      </c>
      <c r="L78" s="88" t="str">
        <f>IFERROR(ROUND(VLOOKUP(A78,'Bond Trades'!$A$25:$D$35,4,0),2),"-")</f>
        <v>-</v>
      </c>
    </row>
    <row r="79" spans="1:15" hidden="1">
      <c r="A79" s="96">
        <v>45643</v>
      </c>
      <c r="B79" s="97">
        <v>6.7590000000000003</v>
      </c>
      <c r="C79" s="97">
        <v>6.6820000000000004</v>
      </c>
      <c r="D79" s="97">
        <v>7.21</v>
      </c>
      <c r="E79" s="97">
        <v>7.44</v>
      </c>
      <c r="F79" s="97">
        <v>145033.60999999999</v>
      </c>
      <c r="G79" s="97">
        <v>6.5</v>
      </c>
      <c r="H79" s="97">
        <v>3.35</v>
      </c>
      <c r="I79" s="97">
        <v>4.25</v>
      </c>
      <c r="J79" s="97">
        <v>18</v>
      </c>
      <c r="K79" s="97">
        <v>84.907499999999999</v>
      </c>
      <c r="L79" s="88" t="str">
        <f>IFERROR(ROUND(VLOOKUP(A79,'Bond Trades'!$A$25:$D$35,4,0),2),"-")</f>
        <v>-</v>
      </c>
    </row>
    <row r="80" spans="1:15">
      <c r="A80" s="96">
        <v>45644</v>
      </c>
      <c r="B80" s="111">
        <v>6.7460000000000004</v>
      </c>
      <c r="C80" s="111">
        <v>6.6829999999999998</v>
      </c>
      <c r="D80" s="111">
        <v>7.21</v>
      </c>
      <c r="E80" s="111">
        <v>7.44</v>
      </c>
      <c r="F80" s="111">
        <v>150792.17000000001</v>
      </c>
      <c r="G80" s="111">
        <v>6.5</v>
      </c>
      <c r="H80" s="111">
        <v>3.35</v>
      </c>
      <c r="I80" s="111">
        <v>4.25</v>
      </c>
      <c r="J80" s="111">
        <v>18</v>
      </c>
      <c r="K80" s="111">
        <v>85.096299999999999</v>
      </c>
      <c r="L80" s="88">
        <f>IFERROR(ROUND(VLOOKUP(A80,'Bond Trades'!$A$25:$D$35,4,0),2),"-")</f>
        <v>7.96</v>
      </c>
      <c r="M80" s="138">
        <f>INDEX('[1]1 Jan 2011- 23 Jan'!$B$5069:$BW$5141,MATCH($A80,'[1]1 Jan 2011- 23 Jan'!$A$5069:$A$5141,0),MATCH(M$1,'[1]1 Jan 2011- 23 Jan'!$B$4:$BW$4,0))</f>
        <v>7.74</v>
      </c>
      <c r="N80" s="138">
        <f>INDEX('[1]1 Jan 2011- 23 Jan'!$B$5069:$BW$5141,MATCH($A80,'[1]1 Jan 2011- 23 Jan'!$A$5069:$A$5141,0),MATCH(N$1,'[1]1 Jan 2011- 23 Jan'!$B$4:$BW$4,0))</f>
        <v>7.75</v>
      </c>
      <c r="O80" s="138">
        <f>INDEX('[1]1 Jan 2011- 23 Jan'!$B$5069:$BW$5141,MATCH($A80,'[1]1 Jan 2011- 23 Jan'!$A$5069:$A$5141,0),MATCH(O$1,'[1]1 Jan 2011- 23 Jan'!$B$4:$BW$4,0))</f>
        <v>7.47</v>
      </c>
    </row>
    <row r="81" spans="1:15" hidden="1">
      <c r="A81" s="96">
        <v>45645</v>
      </c>
      <c r="B81" s="97">
        <v>6.7859999999999996</v>
      </c>
      <c r="C81" s="97">
        <v>6.734</v>
      </c>
      <c r="D81" s="97">
        <v>7.24</v>
      </c>
      <c r="E81" s="97">
        <v>7.46</v>
      </c>
      <c r="F81" s="97">
        <v>162376.54999999999</v>
      </c>
      <c r="G81" s="97">
        <v>6.5</v>
      </c>
      <c r="H81" s="97">
        <v>3.35</v>
      </c>
      <c r="I81" s="97">
        <v>4.25</v>
      </c>
      <c r="J81" s="97">
        <v>18</v>
      </c>
      <c r="K81" s="97">
        <v>85.105500000000006</v>
      </c>
      <c r="L81" s="88" t="str">
        <f>IFERROR(ROUND(VLOOKUP(A81,'Bond Trades'!$A$25:$D$35,4,0),2),"-")</f>
        <v>-</v>
      </c>
    </row>
    <row r="82" spans="1:15" hidden="1">
      <c r="A82" s="96">
        <v>45646</v>
      </c>
      <c r="B82" s="97">
        <v>6.7889999999999997</v>
      </c>
      <c r="C82" s="97">
        <v>6.7350000000000003</v>
      </c>
      <c r="D82" s="97">
        <v>7.24</v>
      </c>
      <c r="E82" s="97">
        <v>7.46</v>
      </c>
      <c r="F82" s="97">
        <v>175991.41</v>
      </c>
      <c r="G82" s="97">
        <v>6.5</v>
      </c>
      <c r="H82" s="97">
        <v>3.35</v>
      </c>
      <c r="I82" s="97">
        <v>4.25</v>
      </c>
      <c r="J82" s="97">
        <v>18</v>
      </c>
      <c r="K82" s="97">
        <v>84.978499999999997</v>
      </c>
      <c r="L82" s="88" t="str">
        <f>IFERROR(ROUND(VLOOKUP(A82,'Bond Trades'!$A$25:$D$35,4,0),2),"-")</f>
        <v>-</v>
      </c>
    </row>
    <row r="83" spans="1:15" hidden="1">
      <c r="A83" s="96">
        <v>45647</v>
      </c>
      <c r="B83" s="97">
        <v>6.7889999999999997</v>
      </c>
      <c r="C83" s="97">
        <v>6.7350000000000003</v>
      </c>
      <c r="D83" s="97">
        <v>7.24</v>
      </c>
      <c r="E83" s="97">
        <v>7.46</v>
      </c>
      <c r="F83" s="97">
        <v>190757.41</v>
      </c>
      <c r="G83" s="97">
        <v>6.5</v>
      </c>
      <c r="H83" s="97">
        <v>3.35</v>
      </c>
      <c r="I83" s="97">
        <v>4.25</v>
      </c>
      <c r="J83" s="97">
        <v>18</v>
      </c>
      <c r="K83" s="97">
        <v>84.978499999999997</v>
      </c>
      <c r="L83" s="88" t="str">
        <f>IFERROR(ROUND(VLOOKUP(A83,'Bond Trades'!$A$25:$D$35,4,0),2),"-")</f>
        <v>-</v>
      </c>
    </row>
    <row r="84" spans="1:15" hidden="1">
      <c r="A84" s="96">
        <v>45648</v>
      </c>
      <c r="B84" s="97">
        <v>6.7889999999999997</v>
      </c>
      <c r="C84" s="97">
        <v>6.7350000000000003</v>
      </c>
      <c r="D84" s="97">
        <v>7.24</v>
      </c>
      <c r="E84" s="97">
        <v>7.46</v>
      </c>
      <c r="F84" s="97">
        <v>187525.41</v>
      </c>
      <c r="G84" s="97">
        <v>6.5</v>
      </c>
      <c r="H84" s="97">
        <v>3.35</v>
      </c>
      <c r="I84" s="97">
        <v>4.25</v>
      </c>
      <c r="J84" s="97">
        <v>18</v>
      </c>
      <c r="K84" s="97">
        <v>84.978499999999997</v>
      </c>
      <c r="L84" s="88" t="str">
        <f>IFERROR(ROUND(VLOOKUP(A84,'Bond Trades'!$A$25:$D$35,4,0),2),"-")</f>
        <v>-</v>
      </c>
    </row>
    <row r="85" spans="1:15" hidden="1">
      <c r="A85" s="96">
        <v>45649</v>
      </c>
      <c r="B85" s="97">
        <v>6.774</v>
      </c>
      <c r="C85" s="97">
        <v>6.7240000000000002</v>
      </c>
      <c r="D85" s="97">
        <v>7.22</v>
      </c>
      <c r="E85" s="97">
        <v>7.48</v>
      </c>
      <c r="F85" s="97">
        <v>242738.41</v>
      </c>
      <c r="G85" s="97">
        <v>6.5</v>
      </c>
      <c r="H85" s="97">
        <v>3.35</v>
      </c>
      <c r="I85" s="97">
        <v>4.25</v>
      </c>
      <c r="J85" s="97">
        <v>18</v>
      </c>
      <c r="K85" s="97">
        <v>85.097999999999999</v>
      </c>
      <c r="L85" s="88" t="str">
        <f>IFERROR(ROUND(VLOOKUP(A85,'Bond Trades'!$A$25:$D$35,4,0),2),"-")</f>
        <v>-</v>
      </c>
    </row>
    <row r="86" spans="1:15" hidden="1">
      <c r="A86" s="96">
        <v>45650</v>
      </c>
      <c r="B86" s="97">
        <v>6.7750000000000004</v>
      </c>
      <c r="C86" s="97">
        <v>6.7290000000000001</v>
      </c>
      <c r="D86" s="97">
        <v>7.24</v>
      </c>
      <c r="E86" s="97">
        <v>7.46</v>
      </c>
      <c r="F86" s="97">
        <v>204680.41</v>
      </c>
      <c r="G86" s="97">
        <v>6.5</v>
      </c>
      <c r="H86" s="97">
        <v>3.35</v>
      </c>
      <c r="I86" s="97">
        <v>4.25</v>
      </c>
      <c r="J86" s="97">
        <v>18</v>
      </c>
      <c r="K86" s="97">
        <v>85.150999999999996</v>
      </c>
      <c r="L86" s="88" t="str">
        <f>IFERROR(ROUND(VLOOKUP(A86,'Bond Trades'!$A$25:$D$35,4,0),2),"-")</f>
        <v>-</v>
      </c>
    </row>
    <row r="87" spans="1:15" hidden="1">
      <c r="A87" s="96">
        <v>45651</v>
      </c>
      <c r="B87" s="97">
        <v>6.7750000000000004</v>
      </c>
      <c r="C87" s="97">
        <v>6.7290000000000001</v>
      </c>
      <c r="D87" s="97">
        <v>7.24</v>
      </c>
      <c r="E87" s="97">
        <v>7.46</v>
      </c>
      <c r="F87" s="97">
        <v>212078.41</v>
      </c>
      <c r="G87" s="97">
        <v>6.5</v>
      </c>
      <c r="H87" s="97">
        <v>3.35</v>
      </c>
      <c r="I87" s="97">
        <v>4.25</v>
      </c>
      <c r="J87" s="97">
        <v>18</v>
      </c>
      <c r="K87" s="97">
        <v>85.177499999999995</v>
      </c>
      <c r="L87" s="88" t="str">
        <f>IFERROR(ROUND(VLOOKUP(A87,'Bond Trades'!$A$25:$D$35,4,0),2),"-")</f>
        <v>-</v>
      </c>
    </row>
    <row r="88" spans="1:15">
      <c r="A88" s="96">
        <v>45652</v>
      </c>
      <c r="B88" s="111">
        <v>6.782</v>
      </c>
      <c r="C88" s="111">
        <v>6.734</v>
      </c>
      <c r="D88" s="111">
        <v>7.22</v>
      </c>
      <c r="E88" s="111">
        <v>7.48</v>
      </c>
      <c r="F88" s="111">
        <v>189231.41</v>
      </c>
      <c r="G88" s="111">
        <v>6.5</v>
      </c>
      <c r="H88" s="111">
        <v>3.35</v>
      </c>
      <c r="I88" s="111">
        <v>4.25</v>
      </c>
      <c r="J88" s="111">
        <v>18</v>
      </c>
      <c r="K88" s="111">
        <v>85.276200000000003</v>
      </c>
      <c r="L88" s="88">
        <f>IFERROR(ROUND(VLOOKUP(A88,'Bond Trades'!$A$25:$D$35,4,0),2),"-")</f>
        <v>7.92</v>
      </c>
      <c r="M88" s="138">
        <f>INDEX('[1]1 Jan 2011- 23 Jan'!$B$5069:$BW$5141,MATCH($A88,'[1]1 Jan 2011- 23 Jan'!$A$5069:$A$5141,0),MATCH(M$1,'[1]1 Jan 2011- 23 Jan'!$B$4:$BW$4,0))</f>
        <v>7.78</v>
      </c>
      <c r="N88" s="138">
        <f>INDEX('[1]1 Jan 2011- 23 Jan'!$B$5069:$BW$5141,MATCH($A88,'[1]1 Jan 2011- 23 Jan'!$A$5069:$A$5141,0),MATCH(N$1,'[1]1 Jan 2011- 23 Jan'!$B$4:$BW$4,0))</f>
        <v>7.76</v>
      </c>
      <c r="O88" s="138">
        <f>INDEX('[1]1 Jan 2011- 23 Jan'!$B$5069:$BW$5141,MATCH($A88,'[1]1 Jan 2011- 23 Jan'!$A$5069:$A$5141,0),MATCH(O$1,'[1]1 Jan 2011- 23 Jan'!$B$4:$BW$4,0))</f>
        <v>7.49</v>
      </c>
    </row>
    <row r="89" spans="1:15">
      <c r="A89" s="96">
        <v>45653</v>
      </c>
      <c r="B89" s="111">
        <v>6.7850000000000001</v>
      </c>
      <c r="C89" s="111">
        <v>6.7460000000000004</v>
      </c>
      <c r="D89" s="111">
        <v>7.22</v>
      </c>
      <c r="E89" s="111">
        <v>7.48</v>
      </c>
      <c r="F89" s="111">
        <v>191247.41</v>
      </c>
      <c r="G89" s="111">
        <v>6.5</v>
      </c>
      <c r="H89" s="111">
        <v>3.35</v>
      </c>
      <c r="I89" s="111">
        <v>4.25</v>
      </c>
      <c r="J89" s="111">
        <v>18</v>
      </c>
      <c r="K89" s="111">
        <v>85.365499999999997</v>
      </c>
      <c r="L89" s="88">
        <f>IFERROR(ROUND(VLOOKUP(A89,'Bond Trades'!$A$25:$D$35,4,0),2),"-")</f>
        <v>7.88</v>
      </c>
      <c r="M89" s="138">
        <f>INDEX('[1]1 Jan 2011- 23 Jan'!$B$5069:$BW$5141,MATCH($A89,'[1]1 Jan 2011- 23 Jan'!$A$5069:$A$5141,0),MATCH(M$1,'[1]1 Jan 2011- 23 Jan'!$B$4:$BW$4,0))</f>
        <v>7.78</v>
      </c>
      <c r="N89" s="138">
        <f>INDEX('[1]1 Jan 2011- 23 Jan'!$B$5069:$BW$5141,MATCH($A89,'[1]1 Jan 2011- 23 Jan'!$A$5069:$A$5141,0),MATCH(N$1,'[1]1 Jan 2011- 23 Jan'!$B$4:$BW$4,0))</f>
        <v>7.78</v>
      </c>
      <c r="O89" s="138">
        <f>INDEX('[1]1 Jan 2011- 23 Jan'!$B$5069:$BW$5141,MATCH($A89,'[1]1 Jan 2011- 23 Jan'!$A$5069:$A$5141,0),MATCH(O$1,'[1]1 Jan 2011- 23 Jan'!$B$4:$BW$4,0))</f>
        <v>7.49</v>
      </c>
    </row>
    <row r="90" spans="1:15" hidden="1">
      <c r="A90" s="96">
        <v>45654</v>
      </c>
      <c r="B90" s="97">
        <v>6.7850000000000001</v>
      </c>
      <c r="C90" s="97">
        <v>6.7460000000000004</v>
      </c>
      <c r="D90" s="97">
        <v>7.22</v>
      </c>
      <c r="E90" s="97">
        <v>7.48</v>
      </c>
      <c r="F90" s="97">
        <v>185299.41</v>
      </c>
      <c r="G90" s="97">
        <v>6.5</v>
      </c>
      <c r="H90" s="97">
        <v>3.35</v>
      </c>
      <c r="I90" s="97">
        <v>4.25</v>
      </c>
      <c r="J90" s="97">
        <v>18</v>
      </c>
      <c r="K90" s="97">
        <v>85.365499999999997</v>
      </c>
      <c r="L90" s="88" t="str">
        <f>IFERROR(ROUND(VLOOKUP(A90,'Bond Trades'!$A$25:$D$35,4,0),2),"-")</f>
        <v>-</v>
      </c>
    </row>
    <row r="91" spans="1:15" hidden="1">
      <c r="A91" s="96">
        <v>45655</v>
      </c>
      <c r="B91" s="97">
        <v>6.7850000000000001</v>
      </c>
      <c r="C91" s="97">
        <v>6.7460000000000004</v>
      </c>
      <c r="D91" s="97">
        <v>7.22</v>
      </c>
      <c r="E91" s="97">
        <v>7.48</v>
      </c>
      <c r="F91" s="97">
        <v>182933.41</v>
      </c>
      <c r="G91" s="97">
        <v>6.5</v>
      </c>
      <c r="H91" s="97">
        <v>3.35</v>
      </c>
      <c r="I91" s="97">
        <v>4.25</v>
      </c>
      <c r="J91" s="97">
        <v>18</v>
      </c>
      <c r="K91" s="97">
        <v>85.365499999999997</v>
      </c>
      <c r="L91" s="88" t="str">
        <f>IFERROR(ROUND(VLOOKUP(A91,'Bond Trades'!$A$25:$D$35,4,0),2),"-")</f>
        <v>-</v>
      </c>
    </row>
    <row r="92" spans="1:15" hidden="1">
      <c r="A92" s="96">
        <v>45656</v>
      </c>
      <c r="B92" s="97">
        <v>6.7729999999999997</v>
      </c>
      <c r="C92" s="97">
        <v>6.7380000000000004</v>
      </c>
      <c r="D92" s="97">
        <v>7.22</v>
      </c>
      <c r="E92" s="97">
        <v>7.48</v>
      </c>
      <c r="F92" s="97">
        <v>205739.41</v>
      </c>
      <c r="G92" s="97">
        <v>6.5</v>
      </c>
      <c r="H92" s="97">
        <v>3.35</v>
      </c>
      <c r="I92" s="97">
        <v>4</v>
      </c>
      <c r="J92" s="97">
        <v>18</v>
      </c>
      <c r="K92" s="97">
        <v>85.546999999999997</v>
      </c>
      <c r="L92" s="88" t="str">
        <f>IFERROR(ROUND(VLOOKUP(A92,'Bond Trades'!$A$25:$D$35,4,0),2),"-")</f>
        <v>-</v>
      </c>
    </row>
    <row r="93" spans="1:15" hidden="1">
      <c r="A93" s="96">
        <v>45657</v>
      </c>
      <c r="B93" s="97">
        <v>6.76</v>
      </c>
      <c r="C93" s="97">
        <v>6.7240000000000002</v>
      </c>
      <c r="D93" s="97">
        <v>7.2</v>
      </c>
      <c r="E93" s="97">
        <v>7.48</v>
      </c>
      <c r="F93" s="97">
        <v>132318.41</v>
      </c>
      <c r="G93" s="97">
        <v>6.5</v>
      </c>
      <c r="H93" s="97">
        <v>3.35</v>
      </c>
      <c r="I93" s="97">
        <v>4</v>
      </c>
      <c r="J93" s="97">
        <v>18</v>
      </c>
      <c r="K93" s="97">
        <v>85.601100000000002</v>
      </c>
      <c r="L93" s="88" t="str">
        <f>IFERROR(ROUND(VLOOKUP(A93,'Bond Trades'!$A$25:$D$35,4,0),2),"-")</f>
        <v>-</v>
      </c>
    </row>
    <row r="94" spans="1:15">
      <c r="A94" s="96">
        <v>45658</v>
      </c>
      <c r="B94" s="111">
        <v>6.7809999999999997</v>
      </c>
      <c r="C94" s="111">
        <v>6.7270000000000003</v>
      </c>
      <c r="D94" s="111">
        <v>7.25</v>
      </c>
      <c r="E94" s="111">
        <v>7.48</v>
      </c>
      <c r="F94" s="111">
        <v>104974.41</v>
      </c>
      <c r="G94" s="111">
        <v>6.5</v>
      </c>
      <c r="H94" s="111">
        <v>3.35</v>
      </c>
      <c r="I94" s="111">
        <v>4</v>
      </c>
      <c r="J94" s="111">
        <v>18</v>
      </c>
      <c r="K94" s="111">
        <v>85.596999999999994</v>
      </c>
      <c r="L94" s="88">
        <f>IFERROR(ROUND(VLOOKUP(A94,'Bond Trades'!$A$25:$D$35,4,0),2),"-")</f>
        <v>8.01</v>
      </c>
      <c r="M94" s="138">
        <f>INDEX('[1]1 Jan 2011- 23 Jan'!$B$5069:$BW$5141,MATCH($A94,'[1]1 Jan 2011- 23 Jan'!$A$5069:$A$5141,0),MATCH(M$1,'[1]1 Jan 2011- 23 Jan'!$B$4:$BW$4,0))</f>
        <v>7.63</v>
      </c>
      <c r="N94" s="138">
        <f>INDEX('[1]1 Jan 2011- 23 Jan'!$B$5069:$BW$5141,MATCH($A94,'[1]1 Jan 2011- 23 Jan'!$A$5069:$A$5141,0),MATCH(N$1,'[1]1 Jan 2011- 23 Jan'!$B$4:$BW$4,0))</f>
        <v>7.6</v>
      </c>
      <c r="O94" s="138">
        <f>INDEX('[1]1 Jan 2011- 23 Jan'!$B$5069:$BW$5141,MATCH($A94,'[1]1 Jan 2011- 23 Jan'!$A$5069:$A$5141,0),MATCH(O$1,'[1]1 Jan 2011- 23 Jan'!$B$4:$BW$4,0))</f>
        <v>7.39</v>
      </c>
    </row>
    <row r="95" spans="1:15" hidden="1">
      <c r="A95" s="96">
        <v>45659</v>
      </c>
      <c r="B95" s="97">
        <v>6.7889999999999997</v>
      </c>
      <c r="C95" s="97">
        <v>6.7290000000000001</v>
      </c>
      <c r="D95" s="97">
        <v>7.23</v>
      </c>
      <c r="E95" s="97">
        <v>7.48</v>
      </c>
      <c r="F95" s="97">
        <v>67444.58</v>
      </c>
      <c r="G95" s="97">
        <v>6.5</v>
      </c>
      <c r="H95" s="97">
        <v>3.35</v>
      </c>
      <c r="I95" s="97">
        <v>4</v>
      </c>
      <c r="J95" s="97">
        <v>18</v>
      </c>
      <c r="K95" s="97">
        <v>85.793000000000006</v>
      </c>
      <c r="L95" s="88" t="str">
        <f>IFERROR(ROUND(VLOOKUP(A95,'Bond Trades'!$A$25:$D$35,4,0),2),"-")</f>
        <v>-</v>
      </c>
    </row>
    <row r="96" spans="1:15" hidden="1">
      <c r="A96" s="96">
        <v>45660</v>
      </c>
      <c r="B96" s="97">
        <v>6.7779999999999996</v>
      </c>
      <c r="C96" s="97">
        <v>6.7210000000000001</v>
      </c>
      <c r="D96" s="97">
        <v>7.22</v>
      </c>
      <c r="E96" s="97">
        <v>7.48</v>
      </c>
      <c r="F96" s="97">
        <v>38613.58</v>
      </c>
      <c r="G96" s="97">
        <v>6.5</v>
      </c>
      <c r="H96" s="97">
        <v>3.35</v>
      </c>
      <c r="I96" s="97">
        <v>4</v>
      </c>
      <c r="J96" s="97">
        <v>18</v>
      </c>
      <c r="K96" s="97">
        <v>85.766400000000004</v>
      </c>
      <c r="L96" s="88" t="str">
        <f>IFERROR(ROUND(VLOOKUP(A96,'Bond Trades'!$A$25:$D$35,4,0),2),"-")</f>
        <v>-</v>
      </c>
    </row>
    <row r="97" spans="1:15" hidden="1">
      <c r="A97" s="96">
        <v>45661</v>
      </c>
      <c r="B97" s="97">
        <v>6.7779999999999996</v>
      </c>
      <c r="C97" s="97">
        <v>6.7210000000000001</v>
      </c>
      <c r="D97" s="97">
        <v>7.22</v>
      </c>
      <c r="E97" s="97">
        <v>7.48</v>
      </c>
      <c r="F97" s="97">
        <v>40110.58</v>
      </c>
      <c r="G97" s="97">
        <v>6.5</v>
      </c>
      <c r="H97" s="97">
        <v>3.35</v>
      </c>
      <c r="I97" s="97">
        <v>4</v>
      </c>
      <c r="J97" s="97">
        <v>18</v>
      </c>
      <c r="K97" s="97">
        <v>85.766400000000004</v>
      </c>
      <c r="L97" s="88" t="str">
        <f>IFERROR(ROUND(VLOOKUP(A97,'Bond Trades'!$A$25:$D$35,4,0),2),"-")</f>
        <v>-</v>
      </c>
    </row>
    <row r="98" spans="1:15" hidden="1">
      <c r="A98" s="96">
        <v>45662</v>
      </c>
      <c r="B98" s="97">
        <v>6.7779999999999996</v>
      </c>
      <c r="C98" s="97">
        <v>6.7210000000000001</v>
      </c>
      <c r="D98" s="97">
        <v>7.22</v>
      </c>
      <c r="E98" s="97">
        <v>7.48</v>
      </c>
      <c r="F98" s="97">
        <v>28957.58</v>
      </c>
      <c r="G98" s="97">
        <v>6.5</v>
      </c>
      <c r="H98" s="97">
        <v>3.35</v>
      </c>
      <c r="I98" s="97">
        <v>4</v>
      </c>
      <c r="J98" s="97">
        <v>18</v>
      </c>
      <c r="K98" s="97">
        <v>85.766400000000004</v>
      </c>
      <c r="L98" s="88" t="str">
        <f>IFERROR(ROUND(VLOOKUP(A98,'Bond Trades'!$A$25:$D$35,4,0),2),"-")</f>
        <v>-</v>
      </c>
    </row>
    <row r="99" spans="1:15" hidden="1">
      <c r="A99" s="96">
        <v>45663</v>
      </c>
      <c r="B99" s="97">
        <v>6.7480000000000002</v>
      </c>
      <c r="C99" s="97">
        <v>6.6950000000000003</v>
      </c>
      <c r="D99" s="97">
        <v>7.25</v>
      </c>
      <c r="E99" s="97">
        <v>7.47</v>
      </c>
      <c r="F99" s="97">
        <v>97825.58</v>
      </c>
      <c r="G99" s="97">
        <v>6.5</v>
      </c>
      <c r="H99" s="97">
        <v>3.35</v>
      </c>
      <c r="I99" s="97">
        <v>4</v>
      </c>
      <c r="J99" s="97">
        <v>18</v>
      </c>
      <c r="K99" s="97">
        <v>85.735500000000002</v>
      </c>
      <c r="L99" s="88" t="str">
        <f>IFERROR(ROUND(VLOOKUP(A99,'Bond Trades'!$A$25:$D$35,4,0),2),"-")</f>
        <v>-</v>
      </c>
    </row>
    <row r="100" spans="1:15">
      <c r="A100" s="96">
        <v>45664</v>
      </c>
      <c r="B100" s="111">
        <v>6.7480000000000002</v>
      </c>
      <c r="C100" s="111">
        <v>6.6879999999999997</v>
      </c>
      <c r="D100" s="111">
        <v>7.22</v>
      </c>
      <c r="E100" s="111">
        <v>7.45</v>
      </c>
      <c r="F100" s="111">
        <v>144349.54</v>
      </c>
      <c r="G100" s="111">
        <v>6.5</v>
      </c>
      <c r="H100" s="111">
        <v>3.35</v>
      </c>
      <c r="I100" s="111">
        <v>4</v>
      </c>
      <c r="J100" s="111">
        <v>18</v>
      </c>
      <c r="K100" s="111">
        <v>85.774000000000001</v>
      </c>
      <c r="L100" s="88">
        <f>IFERROR(ROUND(VLOOKUP(A100,'Bond Trades'!$A$25:$D$35,4,0),2),"-")</f>
        <v>7.98</v>
      </c>
      <c r="M100" s="138">
        <f>INDEX('[1]1 Jan 2011- 23 Jan'!$B$5069:$BW$5141,MATCH($A100,'[1]1 Jan 2011- 23 Jan'!$A$5069:$A$5141,0),MATCH(M$1,'[1]1 Jan 2011- 23 Jan'!$B$4:$BW$4,0))</f>
        <v>7.82</v>
      </c>
      <c r="N100" s="138">
        <f>INDEX('[1]1 Jan 2011- 23 Jan'!$B$5069:$BW$5141,MATCH($A100,'[1]1 Jan 2011- 23 Jan'!$A$5069:$A$5141,0),MATCH(N$1,'[1]1 Jan 2011- 23 Jan'!$B$4:$BW$4,0))</f>
        <v>7.74</v>
      </c>
      <c r="O100" s="138">
        <f>INDEX('[1]1 Jan 2011- 23 Jan'!$B$5069:$BW$5141,MATCH($A100,'[1]1 Jan 2011- 23 Jan'!$A$5069:$A$5141,0),MATCH(O$1,'[1]1 Jan 2011- 23 Jan'!$B$4:$BW$4,0))</f>
        <v>7.52</v>
      </c>
    </row>
    <row r="101" spans="1:15" hidden="1">
      <c r="A101" s="96">
        <v>45665</v>
      </c>
      <c r="B101" s="97">
        <v>6.7679999999999998</v>
      </c>
      <c r="C101" s="97">
        <v>6.7169999999999996</v>
      </c>
      <c r="D101" s="97">
        <v>7.24</v>
      </c>
      <c r="E101" s="97">
        <v>7.45</v>
      </c>
      <c r="F101" s="97">
        <v>181607.26</v>
      </c>
      <c r="G101" s="97">
        <v>6.5</v>
      </c>
      <c r="H101" s="97">
        <v>3.35</v>
      </c>
      <c r="I101" s="97">
        <v>4</v>
      </c>
      <c r="J101" s="97">
        <v>18</v>
      </c>
      <c r="K101" s="97">
        <v>85.922399999999996</v>
      </c>
      <c r="L101" s="88" t="str">
        <f>IFERROR(ROUND(VLOOKUP(A101,'Bond Trades'!$A$25:$D$35,4,0),2),"-")</f>
        <v>-</v>
      </c>
    </row>
    <row r="102" spans="1:15" hidden="1">
      <c r="A102" s="96">
        <v>45666</v>
      </c>
      <c r="B102" s="97">
        <v>6.7649999999999997</v>
      </c>
      <c r="C102" s="97">
        <v>6.7169999999999996</v>
      </c>
      <c r="D102" s="97">
        <v>7.23</v>
      </c>
      <c r="E102" s="97">
        <v>7.46</v>
      </c>
      <c r="F102" s="97">
        <v>200937.7</v>
      </c>
      <c r="G102" s="97">
        <v>6.5</v>
      </c>
      <c r="H102" s="97">
        <v>3.35</v>
      </c>
      <c r="I102" s="97">
        <v>4</v>
      </c>
      <c r="J102" s="97">
        <v>18</v>
      </c>
      <c r="K102" s="97">
        <v>85.908100000000005</v>
      </c>
      <c r="L102" s="88" t="str">
        <f>IFERROR(ROUND(VLOOKUP(A102,'Bond Trades'!$A$25:$D$35,4,0),2),"-")</f>
        <v>-</v>
      </c>
    </row>
    <row r="103" spans="1:15" hidden="1">
      <c r="A103" s="96">
        <v>45667</v>
      </c>
      <c r="B103" s="97">
        <v>6.7720000000000002</v>
      </c>
      <c r="C103" s="97">
        <v>6.72</v>
      </c>
      <c r="D103" s="97">
        <v>7.23</v>
      </c>
      <c r="E103" s="97">
        <v>7.46</v>
      </c>
      <c r="F103" s="97">
        <v>225016.7</v>
      </c>
      <c r="G103" s="97">
        <v>6.5</v>
      </c>
      <c r="H103" s="97">
        <v>3.35</v>
      </c>
      <c r="I103" s="97">
        <v>4</v>
      </c>
      <c r="J103" s="97">
        <v>18</v>
      </c>
      <c r="K103" s="97">
        <v>86.197999999999993</v>
      </c>
      <c r="L103" s="88" t="str">
        <f>IFERROR(ROUND(VLOOKUP(A103,'Bond Trades'!$A$25:$D$35,4,0),2),"-")</f>
        <v>-</v>
      </c>
    </row>
    <row r="104" spans="1:15" hidden="1">
      <c r="A104" s="96">
        <v>45668</v>
      </c>
      <c r="B104" s="97">
        <v>6.7720000000000002</v>
      </c>
      <c r="C104" s="97">
        <v>6.72</v>
      </c>
      <c r="D104" s="97">
        <v>7.23</v>
      </c>
      <c r="E104" s="97">
        <v>7.46</v>
      </c>
      <c r="F104" s="97">
        <v>223556.7</v>
      </c>
      <c r="G104" s="97">
        <v>6.5</v>
      </c>
      <c r="H104" s="97">
        <v>3.35</v>
      </c>
      <c r="I104" s="97">
        <v>4</v>
      </c>
      <c r="J104" s="97">
        <v>18</v>
      </c>
      <c r="K104" s="97">
        <v>86.197999999999993</v>
      </c>
      <c r="L104" s="88" t="str">
        <f>IFERROR(ROUND(VLOOKUP(A104,'Bond Trades'!$A$25:$D$35,4,0),2),"-")</f>
        <v>-</v>
      </c>
    </row>
    <row r="105" spans="1:15" hidden="1">
      <c r="A105" s="96">
        <v>45669</v>
      </c>
      <c r="B105" s="97">
        <v>6.7720000000000002</v>
      </c>
      <c r="C105" s="97">
        <v>6.72</v>
      </c>
      <c r="D105" s="97">
        <v>7.23</v>
      </c>
      <c r="E105" s="97">
        <v>7.46</v>
      </c>
      <c r="F105" s="97">
        <v>220514.7</v>
      </c>
      <c r="G105" s="97">
        <v>6.5</v>
      </c>
      <c r="H105" s="97">
        <v>3.35</v>
      </c>
      <c r="I105" s="97">
        <v>4</v>
      </c>
      <c r="J105" s="97">
        <v>18</v>
      </c>
      <c r="K105" s="97">
        <v>86.197999999999993</v>
      </c>
      <c r="L105" s="88" t="str">
        <f>IFERROR(ROUND(VLOOKUP(A105,'Bond Trades'!$A$25:$D$35,4,0),2),"-")</f>
        <v>-</v>
      </c>
    </row>
    <row r="106" spans="1:15" hidden="1">
      <c r="A106" s="96">
        <v>45670</v>
      </c>
      <c r="B106" s="97">
        <v>6.85</v>
      </c>
      <c r="C106" s="97">
        <v>6.72</v>
      </c>
      <c r="D106" s="97">
        <v>7.24</v>
      </c>
      <c r="E106" s="97">
        <v>7.51</v>
      </c>
      <c r="F106" s="97">
        <v>250061.7</v>
      </c>
      <c r="G106" s="97">
        <v>6.5</v>
      </c>
      <c r="H106" s="97">
        <v>3.35</v>
      </c>
      <c r="I106" s="97">
        <v>4</v>
      </c>
      <c r="J106" s="97">
        <v>18</v>
      </c>
      <c r="K106" s="97">
        <v>86.650700000000001</v>
      </c>
      <c r="L106" s="88" t="str">
        <f>IFERROR(ROUND(VLOOKUP(A106,'Bond Trades'!$A$25:$D$35,4,0),2),"-")</f>
        <v>-</v>
      </c>
    </row>
    <row r="107" spans="1:15" hidden="1">
      <c r="A107" s="96">
        <v>45671</v>
      </c>
      <c r="B107" s="97">
        <v>6.8220000000000001</v>
      </c>
      <c r="C107" s="97">
        <v>6.7850000000000001</v>
      </c>
      <c r="D107" s="97">
        <v>7.24</v>
      </c>
      <c r="E107" s="97">
        <v>7.52</v>
      </c>
      <c r="F107" s="97">
        <v>209198.75</v>
      </c>
      <c r="G107" s="97">
        <v>6.5</v>
      </c>
      <c r="H107" s="97">
        <v>3.35</v>
      </c>
      <c r="I107" s="97">
        <v>4</v>
      </c>
      <c r="J107" s="97">
        <v>18</v>
      </c>
      <c r="K107" s="97">
        <v>86.5304</v>
      </c>
      <c r="L107" s="88" t="str">
        <f>IFERROR(ROUND(VLOOKUP(A107,'Bond Trades'!$A$25:$D$35,4,0),2),"-")</f>
        <v>-</v>
      </c>
    </row>
    <row r="108" spans="1:15" hidden="1">
      <c r="A108" s="96">
        <v>45672</v>
      </c>
      <c r="B108" s="97">
        <v>6.8140000000000001</v>
      </c>
      <c r="C108" s="97">
        <v>6.7679999999999998</v>
      </c>
      <c r="D108" s="97">
        <v>7.22</v>
      </c>
      <c r="E108" s="97">
        <v>7.51</v>
      </c>
      <c r="F108" s="97">
        <v>222309.84</v>
      </c>
      <c r="G108" s="97">
        <v>6.5</v>
      </c>
      <c r="H108" s="97">
        <v>3.35</v>
      </c>
      <c r="I108" s="97">
        <v>4</v>
      </c>
      <c r="J108" s="97">
        <v>18</v>
      </c>
      <c r="K108" s="97">
        <v>86.416200000000003</v>
      </c>
      <c r="L108" s="88" t="str">
        <f>IFERROR(ROUND(VLOOKUP(A108,'Bond Trades'!$A$25:$D$35,4,0),2),"-")</f>
        <v>-</v>
      </c>
    </row>
    <row r="109" spans="1:15" hidden="1">
      <c r="A109" s="96">
        <v>45673</v>
      </c>
      <c r="B109" s="97">
        <v>6.7480000000000002</v>
      </c>
      <c r="C109" s="97">
        <v>6.6950000000000003</v>
      </c>
      <c r="D109" s="97">
        <v>7.22</v>
      </c>
      <c r="E109" s="97">
        <v>7.49</v>
      </c>
      <c r="F109" s="97">
        <v>222309.84</v>
      </c>
      <c r="G109" s="97">
        <v>6.5</v>
      </c>
      <c r="H109" s="97">
        <v>3.35</v>
      </c>
      <c r="I109" s="97">
        <v>4</v>
      </c>
      <c r="J109" s="97">
        <v>18</v>
      </c>
      <c r="K109" s="97">
        <v>86.61</v>
      </c>
      <c r="L109" s="88" t="str">
        <f>IFERROR(ROUND(VLOOKUP(A109,'Bond Trades'!$A$25:$D$35,4,0),2),"-")</f>
        <v>-</v>
      </c>
    </row>
    <row r="110" spans="1:15">
      <c r="A110" s="106">
        <v>45674</v>
      </c>
      <c r="B110" s="107">
        <v>6.76</v>
      </c>
      <c r="C110" s="107">
        <v>6.72</v>
      </c>
      <c r="D110" s="107">
        <v>7.25</v>
      </c>
      <c r="E110" s="107">
        <v>7.45</v>
      </c>
      <c r="F110" s="107">
        <v>235928.31</v>
      </c>
      <c r="G110" s="107">
        <v>6.5</v>
      </c>
      <c r="H110" s="107">
        <v>3.35</v>
      </c>
      <c r="I110" s="107">
        <v>4</v>
      </c>
      <c r="J110" s="107">
        <v>18</v>
      </c>
      <c r="K110" s="107">
        <v>86.6</v>
      </c>
      <c r="L110" s="88">
        <f>IFERROR(ROUND(VLOOKUP(A110,'Bond Trades'!$A$25:$D$35,4,0),2),"-")</f>
        <v>8.0299999999999994</v>
      </c>
      <c r="M110" s="138">
        <f>INDEX('[1]1 Jan 2011- 23 Jan'!$B$5069:$BW$5141,MATCH($A110,'[1]1 Jan 2011- 23 Jan'!$A$5069:$A$5141,0),MATCH(M$1,'[1]1 Jan 2011- 23 Jan'!$B$4:$BW$4,0))</f>
        <v>7.85</v>
      </c>
      <c r="N110" s="138">
        <f>INDEX('[1]1 Jan 2011- 23 Jan'!$B$5069:$BW$5141,MATCH($A110,'[1]1 Jan 2011- 23 Jan'!$A$5069:$A$5141,0),MATCH(N$1,'[1]1 Jan 2011- 23 Jan'!$B$4:$BW$4,0))</f>
        <v>7.7</v>
      </c>
      <c r="O110" s="138">
        <f>INDEX('[1]1 Jan 2011- 23 Jan'!$B$5069:$BW$5141,MATCH($A110,'[1]1 Jan 2011- 23 Jan'!$A$5069:$A$5141,0),MATCH(O$1,'[1]1 Jan 2011- 23 Jan'!$B$4:$BW$4,0))</f>
        <v>7.49</v>
      </c>
    </row>
    <row r="111" spans="1:15">
      <c r="A111" s="96">
        <v>45675</v>
      </c>
      <c r="B111" s="137">
        <v>6.7649999999999997</v>
      </c>
      <c r="C111" s="137">
        <v>6.7190000000000003</v>
      </c>
      <c r="D111" s="137">
        <v>7.21</v>
      </c>
      <c r="E111" s="137">
        <v>7.45</v>
      </c>
      <c r="F111" s="137">
        <v>196120.49</v>
      </c>
      <c r="G111" s="107">
        <v>6.5</v>
      </c>
      <c r="H111" s="107">
        <v>3.35</v>
      </c>
      <c r="I111" s="107">
        <v>4</v>
      </c>
      <c r="J111" s="107">
        <v>18</v>
      </c>
      <c r="K111" s="137">
        <v>86.589500000000001</v>
      </c>
      <c r="L111" s="120"/>
      <c r="M111" s="138">
        <f>INDEX('[1]1 Jan 2011- 23 Jan'!$B$5069:$BW$5141,MATCH($A111,'[1]1 Jan 2011- 23 Jan'!$A$5069:$A$5141,0),MATCH(M$1,'[1]1 Jan 2011- 23 Jan'!$B$4:$BW$4,0))</f>
        <v>7.85</v>
      </c>
      <c r="N111" s="138">
        <f>INDEX('[1]1 Jan 2011- 23 Jan'!$B$5069:$BW$5141,MATCH($A111,'[1]1 Jan 2011- 23 Jan'!$A$5069:$A$5141,0),MATCH(N$1,'[1]1 Jan 2011- 23 Jan'!$B$4:$BW$4,0))</f>
        <v>7.7</v>
      </c>
      <c r="O111" s="138">
        <f>INDEX('[1]1 Jan 2011- 23 Jan'!$B$5069:$BW$5141,MATCH($A111,'[1]1 Jan 2011- 23 Jan'!$A$5069:$A$5141,0),MATCH(O$1,'[1]1 Jan 2011- 23 Jan'!$B$4:$BW$4,0))</f>
        <v>7.49</v>
      </c>
    </row>
    <row r="112" spans="1:15">
      <c r="A112" s="96">
        <v>45676</v>
      </c>
      <c r="B112" s="138">
        <f>INDEX('[1]1 Jan 2011- 23 Jan'!$B$5069:$BW$5141,MATCH($A112,'[1]1 Jan 2011- 23 Jan'!$A$5069:$A$5141,0),MATCH(B$1,'[1]1 Jan 2011- 23 Jan'!$B$4:$BW$4,0))</f>
        <v>6.7649999999999997</v>
      </c>
      <c r="C112" s="138">
        <f>INDEX('[1]1 Jan 2011- 23 Jan'!$B$5069:$BW$5141,MATCH($A112,'[1]1 Jan 2011- 23 Jan'!$A$5069:$A$5141,0),MATCH(C$1,'[1]1 Jan 2011- 23 Jan'!$B$4:$BW$4,0))</f>
        <v>6.7190000000000003</v>
      </c>
      <c r="D112" s="138">
        <f>INDEX('[1]1 Jan 2011- 23 Jan'!$B$5069:$BW$5141,MATCH($A112,'[1]1 Jan 2011- 23 Jan'!$A$5069:$A$5141,0),MATCH(D$1,'[1]1 Jan 2011- 23 Jan'!$B$4:$BW$4,0))</f>
        <v>7.21</v>
      </c>
      <c r="E112" s="138">
        <f>INDEX('[1]1 Jan 2011- 23 Jan'!$B$5069:$BW$5141,MATCH($A112,'[1]1 Jan 2011- 23 Jan'!$A$5069:$A$5141,0),MATCH(E$1,'[1]1 Jan 2011- 23 Jan'!$B$4:$BW$4,0))</f>
        <v>7.45</v>
      </c>
      <c r="F112" s="138">
        <f>INDEX('[1]1 Jan 2011- 23 Jan'!$B$5069:$BW$5141,MATCH($A112,'[1]1 Jan 2011- 23 Jan'!$A$5069:$A$5141,0),MATCH(F$1,'[1]1 Jan 2011- 23 Jan'!$B$4:$BW$4,0))</f>
        <v>193847.49</v>
      </c>
      <c r="G112" s="138">
        <f>INDEX('[1]1 Jan 2011- 23 Jan'!$B$5069:$BW$5141,MATCH($A112,'[1]1 Jan 2011- 23 Jan'!$A$5069:$A$5141,0),MATCH(G$1,'[1]1 Jan 2011- 23 Jan'!$B$4:$BW$4,0))</f>
        <v>6.5</v>
      </c>
      <c r="H112" s="138">
        <f>INDEX('[1]1 Jan 2011- 23 Jan'!$B$5069:$BW$5141,MATCH($A112,'[1]1 Jan 2011- 23 Jan'!$A$5069:$A$5141,0),MATCH(H$1,'[1]1 Jan 2011- 23 Jan'!$B$4:$BW$4,0))</f>
        <v>3.35</v>
      </c>
      <c r="I112" s="138">
        <f>INDEX('[1]1 Jan 2011- 23 Jan'!$B$5069:$BW$5141,MATCH($A112,'[1]1 Jan 2011- 23 Jan'!$A$5069:$A$5141,0),MATCH(I$1,'[1]1 Jan 2011- 23 Jan'!$B$4:$BW$4,0))</f>
        <v>4</v>
      </c>
      <c r="J112" s="138">
        <f>INDEX('[1]1 Jan 2011- 23 Jan'!$B$5069:$BW$5141,MATCH($A112,'[1]1 Jan 2011- 23 Jan'!$A$5069:$A$5141,0),MATCH(J$1,'[1]1 Jan 2011- 23 Jan'!$B$4:$BW$4,0))</f>
        <v>18</v>
      </c>
      <c r="K112" s="138">
        <f>INDEX('[1]1 Jan 2011- 23 Jan'!$B$5069:$BW$5141,MATCH($A112,'[1]1 Jan 2011- 23 Jan'!$A$5069:$A$5141,0),MATCH(K$1,'[1]1 Jan 2011- 23 Jan'!$B$4:$BW$4,0))</f>
        <v>86.589500000000001</v>
      </c>
      <c r="L112" s="135" t="e">
        <f>INDEX('[1]1 Jan 2011- 23 Jan'!$B$5069:$BW$5141,MATCH($A112,'[1]1 Jan 2011- 23 Jan'!$A$5069:$A$5141,0),MATCH(L$1,'[1]1 Jan 2011- 23 Jan'!$B$4:$BW$4,0))</f>
        <v>#N/A</v>
      </c>
      <c r="M112" s="138">
        <f>INDEX('[1]1 Jan 2011- 23 Jan'!$B$5069:$BW$5141,MATCH($A112,'[1]1 Jan 2011- 23 Jan'!$A$5069:$A$5141,0),MATCH(M$1,'[1]1 Jan 2011- 23 Jan'!$B$4:$BW$4,0))</f>
        <v>7.85</v>
      </c>
      <c r="N112" s="138">
        <f>INDEX('[1]1 Jan 2011- 23 Jan'!$B$5069:$BW$5141,MATCH($A112,'[1]1 Jan 2011- 23 Jan'!$A$5069:$A$5141,0),MATCH(N$1,'[1]1 Jan 2011- 23 Jan'!$B$4:$BW$4,0))</f>
        <v>7.7</v>
      </c>
      <c r="O112" s="138">
        <f>INDEX('[1]1 Jan 2011- 23 Jan'!$B$5069:$BW$5141,MATCH($A112,'[1]1 Jan 2011- 23 Jan'!$A$5069:$A$5141,0),MATCH(O$1,'[1]1 Jan 2011- 23 Jan'!$B$4:$BW$4,0))</f>
        <v>7.49</v>
      </c>
    </row>
    <row r="113" spans="1:15">
      <c r="A113" s="96">
        <v>45677</v>
      </c>
      <c r="B113" s="138">
        <f>INDEX('[1]1 Jan 2011- 23 Jan'!$B$5069:$BW$5141,MATCH($A113,'[1]1 Jan 2011- 23 Jan'!$A$5069:$A$5141,0),MATCH(B$1,'[1]1 Jan 2011- 23 Jan'!$B$4:$BW$4,0))</f>
        <v>6.7610000000000001</v>
      </c>
      <c r="C113" s="138">
        <f>INDEX('[1]1 Jan 2011- 23 Jan'!$B$5069:$BW$5141,MATCH($A113,'[1]1 Jan 2011- 23 Jan'!$A$5069:$A$5141,0),MATCH(C$1,'[1]1 Jan 2011- 23 Jan'!$B$4:$BW$4,0))</f>
        <v>6.7060000000000004</v>
      </c>
      <c r="D113" s="138">
        <f>INDEX('[1]1 Jan 2011- 23 Jan'!$B$5069:$BW$5141,MATCH($A113,'[1]1 Jan 2011- 23 Jan'!$A$5069:$A$5141,0),MATCH(D$1,'[1]1 Jan 2011- 23 Jan'!$B$4:$BW$4,0))</f>
        <v>7.21</v>
      </c>
      <c r="E113" s="138">
        <f>INDEX('[1]1 Jan 2011- 23 Jan'!$B$5069:$BW$5141,MATCH($A113,'[1]1 Jan 2011- 23 Jan'!$A$5069:$A$5141,0),MATCH(E$1,'[1]1 Jan 2011- 23 Jan'!$B$4:$BW$4,0))</f>
        <v>7.44</v>
      </c>
      <c r="F113" s="138">
        <f>INDEX('[1]1 Jan 2011- 23 Jan'!$B$5069:$BW$5141,MATCH($A113,'[1]1 Jan 2011- 23 Jan'!$A$5069:$A$5141,0),MATCH(F$1,'[1]1 Jan 2011- 23 Jan'!$B$4:$BW$4,0))</f>
        <v>236145.48</v>
      </c>
      <c r="G113" s="138">
        <f>INDEX('[1]1 Jan 2011- 23 Jan'!$B$5069:$BW$5141,MATCH($A113,'[1]1 Jan 2011- 23 Jan'!$A$5069:$A$5141,0),MATCH(G$1,'[1]1 Jan 2011- 23 Jan'!$B$4:$BW$4,0))</f>
        <v>6.5</v>
      </c>
      <c r="H113" s="138">
        <f>INDEX('[1]1 Jan 2011- 23 Jan'!$B$5069:$BW$5141,MATCH($A113,'[1]1 Jan 2011- 23 Jan'!$A$5069:$A$5141,0),MATCH(H$1,'[1]1 Jan 2011- 23 Jan'!$B$4:$BW$4,0))</f>
        <v>3.35</v>
      </c>
      <c r="I113" s="138">
        <f>INDEX('[1]1 Jan 2011- 23 Jan'!$B$5069:$BW$5141,MATCH($A113,'[1]1 Jan 2011- 23 Jan'!$A$5069:$A$5141,0),MATCH(I$1,'[1]1 Jan 2011- 23 Jan'!$B$4:$BW$4,0))</f>
        <v>4</v>
      </c>
      <c r="J113" s="138">
        <f>INDEX('[1]1 Jan 2011- 23 Jan'!$B$5069:$BW$5141,MATCH($A113,'[1]1 Jan 2011- 23 Jan'!$A$5069:$A$5141,0),MATCH(J$1,'[1]1 Jan 2011- 23 Jan'!$B$4:$BW$4,0))</f>
        <v>18</v>
      </c>
      <c r="K113" s="138">
        <f>INDEX('[1]1 Jan 2011- 23 Jan'!$B$5069:$BW$5141,MATCH($A113,'[1]1 Jan 2011- 23 Jan'!$A$5069:$A$5141,0),MATCH(K$1,'[1]1 Jan 2011- 23 Jan'!$B$4:$BW$4,0))</f>
        <v>86.21</v>
      </c>
      <c r="L113" s="135" t="e">
        <f>INDEX('[1]1 Jan 2011- 23 Jan'!$B$5069:$BW$5141,MATCH($A113,'[1]1 Jan 2011- 23 Jan'!$A$5069:$A$5141,0),MATCH(L$1,'[1]1 Jan 2011- 23 Jan'!$B$4:$BW$4,0))</f>
        <v>#N/A</v>
      </c>
      <c r="M113" s="138">
        <f>INDEX('[1]1 Jan 2011- 23 Jan'!$B$5069:$BW$5141,MATCH($A113,'[1]1 Jan 2011- 23 Jan'!$A$5069:$A$5141,0),MATCH(M$1,'[1]1 Jan 2011- 23 Jan'!$B$4:$BW$4,0))</f>
        <v>7.84</v>
      </c>
      <c r="N113" s="138">
        <f>INDEX('[1]1 Jan 2011- 23 Jan'!$B$5069:$BW$5141,MATCH($A113,'[1]1 Jan 2011- 23 Jan'!$A$5069:$A$5141,0),MATCH(N$1,'[1]1 Jan 2011- 23 Jan'!$B$4:$BW$4,0))</f>
        <v>7.68</v>
      </c>
      <c r="O113" s="138">
        <f>INDEX('[1]1 Jan 2011- 23 Jan'!$B$5069:$BW$5141,MATCH($A113,'[1]1 Jan 2011- 23 Jan'!$A$5069:$A$5141,0),MATCH(O$1,'[1]1 Jan 2011- 23 Jan'!$B$4:$BW$4,0))</f>
        <v>7.48</v>
      </c>
    </row>
    <row r="114" spans="1:15">
      <c r="A114" s="96">
        <v>45678</v>
      </c>
      <c r="B114" s="138">
        <f>INDEX('[1]1 Jan 2011- 23 Jan'!$B$5069:$BW$5141,MATCH($A114,'[1]1 Jan 2011- 23 Jan'!$A$5069:$A$5141,0),MATCH(B$1,'[1]1 Jan 2011- 23 Jan'!$B$4:$BW$4,0))</f>
        <v>6.7370000000000001</v>
      </c>
      <c r="C114" s="138">
        <f>INDEX('[1]1 Jan 2011- 23 Jan'!$B$5069:$BW$5141,MATCH($A114,'[1]1 Jan 2011- 23 Jan'!$A$5069:$A$5141,0),MATCH(C$1,'[1]1 Jan 2011- 23 Jan'!$B$4:$BW$4,0))</f>
        <v>6.68</v>
      </c>
      <c r="D114" s="138">
        <f>INDEX('[1]1 Jan 2011- 23 Jan'!$B$5069:$BW$5141,MATCH($A114,'[1]1 Jan 2011- 23 Jan'!$A$5069:$A$5141,0),MATCH(D$1,'[1]1 Jan 2011- 23 Jan'!$B$4:$BW$4,0))</f>
        <v>7.21</v>
      </c>
      <c r="E114" s="138">
        <f>INDEX('[1]1 Jan 2011- 23 Jan'!$B$5069:$BW$5141,MATCH($A114,'[1]1 Jan 2011- 23 Jan'!$A$5069:$A$5141,0),MATCH(E$1,'[1]1 Jan 2011- 23 Jan'!$B$4:$BW$4,0))</f>
        <v>7.44</v>
      </c>
      <c r="F114" s="138">
        <f>INDEX('[1]1 Jan 2011- 23 Jan'!$B$5069:$BW$5141,MATCH($A114,'[1]1 Jan 2011- 23 Jan'!$A$5069:$A$5141,0),MATCH(F$1,'[1]1 Jan 2011- 23 Jan'!$B$4:$BW$4,0))</f>
        <v>270775.48</v>
      </c>
      <c r="G114" s="138">
        <f>INDEX('[1]1 Jan 2011- 23 Jan'!$B$5069:$BW$5141,MATCH($A114,'[1]1 Jan 2011- 23 Jan'!$A$5069:$A$5141,0),MATCH(G$1,'[1]1 Jan 2011- 23 Jan'!$B$4:$BW$4,0))</f>
        <v>6.5</v>
      </c>
      <c r="H114" s="138">
        <f>INDEX('[1]1 Jan 2011- 23 Jan'!$B$5069:$BW$5141,MATCH($A114,'[1]1 Jan 2011- 23 Jan'!$A$5069:$A$5141,0),MATCH(H$1,'[1]1 Jan 2011- 23 Jan'!$B$4:$BW$4,0))</f>
        <v>3.35</v>
      </c>
      <c r="I114" s="138">
        <f>INDEX('[1]1 Jan 2011- 23 Jan'!$B$5069:$BW$5141,MATCH($A114,'[1]1 Jan 2011- 23 Jan'!$A$5069:$A$5141,0),MATCH(I$1,'[1]1 Jan 2011- 23 Jan'!$B$4:$BW$4,0))</f>
        <v>4</v>
      </c>
      <c r="J114" s="138">
        <f>INDEX('[1]1 Jan 2011- 23 Jan'!$B$5069:$BW$5141,MATCH($A114,'[1]1 Jan 2011- 23 Jan'!$A$5069:$A$5141,0),MATCH(J$1,'[1]1 Jan 2011- 23 Jan'!$B$4:$BW$4,0))</f>
        <v>18</v>
      </c>
      <c r="K114" s="138">
        <f>INDEX('[1]1 Jan 2011- 23 Jan'!$B$5069:$BW$5141,MATCH($A114,'[1]1 Jan 2011- 23 Jan'!$A$5069:$A$5141,0),MATCH(K$1,'[1]1 Jan 2011- 23 Jan'!$B$4:$BW$4,0))</f>
        <v>86.453800000000001</v>
      </c>
      <c r="L114" s="135" t="e">
        <f>INDEX('[1]1 Jan 2011- 23 Jan'!$B$5069:$BW$5141,MATCH($A114,'[1]1 Jan 2011- 23 Jan'!$A$5069:$A$5141,0),MATCH(L$1,'[1]1 Jan 2011- 23 Jan'!$B$4:$BW$4,0))</f>
        <v>#N/A</v>
      </c>
      <c r="M114" s="138">
        <f>INDEX('[1]1 Jan 2011- 23 Jan'!$B$5069:$BW$5141,MATCH($A114,'[1]1 Jan 2011- 23 Jan'!$A$5069:$A$5141,0),MATCH(M$1,'[1]1 Jan 2011- 23 Jan'!$B$4:$BW$4,0))</f>
        <v>7.82</v>
      </c>
      <c r="N114" s="138">
        <f>INDEX('[1]1 Jan 2011- 23 Jan'!$B$5069:$BW$5141,MATCH($A114,'[1]1 Jan 2011- 23 Jan'!$A$5069:$A$5141,0),MATCH(N$1,'[1]1 Jan 2011- 23 Jan'!$B$4:$BW$4,0))</f>
        <v>7.65</v>
      </c>
      <c r="O114" s="138">
        <f>INDEX('[1]1 Jan 2011- 23 Jan'!$B$5069:$BW$5141,MATCH($A114,'[1]1 Jan 2011- 23 Jan'!$A$5069:$A$5141,0),MATCH(O$1,'[1]1 Jan 2011- 23 Jan'!$B$4:$BW$4,0))</f>
        <v>7.46</v>
      </c>
    </row>
    <row r="115" spans="1:15">
      <c r="A115" s="96">
        <v>45679</v>
      </c>
      <c r="B115" s="138">
        <f>INDEX('[1]1 Jan 2011- 23 Jan'!$B$5069:$BW$5141,MATCH($A115,'[1]1 Jan 2011- 23 Jan'!$A$5069:$A$5141,0),MATCH(B$1,'[1]1 Jan 2011- 23 Jan'!$B$4:$BW$4,0))</f>
        <v>6.7229999999999999</v>
      </c>
      <c r="C115" s="138">
        <f>INDEX('[1]1 Jan 2011- 23 Jan'!$B$5069:$BW$5141,MATCH($A115,'[1]1 Jan 2011- 23 Jan'!$A$5069:$A$5141,0),MATCH(C$1,'[1]1 Jan 2011- 23 Jan'!$B$4:$BW$4,0))</f>
        <v>6.6660000000000004</v>
      </c>
      <c r="D115" s="138">
        <f>INDEX('[1]1 Jan 2011- 23 Jan'!$B$5069:$BW$5141,MATCH($A115,'[1]1 Jan 2011- 23 Jan'!$A$5069:$A$5141,0),MATCH(D$1,'[1]1 Jan 2011- 23 Jan'!$B$4:$BW$4,0))</f>
        <v>7.21</v>
      </c>
      <c r="E115" s="138">
        <f>INDEX('[1]1 Jan 2011- 23 Jan'!$B$5069:$BW$5141,MATCH($A115,'[1]1 Jan 2011- 23 Jan'!$A$5069:$A$5141,0),MATCH(E$1,'[1]1 Jan 2011- 23 Jan'!$B$4:$BW$4,0))</f>
        <v>7.44</v>
      </c>
      <c r="F115" s="138">
        <f>INDEX('[1]1 Jan 2011- 23 Jan'!$B$5069:$BW$5141,MATCH($A115,'[1]1 Jan 2011- 23 Jan'!$A$5069:$A$5141,0),MATCH(F$1,'[1]1 Jan 2011- 23 Jan'!$B$4:$BW$4,0))</f>
        <v>287527.48</v>
      </c>
      <c r="G115" s="138">
        <f>INDEX('[1]1 Jan 2011- 23 Jan'!$B$5069:$BW$5141,MATCH($A115,'[1]1 Jan 2011- 23 Jan'!$A$5069:$A$5141,0),MATCH(G$1,'[1]1 Jan 2011- 23 Jan'!$B$4:$BW$4,0))</f>
        <v>6.5</v>
      </c>
      <c r="H115" s="138">
        <f>INDEX('[1]1 Jan 2011- 23 Jan'!$B$5069:$BW$5141,MATCH($A115,'[1]1 Jan 2011- 23 Jan'!$A$5069:$A$5141,0),MATCH(H$1,'[1]1 Jan 2011- 23 Jan'!$B$4:$BW$4,0))</f>
        <v>3.35</v>
      </c>
      <c r="I115" s="138">
        <f>INDEX('[1]1 Jan 2011- 23 Jan'!$B$5069:$BW$5141,MATCH($A115,'[1]1 Jan 2011- 23 Jan'!$A$5069:$A$5141,0),MATCH(I$1,'[1]1 Jan 2011- 23 Jan'!$B$4:$BW$4,0))</f>
        <v>4</v>
      </c>
      <c r="J115" s="138">
        <f>INDEX('[1]1 Jan 2011- 23 Jan'!$B$5069:$BW$5141,MATCH($A115,'[1]1 Jan 2011- 23 Jan'!$A$5069:$A$5141,0),MATCH(J$1,'[1]1 Jan 2011- 23 Jan'!$B$4:$BW$4,0))</f>
        <v>18</v>
      </c>
      <c r="K115" s="138">
        <f>INDEX('[1]1 Jan 2011- 23 Jan'!$B$5069:$BW$5141,MATCH($A115,'[1]1 Jan 2011- 23 Jan'!$A$5069:$A$5141,0),MATCH(K$1,'[1]1 Jan 2011- 23 Jan'!$B$4:$BW$4,0))</f>
        <v>86.471999999999994</v>
      </c>
      <c r="L115" s="135" t="e">
        <f>INDEX('[1]1 Jan 2011- 23 Jan'!$B$5069:$BW$5141,MATCH($A115,'[1]1 Jan 2011- 23 Jan'!$A$5069:$A$5141,0),MATCH(L$1,'[1]1 Jan 2011- 23 Jan'!$B$4:$BW$4,0))</f>
        <v>#N/A</v>
      </c>
      <c r="M115" s="138">
        <f>INDEX('[1]1 Jan 2011- 23 Jan'!$B$5069:$BW$5141,MATCH($A115,'[1]1 Jan 2011- 23 Jan'!$A$5069:$A$5141,0),MATCH(M$1,'[1]1 Jan 2011- 23 Jan'!$B$4:$BW$4,0))</f>
        <v>7.81</v>
      </c>
      <c r="N115" s="138">
        <f>INDEX('[1]1 Jan 2011- 23 Jan'!$B$5069:$BW$5141,MATCH($A115,'[1]1 Jan 2011- 23 Jan'!$A$5069:$A$5141,0),MATCH(N$1,'[1]1 Jan 2011- 23 Jan'!$B$4:$BW$4,0))</f>
        <v>7.64</v>
      </c>
      <c r="O115" s="138">
        <f>INDEX('[1]1 Jan 2011- 23 Jan'!$B$5069:$BW$5141,MATCH($A115,'[1]1 Jan 2011- 23 Jan'!$A$5069:$A$5141,0),MATCH(O$1,'[1]1 Jan 2011- 23 Jan'!$B$4:$BW$4,0))</f>
        <v>7.46</v>
      </c>
    </row>
    <row r="116" spans="1:15">
      <c r="A116" s="96">
        <v>45680</v>
      </c>
      <c r="B116" s="138">
        <f>INDEX('[1]1 Jan 2011- 23 Jan'!$B$5069:$BW$5141,MATCH($A116,'[1]1 Jan 2011- 23 Jan'!$A$5069:$A$5141,0),MATCH(B$1,'[1]1 Jan 2011- 23 Jan'!$B$4:$BW$4,0))</f>
        <v>6.734</v>
      </c>
      <c r="C116" s="138">
        <f>INDEX('[1]1 Jan 2011- 23 Jan'!$B$5069:$BW$5141,MATCH($A116,'[1]1 Jan 2011- 23 Jan'!$A$5069:$A$5141,0),MATCH(C$1,'[1]1 Jan 2011- 23 Jan'!$B$4:$BW$4,0))</f>
        <v>6.6680000000000001</v>
      </c>
      <c r="D116" s="138">
        <f>INDEX('[1]1 Jan 2011- 23 Jan'!$B$5069:$BW$5141,MATCH($A116,'[1]1 Jan 2011- 23 Jan'!$A$5069:$A$5141,0),MATCH(D$1,'[1]1 Jan 2011- 23 Jan'!$B$4:$BW$4,0))</f>
        <v>7.24</v>
      </c>
      <c r="E116" s="138">
        <f>INDEX('[1]1 Jan 2011- 23 Jan'!$B$5069:$BW$5141,MATCH($A116,'[1]1 Jan 2011- 23 Jan'!$A$5069:$A$5141,0),MATCH(E$1,'[1]1 Jan 2011- 23 Jan'!$B$4:$BW$4,0))</f>
        <v>7.45</v>
      </c>
      <c r="F116" s="138">
        <f>INDEX('[1]1 Jan 2011- 23 Jan'!$B$5069:$BW$5141,MATCH($A116,'[1]1 Jan 2011- 23 Jan'!$A$5069:$A$5141,0),MATCH(F$1,'[1]1 Jan 2011- 23 Jan'!$B$4:$BW$4,0))</f>
        <v>287527.48</v>
      </c>
      <c r="G116" s="138">
        <f>INDEX('[1]1 Jan 2011- 23 Jan'!$B$5069:$BW$5141,MATCH($A116,'[1]1 Jan 2011- 23 Jan'!$A$5069:$A$5141,0),MATCH(G$1,'[1]1 Jan 2011- 23 Jan'!$B$4:$BW$4,0))</f>
        <v>6.5</v>
      </c>
      <c r="H116" s="138">
        <f>INDEX('[1]1 Jan 2011- 23 Jan'!$B$5069:$BW$5141,MATCH($A116,'[1]1 Jan 2011- 23 Jan'!$A$5069:$A$5141,0),MATCH(H$1,'[1]1 Jan 2011- 23 Jan'!$B$4:$BW$4,0))</f>
        <v>3.35</v>
      </c>
      <c r="I116" s="138">
        <f>INDEX('[1]1 Jan 2011- 23 Jan'!$B$5069:$BW$5141,MATCH($A116,'[1]1 Jan 2011- 23 Jan'!$A$5069:$A$5141,0),MATCH(I$1,'[1]1 Jan 2011- 23 Jan'!$B$4:$BW$4,0))</f>
        <v>4</v>
      </c>
      <c r="J116" s="138">
        <f>INDEX('[1]1 Jan 2011- 23 Jan'!$B$5069:$BW$5141,MATCH($A116,'[1]1 Jan 2011- 23 Jan'!$A$5069:$A$5141,0),MATCH(J$1,'[1]1 Jan 2011- 23 Jan'!$B$4:$BW$4,0))</f>
        <v>18</v>
      </c>
      <c r="K116" s="138">
        <f>INDEX('[1]1 Jan 2011- 23 Jan'!$B$5069:$BW$5141,MATCH($A116,'[1]1 Jan 2011- 23 Jan'!$A$5069:$A$5141,0),MATCH(K$1,'[1]1 Jan 2011- 23 Jan'!$B$4:$BW$4,0))</f>
        <v>86.463899999999995</v>
      </c>
      <c r="L116" s="135" t="e">
        <f>INDEX('[1]1 Jan 2011- 23 Jan'!$B$5069:$BW$5141,MATCH($A116,'[1]1 Jan 2011- 23 Jan'!$A$5069:$A$5141,0),MATCH(L$1,'[1]1 Jan 2011- 23 Jan'!$B$4:$BW$4,0))</f>
        <v>#N/A</v>
      </c>
      <c r="M116" s="138">
        <f>INDEX('[1]1 Jan 2011- 23 Jan'!$B$5069:$BW$5141,MATCH($A116,'[1]1 Jan 2011- 23 Jan'!$A$5069:$A$5141,0),MATCH(M$1,'[1]1 Jan 2011- 23 Jan'!$B$4:$BW$4,0))</f>
        <v>7.81</v>
      </c>
      <c r="N116" s="138">
        <f>INDEX('[1]1 Jan 2011- 23 Jan'!$B$5069:$BW$5141,MATCH($A116,'[1]1 Jan 2011- 23 Jan'!$A$5069:$A$5141,0),MATCH(N$1,'[1]1 Jan 2011- 23 Jan'!$B$4:$BW$4,0))</f>
        <v>7.64</v>
      </c>
      <c r="O116" s="138">
        <f>INDEX('[1]1 Jan 2011- 23 Jan'!$B$5069:$BW$5141,MATCH($A116,'[1]1 Jan 2011- 23 Jan'!$A$5069:$A$5141,0),MATCH(O$1,'[1]1 Jan 2011- 23 Jan'!$B$4:$BW$4,0))</f>
        <v>7.47</v>
      </c>
    </row>
    <row r="117" spans="1:15">
      <c r="A117" s="106"/>
      <c r="B117" s="135"/>
      <c r="C117" s="135"/>
      <c r="D117" s="135"/>
      <c r="E117" s="135"/>
      <c r="F117" s="135"/>
      <c r="G117" s="135"/>
      <c r="H117" s="135"/>
      <c r="I117" s="135"/>
      <c r="J117" s="135"/>
      <c r="K117" s="135"/>
      <c r="L117" s="135"/>
      <c r="M117" s="135"/>
      <c r="N117" s="135"/>
      <c r="O117" s="135"/>
    </row>
    <row r="118" spans="1:15">
      <c r="A118" s="106"/>
      <c r="B118" s="135"/>
      <c r="C118" s="135"/>
      <c r="D118" s="135"/>
      <c r="E118" s="135"/>
      <c r="F118" s="135"/>
      <c r="G118" s="135"/>
      <c r="H118" s="135"/>
      <c r="I118" s="135"/>
      <c r="J118" s="135"/>
      <c r="K118" s="135"/>
      <c r="L118" s="135"/>
      <c r="M118" s="135"/>
      <c r="N118" s="135"/>
      <c r="O118" s="135"/>
    </row>
    <row r="119" spans="1:15">
      <c r="A119" s="106"/>
      <c r="B119" s="135"/>
      <c r="C119" s="136"/>
      <c r="D119" s="136"/>
      <c r="E119" s="136"/>
      <c r="F119" s="136"/>
      <c r="G119" s="136"/>
      <c r="H119" s="136"/>
      <c r="I119" s="136"/>
      <c r="J119" s="136"/>
      <c r="K119" s="136"/>
      <c r="L119" s="120"/>
    </row>
    <row r="120" spans="1:15">
      <c r="A120" s="106"/>
      <c r="B120" s="135"/>
      <c r="C120" s="136"/>
      <c r="D120" s="136"/>
      <c r="E120" s="136"/>
      <c r="F120" s="136"/>
      <c r="G120" s="136"/>
      <c r="H120" s="136"/>
      <c r="I120" s="136"/>
      <c r="J120" s="136"/>
      <c r="K120" s="136"/>
      <c r="L120" s="120"/>
    </row>
    <row r="121" spans="1:15">
      <c r="A121" s="106"/>
      <c r="B121" s="135"/>
      <c r="C121" s="136"/>
      <c r="D121" s="136"/>
      <c r="E121" s="136"/>
      <c r="F121" s="136"/>
      <c r="G121" s="136"/>
      <c r="H121" s="136"/>
      <c r="I121" s="136"/>
      <c r="J121" s="136"/>
      <c r="K121" s="136"/>
      <c r="L121" s="120"/>
    </row>
    <row r="122" spans="1:15">
      <c r="A122" s="106"/>
      <c r="B122" s="135"/>
      <c r="C122" s="136"/>
      <c r="D122" s="136"/>
      <c r="E122" s="136"/>
      <c r="F122" s="136"/>
      <c r="G122" s="136"/>
      <c r="H122" s="136"/>
      <c r="I122" s="136"/>
      <c r="J122" s="136"/>
      <c r="K122" s="136"/>
      <c r="L122" s="120"/>
    </row>
    <row r="125" spans="1:15">
      <c r="A125" s="95" t="s">
        <v>199</v>
      </c>
      <c r="B125" s="95" t="s">
        <v>200</v>
      </c>
      <c r="C125" s="95" t="s">
        <v>202</v>
      </c>
      <c r="D125" s="105" t="s">
        <v>215</v>
      </c>
      <c r="E125" s="114" t="s">
        <v>216</v>
      </c>
      <c r="F125" s="114" t="s">
        <v>217</v>
      </c>
      <c r="G125" s="114" t="s">
        <v>292</v>
      </c>
      <c r="H125" s="114" t="s">
        <v>293</v>
      </c>
      <c r="I125" s="114" t="s">
        <v>290</v>
      </c>
      <c r="J125" s="114" t="s">
        <v>291</v>
      </c>
    </row>
    <row r="126" spans="1:15">
      <c r="A126" s="110">
        <v>45608</v>
      </c>
      <c r="B126" s="111">
        <v>6.8289999999999997</v>
      </c>
      <c r="C126" s="111">
        <v>7.21</v>
      </c>
      <c r="D126" s="88">
        <v>8.02</v>
      </c>
      <c r="E126" s="84">
        <f>D126-B126</f>
        <v>1.1909999999999998</v>
      </c>
      <c r="F126" s="84">
        <f>D126-C126</f>
        <v>0.80999999999999961</v>
      </c>
      <c r="G126" s="120">
        <f>VLOOKUP($A126,$A$44:$O$116,14,0)</f>
        <v>7.65</v>
      </c>
      <c r="H126" s="120">
        <f>VLOOKUP($A126,$A$44:$O$116,15,0)</f>
        <v>7.54</v>
      </c>
      <c r="I126" s="120">
        <f>D126-G126</f>
        <v>0.36999999999999922</v>
      </c>
      <c r="J126" s="120">
        <f>D126-H126</f>
        <v>0.47999999999999954</v>
      </c>
    </row>
    <row r="127" spans="1:15">
      <c r="A127" s="112">
        <v>45610</v>
      </c>
      <c r="B127" s="111">
        <v>6.8639999999999999</v>
      </c>
      <c r="C127" s="111">
        <v>7.21</v>
      </c>
      <c r="D127" s="88">
        <v>7.95</v>
      </c>
      <c r="E127" s="84">
        <f t="shared" ref="E127:E136" si="0">D127-B127</f>
        <v>1.0860000000000003</v>
      </c>
      <c r="F127" s="84">
        <f t="shared" ref="F127:F136" si="1">D127-C127</f>
        <v>0.74000000000000021</v>
      </c>
      <c r="G127" s="120">
        <f t="shared" ref="G127:G136" si="2">VLOOKUP($A127,$A$44:$O$116,14,0)</f>
        <v>7.69</v>
      </c>
      <c r="H127" s="120">
        <f t="shared" ref="H127:H136" si="3">VLOOKUP($A127,$A$44:$O$116,15,0)</f>
        <v>7.57</v>
      </c>
      <c r="I127" s="120">
        <f t="shared" ref="I127:I136" si="4">D127-G127</f>
        <v>0.25999999999999979</v>
      </c>
      <c r="J127" s="120">
        <f t="shared" ref="J127:J136" si="5">D127-H127</f>
        <v>0.37999999999999989</v>
      </c>
    </row>
    <row r="128" spans="1:15">
      <c r="A128" s="112">
        <v>45628</v>
      </c>
      <c r="B128" s="111">
        <v>6.7089999999999996</v>
      </c>
      <c r="C128" s="111">
        <v>7.2</v>
      </c>
      <c r="D128" s="88">
        <v>8.02</v>
      </c>
      <c r="E128" s="84">
        <f t="shared" si="0"/>
        <v>1.3109999999999999</v>
      </c>
      <c r="F128" s="84">
        <f t="shared" si="1"/>
        <v>0.8199999999999994</v>
      </c>
      <c r="G128" s="120">
        <f t="shared" si="2"/>
        <v>7.55</v>
      </c>
      <c r="H128" s="120">
        <f t="shared" si="3"/>
        <v>7.45</v>
      </c>
      <c r="I128" s="120">
        <f t="shared" si="4"/>
        <v>0.46999999999999975</v>
      </c>
      <c r="J128" s="120">
        <f t="shared" si="5"/>
        <v>0.5699999999999994</v>
      </c>
    </row>
    <row r="129" spans="1:10">
      <c r="A129" s="112">
        <v>45629</v>
      </c>
      <c r="B129" s="111">
        <v>6.7119999999999997</v>
      </c>
      <c r="C129" s="111">
        <v>7.27</v>
      </c>
      <c r="D129" s="88">
        <v>8.02</v>
      </c>
      <c r="E129" s="84">
        <f t="shared" si="0"/>
        <v>1.3079999999999998</v>
      </c>
      <c r="F129" s="84">
        <f t="shared" si="1"/>
        <v>0.75</v>
      </c>
      <c r="G129" s="120">
        <f t="shared" si="2"/>
        <v>7.55</v>
      </c>
      <c r="H129" s="120">
        <f t="shared" si="3"/>
        <v>7.38</v>
      </c>
      <c r="I129" s="120">
        <f t="shared" si="4"/>
        <v>0.46999999999999975</v>
      </c>
      <c r="J129" s="120">
        <f t="shared" si="5"/>
        <v>0.63999999999999968</v>
      </c>
    </row>
    <row r="130" spans="1:10">
      <c r="A130" s="112">
        <v>45637</v>
      </c>
      <c r="B130" s="111">
        <v>6.7169999999999996</v>
      </c>
      <c r="C130" s="111">
        <v>7.23</v>
      </c>
      <c r="D130" s="88">
        <v>8</v>
      </c>
      <c r="E130" s="84">
        <f t="shared" si="0"/>
        <v>1.2830000000000004</v>
      </c>
      <c r="F130" s="84">
        <f t="shared" si="1"/>
        <v>0.76999999999999957</v>
      </c>
      <c r="G130" s="120">
        <f t="shared" si="2"/>
        <v>7.56</v>
      </c>
      <c r="H130" s="120">
        <f t="shared" si="3"/>
        <v>7.38</v>
      </c>
      <c r="I130" s="120">
        <f t="shared" si="4"/>
        <v>0.44000000000000039</v>
      </c>
      <c r="J130" s="120">
        <f t="shared" si="5"/>
        <v>0.62000000000000011</v>
      </c>
    </row>
    <row r="131" spans="1:10">
      <c r="A131" s="112">
        <v>45644</v>
      </c>
      <c r="B131" s="111">
        <v>6.7460000000000004</v>
      </c>
      <c r="C131" s="111">
        <v>7.21</v>
      </c>
      <c r="D131" s="88">
        <v>7.96</v>
      </c>
      <c r="E131" s="84">
        <f t="shared" si="0"/>
        <v>1.2139999999999995</v>
      </c>
      <c r="F131" s="84">
        <f t="shared" si="1"/>
        <v>0.75</v>
      </c>
      <c r="G131" s="120">
        <f t="shared" si="2"/>
        <v>7.75</v>
      </c>
      <c r="H131" s="120">
        <f t="shared" si="3"/>
        <v>7.47</v>
      </c>
      <c r="I131" s="120">
        <f t="shared" si="4"/>
        <v>0.20999999999999996</v>
      </c>
      <c r="J131" s="120">
        <f t="shared" si="5"/>
        <v>0.49000000000000021</v>
      </c>
    </row>
    <row r="132" spans="1:10">
      <c r="A132" s="112">
        <v>45652</v>
      </c>
      <c r="B132" s="111">
        <v>6.782</v>
      </c>
      <c r="C132" s="111">
        <v>7.22</v>
      </c>
      <c r="D132" s="88">
        <v>7.92</v>
      </c>
      <c r="E132" s="84">
        <f t="shared" si="0"/>
        <v>1.1379999999999999</v>
      </c>
      <c r="F132" s="84">
        <f t="shared" si="1"/>
        <v>0.70000000000000018</v>
      </c>
      <c r="G132" s="120">
        <f t="shared" si="2"/>
        <v>7.76</v>
      </c>
      <c r="H132" s="120">
        <f t="shared" si="3"/>
        <v>7.49</v>
      </c>
      <c r="I132" s="120">
        <f t="shared" si="4"/>
        <v>0.16000000000000014</v>
      </c>
      <c r="J132" s="120">
        <f t="shared" si="5"/>
        <v>0.42999999999999972</v>
      </c>
    </row>
    <row r="133" spans="1:10">
      <c r="A133" s="112">
        <v>45653</v>
      </c>
      <c r="B133" s="111">
        <v>6.7850000000000001</v>
      </c>
      <c r="C133" s="111">
        <v>7.22</v>
      </c>
      <c r="D133" s="88">
        <v>7.88</v>
      </c>
      <c r="E133" s="84">
        <f t="shared" si="0"/>
        <v>1.0949999999999998</v>
      </c>
      <c r="F133" s="84">
        <f t="shared" si="1"/>
        <v>0.66000000000000014</v>
      </c>
      <c r="G133" s="120">
        <f t="shared" si="2"/>
        <v>7.78</v>
      </c>
      <c r="H133" s="120">
        <f t="shared" si="3"/>
        <v>7.49</v>
      </c>
      <c r="I133" s="120">
        <f t="shared" si="4"/>
        <v>9.9999999999999645E-2</v>
      </c>
      <c r="J133" s="120">
        <f t="shared" si="5"/>
        <v>0.38999999999999968</v>
      </c>
    </row>
    <row r="134" spans="1:10">
      <c r="A134" s="112">
        <v>45658</v>
      </c>
      <c r="B134" s="111">
        <v>6.7809999999999997</v>
      </c>
      <c r="C134" s="111">
        <v>7.25</v>
      </c>
      <c r="D134" s="88">
        <v>8.01</v>
      </c>
      <c r="E134" s="84">
        <f t="shared" si="0"/>
        <v>1.2290000000000001</v>
      </c>
      <c r="F134" s="84">
        <f t="shared" si="1"/>
        <v>0.75999999999999979</v>
      </c>
      <c r="G134" s="120">
        <f t="shared" si="2"/>
        <v>7.6</v>
      </c>
      <c r="H134" s="120">
        <f t="shared" si="3"/>
        <v>7.39</v>
      </c>
      <c r="I134" s="120">
        <f t="shared" si="4"/>
        <v>0.41000000000000014</v>
      </c>
      <c r="J134" s="120">
        <f t="shared" si="5"/>
        <v>0.62000000000000011</v>
      </c>
    </row>
    <row r="135" spans="1:10">
      <c r="A135" s="112">
        <v>45664</v>
      </c>
      <c r="B135" s="111">
        <v>6.7480000000000002</v>
      </c>
      <c r="C135" s="111">
        <v>7.22</v>
      </c>
      <c r="D135" s="88">
        <v>7.98</v>
      </c>
      <c r="E135" s="84">
        <f t="shared" si="0"/>
        <v>1.2320000000000002</v>
      </c>
      <c r="F135" s="84">
        <f t="shared" si="1"/>
        <v>0.76000000000000068</v>
      </c>
      <c r="G135" s="120">
        <f t="shared" si="2"/>
        <v>7.74</v>
      </c>
      <c r="H135" s="120">
        <f t="shared" si="3"/>
        <v>7.52</v>
      </c>
      <c r="I135" s="120">
        <f t="shared" si="4"/>
        <v>0.24000000000000021</v>
      </c>
      <c r="J135" s="120">
        <f t="shared" si="5"/>
        <v>0.46000000000000085</v>
      </c>
    </row>
    <row r="136" spans="1:10">
      <c r="A136" s="113">
        <v>45674</v>
      </c>
      <c r="B136" s="107">
        <v>6.76</v>
      </c>
      <c r="C136" s="107">
        <v>7.25</v>
      </c>
      <c r="D136" s="88">
        <v>8.0299999999999994</v>
      </c>
      <c r="E136" s="84">
        <f t="shared" si="0"/>
        <v>1.2699999999999996</v>
      </c>
      <c r="F136" s="84">
        <f t="shared" si="1"/>
        <v>0.77999999999999936</v>
      </c>
      <c r="G136" s="120">
        <f t="shared" si="2"/>
        <v>7.7</v>
      </c>
      <c r="H136" s="120">
        <f t="shared" si="3"/>
        <v>7.49</v>
      </c>
      <c r="I136" s="120">
        <f t="shared" si="4"/>
        <v>0.32999999999999918</v>
      </c>
      <c r="J136" s="120">
        <f t="shared" si="5"/>
        <v>0.53999999999999915</v>
      </c>
    </row>
  </sheetData>
  <autoFilter ref="A1:L110">
    <filterColumn colId="11">
      <filters>
        <filter val="7.88"/>
        <filter val="7.92"/>
        <filter val="7.95"/>
        <filter val="7.96"/>
        <filter val="7.98"/>
        <filter val="8"/>
        <filter val="8.01"/>
        <filter val="8.02"/>
        <filter val="8.03"/>
      </filters>
    </filterColumn>
  </autoFilter>
  <pageMargins left="0.7" right="0.7" top="0.75" bottom="0.75" header="0.3" footer="0.3"/>
  <pageSetup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workbookViewId="0">
      <selection activeCell="C15" sqref="C15"/>
    </sheetView>
  </sheetViews>
  <sheetFormatPr defaultRowHeight="14.4"/>
  <cols>
    <col min="1" max="1" width="14.33203125" bestFit="1" customWidth="1"/>
    <col min="2" max="2" width="14.21875" bestFit="1" customWidth="1"/>
    <col min="3" max="4" width="9.33203125" bestFit="1" customWidth="1"/>
  </cols>
  <sheetData>
    <row r="1" spans="1:6">
      <c r="A1" s="104" t="s">
        <v>210</v>
      </c>
      <c r="B1" s="104" t="s">
        <v>211</v>
      </c>
      <c r="C1" s="104" t="s">
        <v>212</v>
      </c>
      <c r="D1" s="104" t="s">
        <v>213</v>
      </c>
      <c r="E1" s="104" t="s">
        <v>214</v>
      </c>
    </row>
    <row r="2" spans="1:6" ht="17.399999999999999">
      <c r="A2" s="109">
        <v>45674</v>
      </c>
      <c r="B2" s="100">
        <v>45674</v>
      </c>
      <c r="C2" s="101">
        <v>45</v>
      </c>
      <c r="D2" s="101">
        <v>8.0260999999999996</v>
      </c>
      <c r="E2" s="101">
        <v>99.95</v>
      </c>
      <c r="F2" s="108"/>
    </row>
    <row r="3" spans="1:6" ht="17.399999999999999">
      <c r="A3" s="109">
        <v>45674</v>
      </c>
      <c r="B3" s="102">
        <v>45674</v>
      </c>
      <c r="C3" s="103">
        <v>30</v>
      </c>
      <c r="D3" s="103">
        <v>8.0260999999999996</v>
      </c>
      <c r="E3" s="103">
        <v>99.95</v>
      </c>
    </row>
    <row r="4" spans="1:6" ht="17.399999999999999">
      <c r="A4" s="109">
        <v>45664</v>
      </c>
      <c r="B4" s="100">
        <v>45664</v>
      </c>
      <c r="C4" s="101">
        <v>3.8</v>
      </c>
      <c r="D4" s="101">
        <v>7.98</v>
      </c>
      <c r="E4" s="101">
        <v>100.1348</v>
      </c>
    </row>
    <row r="5" spans="1:6" ht="17.399999999999999">
      <c r="A5" s="109">
        <v>45658</v>
      </c>
      <c r="B5" s="102">
        <v>45658</v>
      </c>
      <c r="C5" s="103">
        <v>5</v>
      </c>
      <c r="D5" s="103">
        <v>8.0056999999999992</v>
      </c>
      <c r="E5" s="103">
        <v>100.0385</v>
      </c>
    </row>
    <row r="6" spans="1:6" ht="17.399999999999999">
      <c r="A6" s="109">
        <v>45653</v>
      </c>
      <c r="B6" s="100">
        <v>45653</v>
      </c>
      <c r="C6" s="101">
        <v>10</v>
      </c>
      <c r="D6" s="101">
        <v>7.88</v>
      </c>
      <c r="E6" s="101">
        <v>100.5348</v>
      </c>
    </row>
    <row r="7" spans="1:6" ht="17.399999999999999">
      <c r="A7" s="109">
        <v>45653</v>
      </c>
      <c r="B7" s="102">
        <v>45653</v>
      </c>
      <c r="C7" s="103">
        <v>15</v>
      </c>
      <c r="D7" s="103">
        <v>7.88</v>
      </c>
      <c r="E7" s="103">
        <v>100.5348</v>
      </c>
    </row>
    <row r="8" spans="1:6" ht="17.399999999999999">
      <c r="A8" s="109">
        <v>45653</v>
      </c>
      <c r="B8" s="100">
        <v>45653</v>
      </c>
      <c r="C8" s="101">
        <v>15</v>
      </c>
      <c r="D8" s="101">
        <v>7.88</v>
      </c>
      <c r="E8" s="101">
        <v>100.5348</v>
      </c>
    </row>
    <row r="9" spans="1:6" ht="17.399999999999999">
      <c r="A9" s="109">
        <v>45652</v>
      </c>
      <c r="B9" s="102">
        <v>45653</v>
      </c>
      <c r="C9" s="103">
        <v>15</v>
      </c>
      <c r="D9" s="103">
        <v>7.91</v>
      </c>
      <c r="E9" s="103">
        <v>100.41679999999999</v>
      </c>
    </row>
    <row r="10" spans="1:6" ht="17.399999999999999">
      <c r="A10" s="109">
        <v>45652</v>
      </c>
      <c r="B10" s="100">
        <v>45653</v>
      </c>
      <c r="C10" s="101">
        <v>15</v>
      </c>
      <c r="D10" s="101">
        <v>7.91</v>
      </c>
      <c r="E10" s="101">
        <v>100.41679999999999</v>
      </c>
    </row>
    <row r="11" spans="1:6" ht="17.399999999999999">
      <c r="A11" s="109">
        <v>45652</v>
      </c>
      <c r="B11" s="102">
        <v>45653</v>
      </c>
      <c r="C11" s="103">
        <v>10</v>
      </c>
      <c r="D11" s="103">
        <v>7.91</v>
      </c>
      <c r="E11" s="103">
        <v>100.41679999999999</v>
      </c>
    </row>
    <row r="12" spans="1:6" ht="17.399999999999999">
      <c r="A12" s="109">
        <v>45652</v>
      </c>
      <c r="B12" s="100">
        <v>45653</v>
      </c>
      <c r="C12" s="101">
        <v>15</v>
      </c>
      <c r="D12" s="101">
        <v>7.92</v>
      </c>
      <c r="E12" s="101">
        <v>100.3775</v>
      </c>
    </row>
    <row r="13" spans="1:6" ht="17.399999999999999">
      <c r="A13" s="109">
        <v>45652</v>
      </c>
      <c r="B13" s="102">
        <v>45653</v>
      </c>
      <c r="C13" s="103">
        <v>25</v>
      </c>
      <c r="D13" s="103">
        <v>7.92</v>
      </c>
      <c r="E13" s="103">
        <v>100.3775</v>
      </c>
    </row>
    <row r="14" spans="1:6" ht="17.399999999999999">
      <c r="A14" s="109">
        <v>45644</v>
      </c>
      <c r="B14" s="100">
        <v>45645</v>
      </c>
      <c r="C14" s="101">
        <v>1</v>
      </c>
      <c r="D14" s="101">
        <v>7.9565999999999999</v>
      </c>
      <c r="E14" s="101">
        <v>100.24</v>
      </c>
    </row>
    <row r="15" spans="1:6" ht="17.399999999999999">
      <c r="A15" s="109">
        <v>45637</v>
      </c>
      <c r="B15" s="102">
        <v>45638</v>
      </c>
      <c r="C15" s="103">
        <v>0.2</v>
      </c>
      <c r="D15" s="103">
        <v>8</v>
      </c>
      <c r="E15" s="103">
        <v>100.0745</v>
      </c>
    </row>
    <row r="16" spans="1:6" ht="17.399999999999999">
      <c r="A16" s="109">
        <v>45629</v>
      </c>
      <c r="B16" s="100">
        <v>45629</v>
      </c>
      <c r="C16" s="101">
        <v>10</v>
      </c>
      <c r="D16" s="101">
        <v>8.02</v>
      </c>
      <c r="E16" s="101">
        <v>100</v>
      </c>
    </row>
    <row r="17" spans="1:5" ht="17.399999999999999">
      <c r="A17" s="109">
        <v>45628</v>
      </c>
      <c r="B17" s="102">
        <v>45629</v>
      </c>
      <c r="C17" s="103">
        <v>5</v>
      </c>
      <c r="D17" s="103">
        <v>8.02</v>
      </c>
      <c r="E17" s="103">
        <v>100</v>
      </c>
    </row>
    <row r="18" spans="1:5" ht="17.399999999999999">
      <c r="A18" s="109">
        <v>45610</v>
      </c>
      <c r="B18" s="100">
        <v>45610</v>
      </c>
      <c r="C18" s="101">
        <v>5</v>
      </c>
      <c r="D18" s="101">
        <v>7.9516</v>
      </c>
      <c r="E18" s="101">
        <v>100.29</v>
      </c>
    </row>
    <row r="19" spans="1:5" ht="17.399999999999999">
      <c r="A19" s="109">
        <v>45608</v>
      </c>
      <c r="B19" s="102">
        <v>45608</v>
      </c>
      <c r="C19" s="103">
        <v>2.5</v>
      </c>
      <c r="D19" s="103">
        <v>8.0322999999999993</v>
      </c>
      <c r="E19" s="103">
        <v>99.97</v>
      </c>
    </row>
    <row r="20" spans="1:5" ht="17.399999999999999">
      <c r="A20" s="109">
        <v>45608</v>
      </c>
      <c r="B20" s="100">
        <v>45608</v>
      </c>
      <c r="C20" s="101">
        <v>50</v>
      </c>
      <c r="D20" s="101">
        <v>8.0146999999999995</v>
      </c>
      <c r="E20" s="101">
        <v>100.04</v>
      </c>
    </row>
    <row r="21" spans="1:5" ht="17.399999999999999">
      <c r="A21" s="109">
        <v>45608</v>
      </c>
      <c r="B21" s="102">
        <v>45608</v>
      </c>
      <c r="C21" s="103">
        <v>50</v>
      </c>
      <c r="D21" s="103">
        <v>8.0246999999999993</v>
      </c>
      <c r="E21" s="103">
        <v>100</v>
      </c>
    </row>
    <row r="23" spans="1:5">
      <c r="C23" s="84"/>
    </row>
    <row r="24" spans="1:5">
      <c r="A24" s="104" t="s">
        <v>210</v>
      </c>
      <c r="B24" s="104" t="s">
        <v>211</v>
      </c>
      <c r="C24" s="104" t="s">
        <v>212</v>
      </c>
      <c r="D24" s="104" t="s">
        <v>213</v>
      </c>
      <c r="E24" s="104" t="s">
        <v>214</v>
      </c>
    </row>
    <row r="25" spans="1:5" ht="17.399999999999999">
      <c r="A25" s="109">
        <v>45608</v>
      </c>
      <c r="D25" s="84">
        <f>SUMPRODUCT(C19:C21,D19:D21)/SUM(C19:C21)</f>
        <v>8.0200073170731692</v>
      </c>
    </row>
    <row r="26" spans="1:5" ht="17.399999999999999">
      <c r="A26" s="109">
        <v>45610</v>
      </c>
      <c r="D26" s="84">
        <f>D18</f>
        <v>7.9516</v>
      </c>
    </row>
    <row r="27" spans="1:5" ht="17.399999999999999">
      <c r="A27" s="109">
        <v>45628</v>
      </c>
      <c r="D27" s="84">
        <f>D17</f>
        <v>8.02</v>
      </c>
    </row>
    <row r="28" spans="1:5" ht="17.399999999999999">
      <c r="A28" s="109">
        <v>45629</v>
      </c>
      <c r="D28" s="84">
        <f>D16</f>
        <v>8.02</v>
      </c>
    </row>
    <row r="29" spans="1:5" ht="17.399999999999999">
      <c r="A29" s="109">
        <v>45637</v>
      </c>
      <c r="D29" s="84">
        <f>D15</f>
        <v>8</v>
      </c>
    </row>
    <row r="30" spans="1:5" ht="17.399999999999999">
      <c r="A30" s="109">
        <v>45644</v>
      </c>
      <c r="D30" s="84">
        <f>D14</f>
        <v>7.9565999999999999</v>
      </c>
    </row>
    <row r="31" spans="1:5" ht="17.399999999999999">
      <c r="A31" s="109">
        <v>45652</v>
      </c>
      <c r="D31" s="84">
        <f>SUMPRODUCT(C9:C13,D9:D13)/SUM(C9:C13)</f>
        <v>7.9150000000000009</v>
      </c>
    </row>
    <row r="32" spans="1:5" ht="17.399999999999999">
      <c r="A32" s="109">
        <v>45653</v>
      </c>
      <c r="D32" s="84">
        <f>SUMPRODUCT(C6:C8,D6:D8)/SUM(C6:C8)</f>
        <v>7.88</v>
      </c>
    </row>
    <row r="33" spans="1:4" ht="17.399999999999999">
      <c r="A33" s="109">
        <v>45658</v>
      </c>
      <c r="D33" s="84">
        <f>D5</f>
        <v>8.0056999999999992</v>
      </c>
    </row>
    <row r="34" spans="1:4" ht="17.399999999999999">
      <c r="A34" s="109">
        <v>45664</v>
      </c>
      <c r="D34" s="84">
        <f>D4</f>
        <v>7.98</v>
      </c>
    </row>
    <row r="35" spans="1:4" ht="17.399999999999999">
      <c r="A35" s="109">
        <v>45674</v>
      </c>
      <c r="D35" s="84">
        <f>D2</f>
        <v>8.0260999999999996</v>
      </c>
    </row>
  </sheetData>
  <sortState ref="A25:E35">
    <sortCondition ref="A25"/>
  </sortState>
  <pageMargins left="0.7" right="0.7" top="0.75" bottom="0.75" header="0.3" footer="0.3"/>
  <pageSetup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G21" sqref="G21"/>
    </sheetView>
  </sheetViews>
  <sheetFormatPr defaultRowHeight="14.4"/>
  <cols>
    <col min="1" max="1" width="35.21875" bestFit="1" customWidth="1"/>
    <col min="2" max="2" width="19.44140625" bestFit="1" customWidth="1"/>
    <col min="3" max="3" width="1.77734375" bestFit="1" customWidth="1"/>
    <col min="4" max="6" width="4.21875" bestFit="1" customWidth="1"/>
  </cols>
  <sheetData>
    <row r="3" spans="1:3">
      <c r="A3" s="331"/>
      <c r="B3" s="332"/>
      <c r="C3" s="333"/>
    </row>
    <row r="4" spans="1:3">
      <c r="A4" s="334"/>
      <c r="B4" s="335"/>
      <c r="C4" s="336"/>
    </row>
    <row r="5" spans="1:3">
      <c r="A5" s="334"/>
      <c r="B5" s="335"/>
      <c r="C5" s="336"/>
    </row>
    <row r="6" spans="1:3">
      <c r="A6" s="334"/>
      <c r="B6" s="335"/>
      <c r="C6" s="336"/>
    </row>
    <row r="7" spans="1:3">
      <c r="A7" s="334"/>
      <c r="B7" s="335"/>
      <c r="C7" s="336"/>
    </row>
    <row r="8" spans="1:3">
      <c r="A8" s="334"/>
      <c r="B8" s="335"/>
      <c r="C8" s="336"/>
    </row>
    <row r="9" spans="1:3">
      <c r="A9" s="334"/>
      <c r="B9" s="335"/>
      <c r="C9" s="336"/>
    </row>
    <row r="10" spans="1:3">
      <c r="A10" s="334"/>
      <c r="B10" s="335"/>
      <c r="C10" s="336"/>
    </row>
    <row r="11" spans="1:3">
      <c r="A11" s="334"/>
      <c r="B11" s="335"/>
      <c r="C11" s="336"/>
    </row>
    <row r="12" spans="1:3">
      <c r="A12" s="334"/>
      <c r="B12" s="335"/>
      <c r="C12" s="336"/>
    </row>
    <row r="13" spans="1:3">
      <c r="A13" s="334"/>
      <c r="B13" s="335"/>
      <c r="C13" s="336"/>
    </row>
    <row r="14" spans="1:3">
      <c r="A14" s="334"/>
      <c r="B14" s="335"/>
      <c r="C14" s="336"/>
    </row>
    <row r="15" spans="1:3">
      <c r="A15" s="334"/>
      <c r="B15" s="335"/>
      <c r="C15" s="336"/>
    </row>
    <row r="16" spans="1:3">
      <c r="A16" s="334"/>
      <c r="B16" s="335"/>
      <c r="C16" s="336"/>
    </row>
    <row r="17" spans="1:3">
      <c r="A17" s="334"/>
      <c r="B17" s="335"/>
      <c r="C17" s="336"/>
    </row>
    <row r="18" spans="1:3">
      <c r="A18" s="334"/>
      <c r="B18" s="335"/>
      <c r="C18" s="336"/>
    </row>
    <row r="19" spans="1:3">
      <c r="A19" s="334"/>
      <c r="B19" s="335"/>
      <c r="C19" s="336"/>
    </row>
    <row r="20" spans="1:3">
      <c r="A20" s="337"/>
      <c r="B20" s="338"/>
      <c r="C20" s="33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7"/>
  <sheetViews>
    <sheetView zoomScale="90" workbookViewId="0">
      <selection activeCell="O25" sqref="O25"/>
    </sheetView>
  </sheetViews>
  <sheetFormatPr defaultRowHeight="14.4"/>
  <cols>
    <col min="1" max="1" width="44.109375" bestFit="1" customWidth="1"/>
    <col min="2" max="2" width="59.21875" bestFit="1" customWidth="1"/>
    <col min="3" max="3" width="19.21875" customWidth="1"/>
    <col min="4" max="4" width="17.33203125" bestFit="1" customWidth="1"/>
    <col min="8" max="8" width="63.6640625" bestFit="1" customWidth="1"/>
    <col min="9" max="9" width="17.5546875" bestFit="1" customWidth="1"/>
  </cols>
  <sheetData>
    <row r="2" spans="1:9">
      <c r="A2" t="s">
        <v>231</v>
      </c>
      <c r="B2" s="88"/>
    </row>
    <row r="3" spans="1:9">
      <c r="A3" s="88" t="s">
        <v>234</v>
      </c>
      <c r="B3" s="115" t="s">
        <v>232</v>
      </c>
      <c r="C3" s="88" t="s">
        <v>233</v>
      </c>
      <c r="H3" s="341" t="s">
        <v>340</v>
      </c>
    </row>
    <row r="4" spans="1:9">
      <c r="A4" s="88">
        <v>1</v>
      </c>
      <c r="B4" s="116" t="s">
        <v>235</v>
      </c>
      <c r="C4" s="118">
        <v>1</v>
      </c>
      <c r="H4" s="341" t="s">
        <v>337</v>
      </c>
      <c r="I4" s="341" t="s">
        <v>338</v>
      </c>
    </row>
    <row r="5" spans="1:9">
      <c r="A5" s="88" t="s">
        <v>236</v>
      </c>
      <c r="B5" s="115" t="s">
        <v>237</v>
      </c>
      <c r="C5" s="118">
        <v>0.16</v>
      </c>
      <c r="H5" s="341" t="s">
        <v>256</v>
      </c>
      <c r="I5" s="343">
        <v>0.17799999999999999</v>
      </c>
    </row>
    <row r="6" spans="1:9">
      <c r="A6" s="88" t="s">
        <v>239</v>
      </c>
      <c r="B6" s="116" t="s">
        <v>240</v>
      </c>
      <c r="C6" s="116" t="s">
        <v>66</v>
      </c>
      <c r="H6" s="341" t="s">
        <v>258</v>
      </c>
      <c r="I6" s="343">
        <v>0.13900000000000001</v>
      </c>
    </row>
    <row r="7" spans="1:9">
      <c r="A7" s="88" t="s">
        <v>241</v>
      </c>
      <c r="B7" s="115" t="s">
        <v>242</v>
      </c>
      <c r="C7" s="115" t="s">
        <v>243</v>
      </c>
      <c r="H7" s="341" t="s">
        <v>260</v>
      </c>
      <c r="I7" s="343">
        <v>0.13500000000000001</v>
      </c>
    </row>
    <row r="8" spans="1:9">
      <c r="A8" s="88" t="s">
        <v>244</v>
      </c>
      <c r="B8" s="116" t="s">
        <v>245</v>
      </c>
      <c r="C8" s="116" t="s">
        <v>190</v>
      </c>
      <c r="H8" s="341" t="s">
        <v>262</v>
      </c>
      <c r="I8" s="343">
        <v>0.23899999999999999</v>
      </c>
    </row>
    <row r="9" spans="1:9">
      <c r="A9" s="88" t="s">
        <v>246</v>
      </c>
      <c r="B9" s="115" t="s">
        <v>247</v>
      </c>
      <c r="C9" s="115" t="s">
        <v>248</v>
      </c>
      <c r="H9" s="341" t="s">
        <v>264</v>
      </c>
      <c r="I9" s="343">
        <v>0.14000000000000001</v>
      </c>
    </row>
    <row r="10" spans="1:9">
      <c r="A10" s="88" t="s">
        <v>249</v>
      </c>
      <c r="B10" s="116" t="s">
        <v>250</v>
      </c>
      <c r="C10" s="116" t="s">
        <v>190</v>
      </c>
      <c r="H10" s="341" t="s">
        <v>339</v>
      </c>
      <c r="I10" s="343">
        <v>3.5000000000000003E-2</v>
      </c>
    </row>
    <row r="11" spans="1:9">
      <c r="A11" s="88" t="s">
        <v>251</v>
      </c>
      <c r="B11" s="115" t="s">
        <v>252</v>
      </c>
      <c r="C11" s="115" t="s">
        <v>253</v>
      </c>
      <c r="H11" s="341" t="s">
        <v>268</v>
      </c>
      <c r="I11" s="343">
        <v>9.6000000000000002E-2</v>
      </c>
    </row>
    <row r="12" spans="1:9">
      <c r="A12" s="88" t="s">
        <v>275</v>
      </c>
      <c r="B12" s="116" t="s">
        <v>254</v>
      </c>
      <c r="C12" s="116" t="s">
        <v>66</v>
      </c>
      <c r="H12" s="341" t="s">
        <v>270</v>
      </c>
      <c r="I12" s="343">
        <v>3.7999999999999999E-2</v>
      </c>
    </row>
    <row r="13" spans="1:9">
      <c r="B13" s="117" t="s">
        <v>27</v>
      </c>
      <c r="C13" s="115" t="s">
        <v>238</v>
      </c>
      <c r="H13" s="341" t="s">
        <v>272</v>
      </c>
      <c r="I13" s="118">
        <v>0</v>
      </c>
    </row>
    <row r="14" spans="1:9">
      <c r="H14" s="341" t="s">
        <v>274</v>
      </c>
      <c r="I14" s="118">
        <v>0</v>
      </c>
    </row>
    <row r="16" spans="1:9">
      <c r="B16" s="115" t="s">
        <v>255</v>
      </c>
      <c r="C16" s="115" t="s">
        <v>233</v>
      </c>
    </row>
    <row r="17" spans="2:8">
      <c r="B17" s="116" t="s">
        <v>256</v>
      </c>
      <c r="C17" s="116" t="s">
        <v>257</v>
      </c>
    </row>
    <row r="18" spans="2:8">
      <c r="B18" s="115" t="s">
        <v>258</v>
      </c>
      <c r="C18" s="115" t="s">
        <v>259</v>
      </c>
      <c r="H18" s="341"/>
    </row>
    <row r="19" spans="2:8">
      <c r="B19" s="116" t="s">
        <v>260</v>
      </c>
      <c r="C19" s="116" t="s">
        <v>261</v>
      </c>
      <c r="H19" s="341"/>
    </row>
    <row r="20" spans="2:8">
      <c r="B20" s="115" t="s">
        <v>262</v>
      </c>
      <c r="C20" s="115" t="s">
        <v>263</v>
      </c>
      <c r="H20" s="341"/>
    </row>
    <row r="21" spans="2:8">
      <c r="B21" s="116" t="s">
        <v>264</v>
      </c>
      <c r="C21" s="116" t="s">
        <v>265</v>
      </c>
      <c r="H21" s="341"/>
    </row>
    <row r="22" spans="2:8">
      <c r="B22" s="115" t="s">
        <v>266</v>
      </c>
      <c r="C22" s="115" t="s">
        <v>267</v>
      </c>
      <c r="H22" s="341"/>
    </row>
    <row r="23" spans="2:8">
      <c r="B23" s="116" t="s">
        <v>268</v>
      </c>
      <c r="C23" s="116" t="s">
        <v>269</v>
      </c>
      <c r="H23" s="341"/>
    </row>
    <row r="24" spans="2:8">
      <c r="B24" s="115" t="s">
        <v>270</v>
      </c>
      <c r="C24" s="115" t="s">
        <v>271</v>
      </c>
      <c r="H24" s="341"/>
    </row>
    <row r="25" spans="2:8">
      <c r="B25" s="116" t="s">
        <v>272</v>
      </c>
      <c r="C25" s="116" t="s">
        <v>273</v>
      </c>
      <c r="H25" s="341"/>
    </row>
    <row r="26" spans="2:8">
      <c r="B26" s="115" t="s">
        <v>274</v>
      </c>
      <c r="C26" s="115" t="s">
        <v>273</v>
      </c>
      <c r="H26" s="341"/>
    </row>
    <row r="27" spans="2:8">
      <c r="H27" s="341"/>
    </row>
    <row r="28" spans="2:8">
      <c r="H28" s="341"/>
    </row>
    <row r="29" spans="2:8">
      <c r="B29" s="88" t="s">
        <v>276</v>
      </c>
      <c r="C29" s="88" t="s">
        <v>277</v>
      </c>
      <c r="D29" s="88" t="s">
        <v>233</v>
      </c>
    </row>
    <row r="30" spans="2:8">
      <c r="B30" s="88">
        <v>1</v>
      </c>
      <c r="C30" s="88" t="s">
        <v>278</v>
      </c>
      <c r="D30" s="25">
        <v>0.33329999999999999</v>
      </c>
    </row>
    <row r="31" spans="2:8">
      <c r="B31" s="88">
        <v>2</v>
      </c>
      <c r="C31" s="88" t="s">
        <v>279</v>
      </c>
      <c r="D31" s="25">
        <v>7.9799999999999996E-2</v>
      </c>
    </row>
    <row r="32" spans="2:8">
      <c r="B32" s="88">
        <v>3</v>
      </c>
      <c r="C32" s="88" t="s">
        <v>280</v>
      </c>
      <c r="D32" s="25">
        <v>6.0400000000000002E-2</v>
      </c>
    </row>
    <row r="33" spans="2:4">
      <c r="B33" s="88">
        <v>4</v>
      </c>
      <c r="C33" s="88" t="s">
        <v>281</v>
      </c>
      <c r="D33" s="25">
        <v>5.3499999999999999E-2</v>
      </c>
    </row>
    <row r="34" spans="2:4">
      <c r="B34" s="88">
        <v>5</v>
      </c>
      <c r="C34" s="88" t="s">
        <v>282</v>
      </c>
      <c r="D34" s="25">
        <v>5.2900000000000003E-2</v>
      </c>
    </row>
    <row r="36" spans="2:4">
      <c r="B36" s="323" t="s">
        <v>232</v>
      </c>
      <c r="C36" s="324" t="s">
        <v>233</v>
      </c>
    </row>
    <row r="37" spans="2:4">
      <c r="B37" s="325" t="s">
        <v>237</v>
      </c>
      <c r="C37" s="326">
        <v>0.16</v>
      </c>
    </row>
    <row r="38" spans="2:4">
      <c r="B38" s="327" t="s">
        <v>240</v>
      </c>
      <c r="C38" s="327" t="s">
        <v>66</v>
      </c>
    </row>
    <row r="39" spans="2:4">
      <c r="B39" s="329" t="s">
        <v>242</v>
      </c>
      <c r="C39" s="329" t="s">
        <v>243</v>
      </c>
    </row>
    <row r="40" spans="2:4">
      <c r="B40" s="327" t="s">
        <v>245</v>
      </c>
      <c r="C40" s="327" t="s">
        <v>66</v>
      </c>
    </row>
    <row r="41" spans="2:4">
      <c r="B41" s="325" t="s">
        <v>247</v>
      </c>
      <c r="C41" s="325" t="s">
        <v>248</v>
      </c>
    </row>
    <row r="42" spans="2:4">
      <c r="B42" s="327" t="s">
        <v>250</v>
      </c>
      <c r="C42" s="327" t="s">
        <v>66</v>
      </c>
    </row>
    <row r="43" spans="2:4">
      <c r="B43" s="328" t="s">
        <v>252</v>
      </c>
      <c r="C43" s="328" t="s">
        <v>253</v>
      </c>
    </row>
    <row r="44" spans="2:4">
      <c r="B44" s="327" t="s">
        <v>254</v>
      </c>
      <c r="C44" s="327" t="s">
        <v>66</v>
      </c>
    </row>
    <row r="48" spans="2:4">
      <c r="B48" s="323" t="s">
        <v>232</v>
      </c>
      <c r="C48" s="324" t="s">
        <v>233</v>
      </c>
    </row>
    <row r="49" spans="2:3">
      <c r="B49" s="325" t="s">
        <v>237</v>
      </c>
      <c r="C49" s="326">
        <v>0.16</v>
      </c>
    </row>
    <row r="50" spans="2:3">
      <c r="B50" s="327" t="s">
        <v>240</v>
      </c>
      <c r="C50" s="327" t="s">
        <v>66</v>
      </c>
    </row>
    <row r="51" spans="2:3">
      <c r="B51" s="329" t="s">
        <v>242</v>
      </c>
      <c r="C51" s="329" t="s">
        <v>243</v>
      </c>
    </row>
    <row r="52" spans="2:3">
      <c r="B52" s="327" t="s">
        <v>245</v>
      </c>
      <c r="C52" s="327" t="s">
        <v>66</v>
      </c>
    </row>
    <row r="53" spans="2:3">
      <c r="B53" s="325" t="s">
        <v>247</v>
      </c>
      <c r="C53" s="325" t="s">
        <v>248</v>
      </c>
    </row>
    <row r="54" spans="2:3">
      <c r="B54" s="327" t="s">
        <v>250</v>
      </c>
      <c r="C54" s="327" t="s">
        <v>66</v>
      </c>
    </row>
    <row r="55" spans="2:3">
      <c r="B55" s="328" t="s">
        <v>252</v>
      </c>
      <c r="C55" s="328" t="s">
        <v>253</v>
      </c>
    </row>
    <row r="56" spans="2:3">
      <c r="B56" s="327" t="s">
        <v>254</v>
      </c>
      <c r="C56" s="327" t="s">
        <v>66</v>
      </c>
    </row>
    <row r="59" spans="2:3">
      <c r="B59" s="320" t="s">
        <v>232</v>
      </c>
      <c r="C59" s="320" t="s">
        <v>233</v>
      </c>
    </row>
    <row r="60" spans="2:3">
      <c r="B60" s="320" t="s">
        <v>237</v>
      </c>
      <c r="C60" s="24">
        <v>0.16</v>
      </c>
    </row>
    <row r="61" spans="2:3">
      <c r="B61" s="320" t="s">
        <v>242</v>
      </c>
      <c r="C61" s="118">
        <v>0.31</v>
      </c>
    </row>
    <row r="62" spans="2:3">
      <c r="B62" s="320" t="s">
        <v>247</v>
      </c>
      <c r="C62" s="118">
        <v>0.21</v>
      </c>
    </row>
    <row r="63" spans="2:3">
      <c r="B63" s="320" t="s">
        <v>252</v>
      </c>
      <c r="C63" s="118">
        <v>0.32</v>
      </c>
    </row>
    <row r="77" spans="11:11">
      <c r="K77" s="340"/>
    </row>
  </sheetData>
  <pageMargins left="0.7" right="0.7" top="0.75" bottom="0.75" header="0.3" footer="0.3"/>
  <pageSetup orientation="portrait" horizontalDpi="360" verticalDpi="360" r:id="rId1"/>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D16" sqref="D16"/>
    </sheetView>
  </sheetViews>
  <sheetFormatPr defaultRowHeight="14.4"/>
  <cols>
    <col min="1" max="1" width="8.33203125" bestFit="1" customWidth="1"/>
    <col min="2" max="2" width="13.21875" bestFit="1" customWidth="1"/>
    <col min="3" max="3" width="19.44140625" bestFit="1" customWidth="1"/>
    <col min="4" max="4" width="61.77734375" bestFit="1" customWidth="1"/>
    <col min="5" max="5" width="53.21875" bestFit="1" customWidth="1"/>
    <col min="6" max="6" width="24.21875" bestFit="1" customWidth="1"/>
    <col min="7" max="7" width="17" bestFit="1" customWidth="1"/>
    <col min="8" max="8" width="80.77734375" bestFit="1" customWidth="1"/>
    <col min="9" max="9" width="43.44140625" bestFit="1" customWidth="1"/>
    <col min="10" max="11" width="17" bestFit="1" customWidth="1"/>
    <col min="12" max="12" width="11.5546875" bestFit="1" customWidth="1"/>
  </cols>
  <sheetData>
    <row r="1" spans="1:3">
      <c r="A1" t="s">
        <v>276</v>
      </c>
      <c r="B1" t="s">
        <v>277</v>
      </c>
      <c r="C1" t="s">
        <v>233</v>
      </c>
    </row>
    <row r="2" spans="1:3">
      <c r="A2">
        <v>1</v>
      </c>
      <c r="B2" t="s">
        <v>278</v>
      </c>
      <c r="C2">
        <v>0.33329999999999999</v>
      </c>
    </row>
    <row r="3" spans="1:3">
      <c r="A3">
        <v>2</v>
      </c>
      <c r="B3" t="s">
        <v>279</v>
      </c>
      <c r="C3">
        <v>7.9799999999999996E-2</v>
      </c>
    </row>
    <row r="4" spans="1:3">
      <c r="A4">
        <v>3</v>
      </c>
      <c r="B4" t="s">
        <v>280</v>
      </c>
      <c r="C4">
        <v>6.0400000000000002E-2</v>
      </c>
    </row>
    <row r="5" spans="1:3">
      <c r="A5">
        <v>4</v>
      </c>
      <c r="B5" t="s">
        <v>281</v>
      </c>
      <c r="C5">
        <v>5.3499999999999999E-2</v>
      </c>
    </row>
    <row r="6" spans="1:3">
      <c r="A6">
        <v>5</v>
      </c>
      <c r="B6" t="s">
        <v>282</v>
      </c>
      <c r="C6">
        <v>5.2900000000000003E-2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election activeCell="P11" sqref="P11"/>
    </sheetView>
  </sheetViews>
  <sheetFormatPr defaultRowHeight="14.4"/>
  <cols>
    <col min="1" max="1" width="18.44140625" bestFit="1" customWidth="1"/>
    <col min="2" max="2" width="9.33203125" bestFit="1" customWidth="1"/>
    <col min="3" max="3" width="23.77734375" customWidth="1"/>
    <col min="4" max="4" width="10.109375" bestFit="1" customWidth="1"/>
    <col min="9" max="9" width="14.109375" bestFit="1" customWidth="1"/>
  </cols>
  <sheetData>
    <row r="1" spans="1:4" ht="16.8">
      <c r="A1" s="147" t="s">
        <v>65</v>
      </c>
      <c r="B1" s="147" t="s">
        <v>294</v>
      </c>
      <c r="C1" s="147" t="s">
        <v>298</v>
      </c>
    </row>
    <row r="2" spans="1:4" ht="16.8">
      <c r="A2" s="29">
        <v>45292</v>
      </c>
      <c r="B2" s="307">
        <v>21725.7</v>
      </c>
      <c r="C2" s="148">
        <v>478.3</v>
      </c>
      <c r="D2" s="25" t="str">
        <f>"-"</f>
        <v>-</v>
      </c>
    </row>
    <row r="3" spans="1:4" ht="16.8">
      <c r="A3" s="29">
        <v>45323</v>
      </c>
      <c r="B3" s="307">
        <v>21982.799999999999</v>
      </c>
      <c r="C3" s="148">
        <v>467</v>
      </c>
      <c r="D3" s="25">
        <f t="shared" ref="D3:D13" si="0">(B3-B2)/B2</f>
        <v>1.1833910990209685E-2</v>
      </c>
    </row>
    <row r="4" spans="1:4" ht="16.8">
      <c r="A4" s="29">
        <v>45352</v>
      </c>
      <c r="B4" s="307">
        <v>22326.9</v>
      </c>
      <c r="C4" s="148">
        <v>465.6</v>
      </c>
      <c r="D4" s="25">
        <f t="shared" si="0"/>
        <v>1.5653147005841032E-2</v>
      </c>
    </row>
    <row r="5" spans="1:4" ht="16.8">
      <c r="A5" s="29">
        <v>45383</v>
      </c>
      <c r="B5" s="307">
        <v>22604.85</v>
      </c>
      <c r="C5" s="148">
        <v>490.65</v>
      </c>
      <c r="D5" s="25">
        <f t="shared" si="0"/>
        <v>1.2449108474530592E-2</v>
      </c>
    </row>
    <row r="6" spans="1:4" ht="16.8">
      <c r="A6" s="29">
        <v>45413</v>
      </c>
      <c r="B6" s="307">
        <v>22530.7</v>
      </c>
      <c r="C6" s="148">
        <v>449.1</v>
      </c>
      <c r="D6" s="25">
        <f t="shared" si="0"/>
        <v>-3.2802694996869179E-3</v>
      </c>
    </row>
    <row r="7" spans="1:4" ht="16.8">
      <c r="A7" s="29">
        <v>45444</v>
      </c>
      <c r="B7" s="307">
        <v>24010.6</v>
      </c>
      <c r="C7" s="148">
        <v>409.1</v>
      </c>
      <c r="D7" s="25">
        <f t="shared" si="0"/>
        <v>6.5683711558007424E-2</v>
      </c>
    </row>
    <row r="8" spans="1:4" ht="16.8">
      <c r="A8" s="29">
        <v>45474</v>
      </c>
      <c r="B8" s="307">
        <v>24951.15</v>
      </c>
      <c r="C8" s="148">
        <v>369.05</v>
      </c>
      <c r="D8" s="25">
        <f t="shared" si="0"/>
        <v>3.9172282242009901E-2</v>
      </c>
    </row>
    <row r="9" spans="1:4" ht="16.8">
      <c r="A9" s="29">
        <v>45505</v>
      </c>
      <c r="B9" s="307">
        <v>25235.9</v>
      </c>
      <c r="C9" s="148">
        <v>387.3</v>
      </c>
      <c r="D9" s="25">
        <f t="shared" si="0"/>
        <v>1.1412299633483827E-2</v>
      </c>
    </row>
    <row r="10" spans="1:4" ht="16.8">
      <c r="A10" s="29">
        <v>45536</v>
      </c>
      <c r="B10" s="307">
        <v>25810.85</v>
      </c>
      <c r="C10" s="148">
        <v>394.45</v>
      </c>
      <c r="D10" s="25">
        <f t="shared" si="0"/>
        <v>2.2783019428670944E-2</v>
      </c>
    </row>
    <row r="11" spans="1:4" ht="16.8">
      <c r="A11" s="29">
        <v>45566</v>
      </c>
      <c r="B11" s="307">
        <v>24205.35</v>
      </c>
      <c r="C11" s="148">
        <v>374.5</v>
      </c>
      <c r="D11" s="25">
        <f t="shared" si="0"/>
        <v>-6.2202523357425273E-2</v>
      </c>
    </row>
    <row r="12" spans="1:4" ht="16.8">
      <c r="A12" s="29">
        <v>45597</v>
      </c>
      <c r="B12" s="307">
        <v>24131.1</v>
      </c>
      <c r="C12" s="148">
        <v>354.45</v>
      </c>
      <c r="D12" s="25">
        <f t="shared" si="0"/>
        <v>-3.0675036717089407E-3</v>
      </c>
    </row>
    <row r="13" spans="1:4" ht="16.8">
      <c r="A13" s="29">
        <v>45627</v>
      </c>
      <c r="B13" s="307">
        <v>23644.799999999999</v>
      </c>
      <c r="C13" s="148">
        <v>314.35000000000002</v>
      </c>
      <c r="D13" s="25">
        <f t="shared" si="0"/>
        <v>-2.0152417419844072E-2</v>
      </c>
    </row>
    <row r="14" spans="1:4" ht="16.8">
      <c r="A14" s="29">
        <v>45658</v>
      </c>
      <c r="B14" s="307">
        <v>23494.6</v>
      </c>
      <c r="C14" s="148">
        <v>310.85000000000002</v>
      </c>
      <c r="D14" s="25"/>
    </row>
    <row r="15" spans="1:4" ht="16.8">
      <c r="A15" s="29">
        <v>45689</v>
      </c>
      <c r="B15" s="307">
        <v>22124.7</v>
      </c>
      <c r="C15" s="148">
        <v>281.3</v>
      </c>
      <c r="D15" s="361"/>
    </row>
    <row r="16" spans="1:4" ht="16.8">
      <c r="A16" s="29">
        <v>45717</v>
      </c>
      <c r="B16" s="307">
        <v>23519.35</v>
      </c>
      <c r="C16" s="148">
        <v>350.45</v>
      </c>
      <c r="D16" s="25"/>
    </row>
    <row r="17" spans="1:4" ht="16.8">
      <c r="A17" s="29">
        <v>45748</v>
      </c>
      <c r="B17" s="307">
        <v>24334.2</v>
      </c>
      <c r="C17" s="148">
        <v>375.25</v>
      </c>
      <c r="D17" s="362"/>
    </row>
    <row r="18" spans="1:4" ht="16.8">
      <c r="A18" s="149">
        <f ca="1">TODAY()</f>
        <v>45781</v>
      </c>
      <c r="B18" s="306">
        <f>STOCK!C8</f>
        <v>23632.85</v>
      </c>
      <c r="C18" s="147">
        <f>STOCK!C7</f>
        <v>348.5</v>
      </c>
      <c r="D18" s="25">
        <f>(B18-B13)/B13</f>
        <v>-5.0539653539047606E-4</v>
      </c>
    </row>
    <row r="21" spans="1:4">
      <c r="A21" s="106"/>
    </row>
    <row r="22" spans="1:4">
      <c r="A22" s="29"/>
    </row>
    <row r="29" spans="1:4" ht="16.8">
      <c r="B29" s="304"/>
      <c r="C29" s="296"/>
      <c r="D29" s="305">
        <v>45536</v>
      </c>
    </row>
    <row r="30" spans="1:4" ht="16.8">
      <c r="B30" s="304"/>
      <c r="C30" s="296"/>
      <c r="D30" s="305">
        <v>45566</v>
      </c>
    </row>
    <row r="31" spans="1:4" ht="16.8">
      <c r="B31" s="304"/>
      <c r="C31" s="296"/>
      <c r="D31" s="305">
        <v>45597</v>
      </c>
    </row>
    <row r="32" spans="1:4" ht="16.8">
      <c r="B32" s="304"/>
      <c r="C32" s="296"/>
      <c r="D32" s="305">
        <v>45413</v>
      </c>
    </row>
    <row r="33" spans="1:4" ht="16.8">
      <c r="B33" s="304"/>
      <c r="C33" s="296"/>
      <c r="D33" s="305">
        <v>45352</v>
      </c>
    </row>
    <row r="34" spans="1:4" ht="16.8">
      <c r="B34" s="304"/>
      <c r="C34" s="296"/>
      <c r="D34" s="305">
        <v>45444</v>
      </c>
    </row>
    <row r="35" spans="1:4" ht="16.8">
      <c r="B35" s="304"/>
      <c r="C35" s="296"/>
      <c r="D35" s="305">
        <v>45474</v>
      </c>
    </row>
    <row r="36" spans="1:4" ht="16.8">
      <c r="B36" s="304"/>
      <c r="C36" s="296"/>
      <c r="D36" s="305">
        <v>45292</v>
      </c>
    </row>
    <row r="37" spans="1:4" ht="16.8">
      <c r="B37" s="304"/>
      <c r="C37" s="296"/>
      <c r="D37" s="305">
        <v>45323</v>
      </c>
    </row>
    <row r="38" spans="1:4" ht="16.8">
      <c r="B38" s="304"/>
      <c r="C38" s="296"/>
      <c r="D38" s="305">
        <v>45627</v>
      </c>
    </row>
    <row r="39" spans="1:4" ht="16.8">
      <c r="B39" s="304"/>
      <c r="C39" s="296"/>
      <c r="D39" s="305">
        <v>45505</v>
      </c>
    </row>
    <row r="40" spans="1:4" ht="16.8">
      <c r="B40" s="304"/>
      <c r="C40" s="296"/>
      <c r="D40" s="305">
        <v>45383</v>
      </c>
    </row>
    <row r="41" spans="1:4">
      <c r="A41" s="108"/>
    </row>
    <row r="42" spans="1:4">
      <c r="A42" s="108"/>
    </row>
    <row r="43" spans="1:4">
      <c r="A43" s="108"/>
    </row>
    <row r="44" spans="1:4">
      <c r="A44" s="108"/>
    </row>
  </sheetData>
  <sortState ref="A2:D18">
    <sortCondition ref="A2"/>
  </sortState>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7"/>
  <sheetViews>
    <sheetView topLeftCell="A3" workbookViewId="0">
      <selection activeCell="B3" sqref="B3"/>
    </sheetView>
  </sheetViews>
  <sheetFormatPr defaultRowHeight="14.4"/>
  <cols>
    <col min="1" max="1" width="37.21875" bestFit="1" customWidth="1"/>
    <col min="2" max="2" width="22.33203125" customWidth="1"/>
  </cols>
  <sheetData>
    <row r="2" spans="1:1" ht="105" customHeight="1">
      <c r="A2" t="s">
        <v>39</v>
      </c>
    </row>
    <row r="3" spans="1:1" ht="73.95" customHeight="1">
      <c r="A3" t="s">
        <v>50</v>
      </c>
    </row>
    <row r="4" spans="1:1" ht="67.05" customHeight="1">
      <c r="A4" t="s">
        <v>54</v>
      </c>
    </row>
    <row r="5" spans="1:1" ht="69" customHeight="1">
      <c r="A5" t="s">
        <v>57</v>
      </c>
    </row>
    <row r="6" spans="1:1" ht="73.5" customHeight="1">
      <c r="A6" t="s">
        <v>62</v>
      </c>
    </row>
    <row r="7" spans="1:1" ht="33" customHeight="1">
      <c r="A7" t="s">
        <v>51</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145527-8F4D-475C-AF8A-E1B49F8903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39</vt:i4>
      </vt:variant>
    </vt:vector>
  </HeadingPairs>
  <TitlesOfParts>
    <vt:vector size="60" baseType="lpstr">
      <vt:lpstr>Poonawalla Fincorp </vt:lpstr>
      <vt:lpstr>Sheet2</vt:lpstr>
      <vt:lpstr>Promoter Holding</vt:lpstr>
      <vt:lpstr>FS</vt:lpstr>
      <vt:lpstr>DATA FS</vt:lpstr>
      <vt:lpstr>Sheet5</vt:lpstr>
      <vt:lpstr>DATA LIST</vt:lpstr>
      <vt:lpstr>Automation Working</vt:lpstr>
      <vt:lpstr>Our Pivot Full</vt:lpstr>
      <vt:lpstr>Our Pivot</vt:lpstr>
      <vt:lpstr>Our PH</vt:lpstr>
      <vt:lpstr>Imp Ratios</vt:lpstr>
      <vt:lpstr>Stock 2</vt:lpstr>
      <vt:lpstr>STOCK</vt:lpstr>
      <vt:lpstr>Trend Files</vt:lpstr>
      <vt:lpstr>Bond Trades</vt:lpstr>
      <vt:lpstr>Sheet1</vt:lpstr>
      <vt:lpstr>Georaphic Breakup</vt:lpstr>
      <vt:lpstr>Sheet9</vt:lpstr>
      <vt:lpstr>NSE Poona</vt:lpstr>
      <vt:lpstr>Logos</vt:lpstr>
      <vt:lpstr>ABSL_</vt:lpstr>
      <vt:lpstr>Aditya_Birla_Sun_Life_Trustee_Private_Limited</vt:lpstr>
      <vt:lpstr>Amansa_hold</vt:lpstr>
      <vt:lpstr>Amansa_Holdings_Private_Limited</vt:lpstr>
      <vt:lpstr>Bank_Muscat</vt:lpstr>
      <vt:lpstr>Bank_Muscat_India_Fund</vt:lpstr>
      <vt:lpstr>img_1</vt:lpstr>
      <vt:lpstr>img_2</vt:lpstr>
      <vt:lpstr>img_3</vt:lpstr>
      <vt:lpstr>img_4</vt:lpstr>
      <vt:lpstr>img_5</vt:lpstr>
      <vt:lpstr>img_6</vt:lpstr>
      <vt:lpstr>LiveStock</vt:lpstr>
      <vt:lpstr>Logo_1</vt:lpstr>
      <vt:lpstr>Logo_2</vt:lpstr>
      <vt:lpstr>Logo_3</vt:lpstr>
      <vt:lpstr>Logo_4</vt:lpstr>
      <vt:lpstr>Logo_5</vt:lpstr>
      <vt:lpstr>Logo_6</vt:lpstr>
      <vt:lpstr>Logocell2</vt:lpstr>
      <vt:lpstr>Logocell3</vt:lpstr>
      <vt:lpstr>Logocell4</vt:lpstr>
      <vt:lpstr>Logocell5</vt:lpstr>
      <vt:lpstr>Logocell6</vt:lpstr>
      <vt:lpstr>'Promoter Holding'!NBFCPH</vt:lpstr>
      <vt:lpstr>Nippon_India</vt:lpstr>
      <vt:lpstr>Nippon_Life_India_Trustee_Ltd__A_C_Nippo</vt:lpstr>
      <vt:lpstr>QONQ</vt:lpstr>
      <vt:lpstr>Quant_</vt:lpstr>
      <vt:lpstr>Quant_Mutual_Fund___Quant_Mid_Cap_Fund</vt:lpstr>
      <vt:lpstr>Ratios</vt:lpstr>
      <vt:lpstr>Rising_sun</vt:lpstr>
      <vt:lpstr>Rising_Sun_Holdings_Pvt_Ltd</vt:lpstr>
      <vt:lpstr>SegmentwisebreakupofAUM</vt:lpstr>
      <vt:lpstr>SPREADCALCI</vt:lpstr>
      <vt:lpstr>TicketSizeatthetimeoforigination</vt:lpstr>
      <vt:lpstr>Top5states</vt:lpstr>
      <vt:lpstr>YONY</vt:lpstr>
      <vt:lpstr>YOONY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Upadhyay</dc:creator>
  <cp:lastModifiedBy>sanjit upadhyay</cp:lastModifiedBy>
  <dcterms:created xsi:type="dcterms:W3CDTF">2024-12-24T08:00:45Z</dcterms:created>
  <dcterms:modified xsi:type="dcterms:W3CDTF">2025-05-04T12:20:43Z</dcterms:modified>
</cp:coreProperties>
</file>