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amu.SHUBHAM-LAPTOP\Downloads\"/>
    </mc:Choice>
  </mc:AlternateContent>
  <xr:revisionPtr revIDLastSave="0" documentId="8_{D48571F4-5E49-4525-9C6F-845B7D16B66F}" xr6:coauthVersionLast="36" xr6:coauthVersionMax="36" xr10:uidLastSave="{00000000-0000-0000-0000-000000000000}"/>
  <bookViews>
    <workbookView xWindow="0" yWindow="0" windowWidth="21600" windowHeight="8270" xr2:uid="{0C835E91-BDA7-49B0-95EA-1C135B687E13}"/>
  </bookViews>
  <sheets>
    <sheet name="BOND DETAIL EXAMPLE" sheetId="4" r:id="rId1"/>
    <sheet name="Bond Valuation" sheetId="5" r:id="rId2"/>
    <sheet name="Quants" sheetId="1" state="hidden" r:id="rId3"/>
  </sheets>
  <externalReferences>
    <externalReference r:id="rId4"/>
  </externalReferenc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5" l="1"/>
  <c r="D48" i="5"/>
  <c r="B48" i="5"/>
  <c r="I15" i="5"/>
  <c r="I13" i="5"/>
  <c r="D43" i="5"/>
  <c r="G10" i="5"/>
  <c r="C8" i="5"/>
  <c r="B3" i="5" l="1"/>
  <c r="C6" i="5"/>
  <c r="I16" i="5" s="1"/>
  <c r="I17" i="5" s="1"/>
  <c r="A2" i="4"/>
  <c r="C7" i="5"/>
  <c r="C5" i="5"/>
  <c r="B11" i="5" s="1"/>
  <c r="B49" i="5" l="1"/>
  <c r="B12" i="5"/>
  <c r="B50" i="5" l="1"/>
  <c r="B13" i="5"/>
  <c r="B51" i="5" l="1"/>
  <c r="B14" i="5"/>
  <c r="B52" i="5" l="1"/>
  <c r="B15" i="5"/>
  <c r="B53" i="5" l="1"/>
  <c r="B16" i="5"/>
  <c r="B54" i="5" l="1"/>
  <c r="B17" i="5"/>
  <c r="J58" i="1"/>
  <c r="H58" i="1"/>
  <c r="B18" i="5" l="1"/>
  <c r="B55" i="5"/>
  <c r="V82" i="1"/>
  <c r="V81" i="1"/>
  <c r="V80" i="1"/>
  <c r="V79" i="1"/>
  <c r="N78" i="1"/>
  <c r="M78" i="1"/>
  <c r="L78" i="1"/>
  <c r="K78" i="1"/>
  <c r="O78" i="1" s="1"/>
  <c r="V78" i="1" s="1"/>
  <c r="J78" i="1"/>
  <c r="H78" i="1"/>
  <c r="N77" i="1"/>
  <c r="M77" i="1"/>
  <c r="L77" i="1"/>
  <c r="O77" i="1" s="1"/>
  <c r="V77" i="1" s="1"/>
  <c r="J77" i="1"/>
  <c r="H77" i="1"/>
  <c r="N76" i="1"/>
  <c r="M76" i="1"/>
  <c r="L76" i="1"/>
  <c r="K76" i="1"/>
  <c r="O76" i="1" s="1"/>
  <c r="V76" i="1" s="1"/>
  <c r="J76" i="1"/>
  <c r="H76" i="1"/>
  <c r="N75" i="1"/>
  <c r="M75" i="1"/>
  <c r="L75" i="1"/>
  <c r="K75" i="1"/>
  <c r="O75" i="1" s="1"/>
  <c r="V75" i="1" s="1"/>
  <c r="J75" i="1"/>
  <c r="H75" i="1"/>
  <c r="N74" i="1"/>
  <c r="M74" i="1"/>
  <c r="K74" i="1"/>
  <c r="O74" i="1" s="1"/>
  <c r="V74" i="1" s="1"/>
  <c r="J74" i="1"/>
  <c r="H74" i="1"/>
  <c r="O73" i="1"/>
  <c r="V73" i="1" s="1"/>
  <c r="N73" i="1"/>
  <c r="M73" i="1"/>
  <c r="L73" i="1"/>
  <c r="K73" i="1"/>
  <c r="J73" i="1"/>
  <c r="H73" i="1"/>
  <c r="O72" i="1"/>
  <c r="V72" i="1" s="1"/>
  <c r="J72" i="1"/>
  <c r="H72" i="1"/>
  <c r="O71" i="1"/>
  <c r="V71" i="1" s="1"/>
  <c r="J71" i="1"/>
  <c r="H71" i="1"/>
  <c r="O70" i="1"/>
  <c r="V70" i="1" s="1"/>
  <c r="J70" i="1"/>
  <c r="H70" i="1"/>
  <c r="O69" i="1"/>
  <c r="V69" i="1" s="1"/>
  <c r="J69" i="1"/>
  <c r="H69" i="1"/>
  <c r="O68" i="1"/>
  <c r="V68" i="1" s="1"/>
  <c r="J68" i="1"/>
  <c r="H68" i="1"/>
  <c r="O67" i="1"/>
  <c r="V67" i="1" s="1"/>
  <c r="J67" i="1"/>
  <c r="H67" i="1"/>
  <c r="O66" i="1"/>
  <c r="V66" i="1" s="1"/>
  <c r="J66" i="1"/>
  <c r="H66" i="1"/>
  <c r="O65" i="1"/>
  <c r="V65" i="1" s="1"/>
  <c r="J65" i="1"/>
  <c r="H65" i="1"/>
  <c r="O64" i="1"/>
  <c r="V64" i="1" s="1"/>
  <c r="J64" i="1"/>
  <c r="H64" i="1"/>
  <c r="O63" i="1"/>
  <c r="V63" i="1" s="1"/>
  <c r="J63" i="1"/>
  <c r="H63" i="1"/>
  <c r="O62" i="1"/>
  <c r="V62" i="1" s="1"/>
  <c r="J62" i="1"/>
  <c r="H62" i="1"/>
  <c r="O61" i="1"/>
  <c r="V61" i="1" s="1"/>
  <c r="J61" i="1"/>
  <c r="H61" i="1"/>
  <c r="O60" i="1"/>
  <c r="V60" i="1" s="1"/>
  <c r="J60" i="1"/>
  <c r="H60" i="1"/>
  <c r="O59" i="1"/>
  <c r="V59" i="1" s="1"/>
  <c r="J59" i="1"/>
  <c r="H59" i="1"/>
  <c r="O58" i="1"/>
  <c r="V58" i="1" s="1"/>
  <c r="O57" i="1"/>
  <c r="V57" i="1" s="1"/>
  <c r="J57" i="1"/>
  <c r="H57" i="1"/>
  <c r="O56" i="1"/>
  <c r="V56" i="1" s="1"/>
  <c r="J56" i="1"/>
  <c r="H56" i="1"/>
  <c r="O55" i="1"/>
  <c r="V55" i="1" s="1"/>
  <c r="J55" i="1"/>
  <c r="H55" i="1"/>
  <c r="O54" i="1"/>
  <c r="V54" i="1" s="1"/>
  <c r="J54" i="1"/>
  <c r="H54" i="1"/>
  <c r="O53" i="1"/>
  <c r="V53" i="1" s="1"/>
  <c r="J53" i="1"/>
  <c r="H53" i="1"/>
  <c r="O52" i="1"/>
  <c r="V52" i="1" s="1"/>
  <c r="J52" i="1"/>
  <c r="H52" i="1"/>
  <c r="O51" i="1"/>
  <c r="V51" i="1" s="1"/>
  <c r="J51" i="1"/>
  <c r="H51" i="1"/>
  <c r="O50" i="1"/>
  <c r="V50" i="1" s="1"/>
  <c r="J50" i="1"/>
  <c r="H50" i="1"/>
  <c r="O49" i="1"/>
  <c r="V49" i="1" s="1"/>
  <c r="J49" i="1"/>
  <c r="H49" i="1"/>
  <c r="O48" i="1"/>
  <c r="V48" i="1" s="1"/>
  <c r="J48" i="1"/>
  <c r="H48" i="1"/>
  <c r="O47" i="1"/>
  <c r="V47" i="1" s="1"/>
  <c r="J47" i="1"/>
  <c r="H47" i="1"/>
  <c r="O46" i="1"/>
  <c r="V46" i="1" s="1"/>
  <c r="J46" i="1"/>
  <c r="H46" i="1"/>
  <c r="O45" i="1"/>
  <c r="V45" i="1" s="1"/>
  <c r="J45" i="1"/>
  <c r="H45" i="1"/>
  <c r="O44" i="1"/>
  <c r="V44" i="1" s="1"/>
  <c r="J44" i="1"/>
  <c r="H44" i="1"/>
  <c r="O43" i="1"/>
  <c r="V43" i="1" s="1"/>
  <c r="J43" i="1"/>
  <c r="H43" i="1"/>
  <c r="O42" i="1"/>
  <c r="V42" i="1" s="1"/>
  <c r="J42" i="1"/>
  <c r="H42" i="1"/>
  <c r="O41" i="1"/>
  <c r="V41" i="1" s="1"/>
  <c r="J41" i="1"/>
  <c r="H41" i="1"/>
  <c r="O40" i="1"/>
  <c r="V40" i="1" s="1"/>
  <c r="J40" i="1"/>
  <c r="H40" i="1"/>
  <c r="O39" i="1"/>
  <c r="V39" i="1" s="1"/>
  <c r="J39" i="1"/>
  <c r="H39" i="1"/>
  <c r="O38" i="1"/>
  <c r="V38" i="1" s="1"/>
  <c r="J38" i="1"/>
  <c r="H38" i="1"/>
  <c r="O37" i="1"/>
  <c r="V37" i="1" s="1"/>
  <c r="J37" i="1"/>
  <c r="H37" i="1"/>
  <c r="O36" i="1"/>
  <c r="V36" i="1" s="1"/>
  <c r="J36" i="1"/>
  <c r="H36" i="1"/>
  <c r="O35" i="1"/>
  <c r="V35" i="1" s="1"/>
  <c r="J35" i="1"/>
  <c r="H35" i="1"/>
  <c r="O34" i="1"/>
  <c r="V34" i="1" s="1"/>
  <c r="J34" i="1"/>
  <c r="H34" i="1"/>
  <c r="O33" i="1"/>
  <c r="V33" i="1" s="1"/>
  <c r="H33" i="1"/>
  <c r="O32" i="1"/>
  <c r="V32" i="1" s="1"/>
  <c r="H32" i="1"/>
  <c r="O31" i="1"/>
  <c r="V31" i="1" s="1"/>
  <c r="H31" i="1"/>
  <c r="O30" i="1"/>
  <c r="V30" i="1" s="1"/>
  <c r="H30" i="1"/>
  <c r="O29" i="1"/>
  <c r="V29" i="1" s="1"/>
  <c r="H29" i="1"/>
  <c r="V28" i="1"/>
  <c r="O28" i="1"/>
  <c r="H28" i="1"/>
  <c r="V27" i="1"/>
  <c r="O27" i="1"/>
  <c r="H27" i="1"/>
  <c r="V26" i="1"/>
  <c r="O26" i="1"/>
  <c r="H26" i="1"/>
  <c r="O25" i="1"/>
  <c r="V25" i="1" s="1"/>
  <c r="H25" i="1"/>
  <c r="V24" i="1"/>
  <c r="O24" i="1"/>
  <c r="H24" i="1"/>
  <c r="O23" i="1"/>
  <c r="V23" i="1" s="1"/>
  <c r="H23" i="1"/>
  <c r="O22" i="1"/>
  <c r="V22" i="1" s="1"/>
  <c r="H22" i="1"/>
  <c r="O21" i="1"/>
  <c r="V21" i="1" s="1"/>
  <c r="H21" i="1"/>
  <c r="V20" i="1"/>
  <c r="O20" i="1"/>
  <c r="H20" i="1"/>
  <c r="V19" i="1"/>
  <c r="O19" i="1"/>
  <c r="H19" i="1"/>
  <c r="O18" i="1"/>
  <c r="E18" i="1"/>
  <c r="D18" i="1"/>
  <c r="H18" i="1" s="1"/>
  <c r="C18" i="1"/>
  <c r="O17" i="1"/>
  <c r="E17" i="1"/>
  <c r="D17" i="1"/>
  <c r="H17" i="1" s="1"/>
  <c r="C17" i="1"/>
  <c r="B17" i="1"/>
  <c r="O16" i="1"/>
  <c r="H16" i="1"/>
  <c r="E16" i="1"/>
  <c r="D16" i="1"/>
  <c r="C16" i="1"/>
  <c r="O15" i="1"/>
  <c r="E15" i="1"/>
  <c r="D15" i="1"/>
  <c r="H15" i="1" s="1"/>
  <c r="C15" i="1"/>
  <c r="O14" i="1"/>
  <c r="H14" i="1"/>
  <c r="C14" i="1"/>
  <c r="O13" i="1"/>
  <c r="E13" i="1"/>
  <c r="D13" i="1"/>
  <c r="H13" i="1" s="1"/>
  <c r="O12" i="1"/>
  <c r="H12" i="1"/>
  <c r="E12" i="1"/>
  <c r="D12" i="1"/>
  <c r="C12" i="1"/>
  <c r="O11" i="1"/>
  <c r="H11" i="1"/>
  <c r="O10" i="1"/>
  <c r="H10" i="1"/>
  <c r="F10" i="1"/>
  <c r="O9" i="1"/>
  <c r="H9" i="1"/>
  <c r="O8" i="1"/>
  <c r="H8" i="1"/>
  <c r="O7" i="1"/>
  <c r="H7" i="1"/>
  <c r="O6" i="1"/>
  <c r="H6" i="1"/>
  <c r="O5" i="1"/>
  <c r="H5" i="1"/>
  <c r="O4" i="1"/>
  <c r="H4" i="1"/>
  <c r="O3" i="1"/>
  <c r="H3" i="1"/>
  <c r="B56" i="5" l="1"/>
  <c r="B19" i="5"/>
  <c r="B57" i="5" l="1"/>
  <c r="B20" i="5"/>
  <c r="B58" i="5" l="1"/>
  <c r="B21" i="5"/>
  <c r="B59" i="5" l="1"/>
  <c r="B22" i="5"/>
  <c r="B23" i="5" l="1"/>
  <c r="B60" i="5"/>
  <c r="B61" i="5" l="1"/>
  <c r="B24" i="5"/>
  <c r="C14" i="5" s="1"/>
  <c r="C13" i="5" l="1"/>
  <c r="C51" i="5" s="1"/>
  <c r="C12" i="5"/>
  <c r="D12" i="5" s="1"/>
  <c r="D50" i="5" s="1"/>
  <c r="E50" i="5" s="1"/>
  <c r="F50" i="5" s="1"/>
  <c r="C16" i="5"/>
  <c r="C54" i="5" s="1"/>
  <c r="C15" i="5"/>
  <c r="C53" i="5" s="1"/>
  <c r="C22" i="5"/>
  <c r="C60" i="5" s="1"/>
  <c r="C23" i="5"/>
  <c r="C61" i="5" s="1"/>
  <c r="C20" i="5"/>
  <c r="C58" i="5" s="1"/>
  <c r="C21" i="5"/>
  <c r="C59" i="5" s="1"/>
  <c r="D14" i="5"/>
  <c r="D52" i="5" s="1"/>
  <c r="E52" i="5" s="1"/>
  <c r="F52" i="5" s="1"/>
  <c r="C52" i="5"/>
  <c r="C19" i="5"/>
  <c r="C18" i="5"/>
  <c r="C11" i="5"/>
  <c r="C24" i="5"/>
  <c r="B62" i="5"/>
  <c r="D13" i="5"/>
  <c r="D51" i="5" s="1"/>
  <c r="E51" i="5" s="1"/>
  <c r="F51" i="5" s="1"/>
  <c r="C17" i="5"/>
  <c r="C50" i="5" l="1"/>
  <c r="D21" i="5"/>
  <c r="D59" i="5" s="1"/>
  <c r="E59" i="5" s="1"/>
  <c r="F59" i="5" s="1"/>
  <c r="D16" i="5"/>
  <c r="D54" i="5" s="1"/>
  <c r="E54" i="5" s="1"/>
  <c r="F54" i="5" s="1"/>
  <c r="D20" i="5"/>
  <c r="D58" i="5" s="1"/>
  <c r="E58" i="5" s="1"/>
  <c r="F58" i="5" s="1"/>
  <c r="D22" i="5"/>
  <c r="D60" i="5" s="1"/>
  <c r="E60" i="5" s="1"/>
  <c r="F60" i="5" s="1"/>
  <c r="D15" i="5"/>
  <c r="D53" i="5" s="1"/>
  <c r="E53" i="5" s="1"/>
  <c r="F53" i="5" s="1"/>
  <c r="D23" i="5"/>
  <c r="D61" i="5" s="1"/>
  <c r="E61" i="5" s="1"/>
  <c r="F61" i="5" s="1"/>
  <c r="D17" i="5"/>
  <c r="C55" i="5"/>
  <c r="C56" i="5"/>
  <c r="D18" i="5"/>
  <c r="C57" i="5"/>
  <c r="D19" i="5"/>
  <c r="D24" i="5"/>
  <c r="C62" i="5"/>
  <c r="D11" i="5"/>
  <c r="C49" i="5"/>
  <c r="D57" i="5" l="1"/>
  <c r="E57" i="5" s="1"/>
  <c r="F57" i="5" s="1"/>
  <c r="D49" i="5"/>
  <c r="D26" i="5"/>
  <c r="E24" i="5" s="1"/>
  <c r="G24" i="5" s="1"/>
  <c r="D62" i="5"/>
  <c r="E62" i="5" s="1"/>
  <c r="F62" i="5" s="1"/>
  <c r="D56" i="5"/>
  <c r="E56" i="5" s="1"/>
  <c r="F56" i="5" s="1"/>
  <c r="E18" i="5"/>
  <c r="G18" i="5" s="1"/>
  <c r="D55" i="5"/>
  <c r="E55" i="5" s="1"/>
  <c r="F55" i="5" s="1"/>
  <c r="E11" i="5" l="1"/>
  <c r="E22" i="5"/>
  <c r="G22" i="5" s="1"/>
  <c r="E23" i="5"/>
  <c r="G23" i="5" s="1"/>
  <c r="E16" i="5"/>
  <c r="G16" i="5" s="1"/>
  <c r="J16" i="5"/>
  <c r="K16" i="5" s="1"/>
  <c r="E20" i="5"/>
  <c r="G20" i="5" s="1"/>
  <c r="E21" i="5"/>
  <c r="G21" i="5" s="1"/>
  <c r="E14" i="5"/>
  <c r="G14" i="5" s="1"/>
  <c r="E12" i="5"/>
  <c r="G12" i="5" s="1"/>
  <c r="E13" i="5"/>
  <c r="G13" i="5" s="1"/>
  <c r="E15" i="5"/>
  <c r="G15" i="5" s="1"/>
  <c r="E49" i="5"/>
  <c r="D65" i="5"/>
  <c r="E17" i="5"/>
  <c r="G17" i="5" s="1"/>
  <c r="E19" i="5"/>
  <c r="G19" i="5" s="1"/>
  <c r="F49" i="5" l="1"/>
  <c r="F65" i="5" s="1"/>
  <c r="D69" i="5" s="1"/>
  <c r="C75" i="5" s="1"/>
  <c r="E65" i="5"/>
  <c r="D67" i="5" s="1"/>
  <c r="G11" i="5"/>
  <c r="G26" i="5" s="1"/>
  <c r="G27" i="5" s="1"/>
  <c r="E26" i="5"/>
  <c r="I14" i="5"/>
  <c r="I18" i="5"/>
  <c r="J14" i="5" l="1"/>
  <c r="K14" i="5" s="1"/>
  <c r="J4" i="5"/>
  <c r="J8" i="5" s="1"/>
  <c r="J9" i="5" s="1"/>
  <c r="J15" i="5"/>
  <c r="K15" i="5" s="1"/>
  <c r="J17" i="5"/>
  <c r="K17" i="5" s="1"/>
  <c r="C71" i="5"/>
  <c r="C73" i="5" s="1"/>
  <c r="C77" i="5"/>
  <c r="C79" i="5" s="1"/>
  <c r="J13" i="5"/>
  <c r="K13" i="5" s="1"/>
  <c r="J18" i="5"/>
  <c r="K18" i="5" s="1"/>
</calcChain>
</file>

<file path=xl/sharedStrings.xml><?xml version="1.0" encoding="utf-8"?>
<sst xmlns="http://schemas.openxmlformats.org/spreadsheetml/2006/main" count="190" uniqueCount="150">
  <si>
    <t>Scheme Name</t>
  </si>
  <si>
    <t>Corpus
Rs Crs</t>
  </si>
  <si>
    <t>Average
 Maturity
 (Days)</t>
  </si>
  <si>
    <t>Modified Duration
 (Days)</t>
  </si>
  <si>
    <t>Macaulay Duration (Days)</t>
  </si>
  <si>
    <t>YTM</t>
  </si>
  <si>
    <t>Change in Bps</t>
  </si>
  <si>
    <t>Change in the Portfolio in Bps</t>
  </si>
  <si>
    <t>Exp. Ratio</t>
  </si>
  <si>
    <t>Net YTM</t>
  </si>
  <si>
    <t>AAA</t>
  </si>
  <si>
    <t>A1+</t>
  </si>
  <si>
    <t>Cash</t>
  </si>
  <si>
    <t>Sovereign</t>
  </si>
  <si>
    <t>Total AAA+Cash
+Sov</t>
  </si>
  <si>
    <t>AA+</t>
  </si>
  <si>
    <t>AA</t>
  </si>
  <si>
    <t>AA-</t>
  </si>
  <si>
    <t>Below AA-</t>
  </si>
  <si>
    <t>Non AAA</t>
  </si>
  <si>
    <t xml:space="preserve">Unrated/Others </t>
  </si>
  <si>
    <t>Total</t>
  </si>
  <si>
    <t>HSBC Overnight Fund</t>
  </si>
  <si>
    <t>NA</t>
  </si>
  <si>
    <t>HSBC Liquid Fund</t>
  </si>
  <si>
    <t>HSBC Ultra Short Duration Fund</t>
  </si>
  <si>
    <t>HSBC Money Market Fund</t>
  </si>
  <si>
    <t>HSBC Short Duration Fund</t>
  </si>
  <si>
    <t>HSBC Banking and PSU Debt Fund</t>
  </si>
  <si>
    <t>HSBC Corporate Bond Fund</t>
  </si>
  <si>
    <t>Baroda BNP Paribas Liquid Fund</t>
  </si>
  <si>
    <t>Baroda BNP Ultra Short Duration Fund</t>
  </si>
  <si>
    <t>Baroda BNP Corporate Bond Fund</t>
  </si>
  <si>
    <t>Baroda BNP Paribas Money Market Fund</t>
  </si>
  <si>
    <t>Baroda BNP Paribas Low Duration Fund</t>
  </si>
  <si>
    <t>Baroda BNP Paribas Short Duration Fund</t>
  </si>
  <si>
    <t>Baroda BNP Paribas Dynamic Bond Fund</t>
  </si>
  <si>
    <t>Baroda BNP Paribas Gilt Fund</t>
  </si>
  <si>
    <t>Baroda BNP Paribas Banking &amp; PSU Bond Fund</t>
  </si>
  <si>
    <t>DSP LIQUIDITY FUND</t>
  </si>
  <si>
    <t>DSP OVERNIGHT FUND</t>
  </si>
  <si>
    <t>DSP ULTRA SHORT FUND</t>
  </si>
  <si>
    <t>DSP LOW DURATION FUND</t>
  </si>
  <si>
    <t>DSP BANKING AND PSU FUND</t>
  </si>
  <si>
    <t>DSP SHORT TERM FUND</t>
  </si>
  <si>
    <t>DSP STRATEGIC BOND FUND</t>
  </si>
  <si>
    <t>DSP CORPORATE BOND FUND</t>
  </si>
  <si>
    <t>DSP SAVINGS FUND</t>
  </si>
  <si>
    <t>DSP GILT FUND</t>
  </si>
  <si>
    <t>DSP 10Y G-SEC FUND</t>
  </si>
  <si>
    <t>DSP FLOATER FUND</t>
  </si>
  <si>
    <t>NIFTY SDL GSEC 2028</t>
  </si>
  <si>
    <t>CRISIL SDL GSEC 2033</t>
  </si>
  <si>
    <t>NIFTY SDL GSEC 2027</t>
  </si>
  <si>
    <t>HDFC Banking and PSU Debt Fund</t>
  </si>
  <si>
    <t>HDFC Credit Risk Debt Fund</t>
  </si>
  <si>
    <t>HDFC Dynamic Debt Fund</t>
  </si>
  <si>
    <t>HDFC Low Duration Fund</t>
  </si>
  <si>
    <t>HDFC Income Fund</t>
  </si>
  <si>
    <t>HDFC Liquid Fund</t>
  </si>
  <si>
    <t>HDFC Gilt Fund</t>
  </si>
  <si>
    <t>HDFC Overnight Fund</t>
  </si>
  <si>
    <t>HDFC Corporate Bond Fund</t>
  </si>
  <si>
    <t>HDFC Money Market Fund</t>
  </si>
  <si>
    <t>HDFC Long Duration Debt Fund</t>
  </si>
  <si>
    <t>HDFC Short Term Debt Fund</t>
  </si>
  <si>
    <t>HDFC Ultra Short Term Fund</t>
  </si>
  <si>
    <t>HDFC Floating Rate Debt Fund</t>
  </si>
  <si>
    <t>HDFC Medium Term Debt Fund</t>
  </si>
  <si>
    <t>HDFC Hybrid Debt Fund</t>
  </si>
  <si>
    <t>HDFC Nifty G-Sec July 2031 Index Fund</t>
  </si>
  <si>
    <t>HDFC Nifty G-Sec Dec 2026 Index Fund</t>
  </si>
  <si>
    <t>HDFC Nifty G-Sec Jun 2027 Index Fund</t>
  </si>
  <si>
    <t>HDFC Nifty G-Sec Sep 2032 Index Fund</t>
  </si>
  <si>
    <t>HDFC Nifty SDL Oct 2026 Index Fund</t>
  </si>
  <si>
    <t>HDFC NIFTY G-Sec Apr 2029 Index Fund</t>
  </si>
  <si>
    <t>HDFC Nifty G-Sec Jun 2036 Index Fund</t>
  </si>
  <si>
    <t>HDFC NIFTY SDL Plus G-Sec Jun 2027 40:60 Index Fund</t>
  </si>
  <si>
    <t>ICICI Prudential Overnight Fund</t>
  </si>
  <si>
    <t>ICICI Prudential Liquid Fund</t>
  </si>
  <si>
    <t>ICICI Prudential Money Market Fund</t>
  </si>
  <si>
    <t>ICICI Prudential Low Duration Fund</t>
  </si>
  <si>
    <t>ICICI Prudential Short duration Fund</t>
  </si>
  <si>
    <t>ICICI Prudential Corporate Bond Fund</t>
  </si>
  <si>
    <t>ICICI Prudential BPSU Debt Fund</t>
  </si>
  <si>
    <t>Invesco India Overnight Fund - Direct Plan - Growth</t>
  </si>
  <si>
    <t>Invesco India Liquid Fund - Direct Plan - Growth</t>
  </si>
  <si>
    <t>Invesco India Ultra Short Duration Fund - Direct Plan - Growth</t>
  </si>
  <si>
    <t>Invesco India Money Market Fund - Direct Plan - Growth</t>
  </si>
  <si>
    <t>Invesco India Low Duration Fund - Direct Plan - Growth</t>
  </si>
  <si>
    <t>Invesco India Short Duration Fund - Direct Plan - Growth</t>
  </si>
  <si>
    <t>Invesco India Corporate Bond Fund - Direct Plan - Growth</t>
  </si>
  <si>
    <t>Invesco India Banking &amp; PSU  Fund - Direct Plan - Growth</t>
  </si>
  <si>
    <t>Nippon India Banking &amp; Psu Debt Fund</t>
  </si>
  <si>
    <t>Nippon India Corporate Bond Fund</t>
  </si>
  <si>
    <t>Nippon India Liquid Fund</t>
  </si>
  <si>
    <t>Nippon India Low Duration Fund</t>
  </si>
  <si>
    <t>Nippon India Money Market Fund</t>
  </si>
  <si>
    <t>Nippon India Short Term Fund</t>
  </si>
  <si>
    <t>N</t>
  </si>
  <si>
    <t>Face Value</t>
  </si>
  <si>
    <t>Inputs</t>
  </si>
  <si>
    <t>Coupon Rate</t>
  </si>
  <si>
    <t>Period</t>
  </si>
  <si>
    <t>Cashflow</t>
  </si>
  <si>
    <t>Present Value</t>
  </si>
  <si>
    <t>Weighted P.V</t>
  </si>
  <si>
    <t>Macaulay Duration</t>
  </si>
  <si>
    <t>Modified Duration</t>
  </si>
  <si>
    <t>Mod Duration</t>
  </si>
  <si>
    <t>Change in Yeild</t>
  </si>
  <si>
    <t>Bond Price</t>
  </si>
  <si>
    <t>New Price</t>
  </si>
  <si>
    <t>Change in Price</t>
  </si>
  <si>
    <t>Calculation of Change In Price</t>
  </si>
  <si>
    <t>Price</t>
  </si>
  <si>
    <t>Linear Relation Ship</t>
  </si>
  <si>
    <t>Current Bond Price</t>
  </si>
  <si>
    <t>%Change</t>
  </si>
  <si>
    <t>As We can see through the above Example this Relationship is Linear which is not taking covexity in to account.</t>
  </si>
  <si>
    <t>Convexity</t>
  </si>
  <si>
    <t>Where</t>
  </si>
  <si>
    <t>P</t>
  </si>
  <si>
    <t>Current Market Price of the Bond</t>
  </si>
  <si>
    <t>Intrinsic Value of the Bond</t>
  </si>
  <si>
    <t>Y</t>
  </si>
  <si>
    <t>Convexity Calculation</t>
  </si>
  <si>
    <t>Remaining Years till maturity</t>
  </si>
  <si>
    <t>Time till Maturity(Yrs)</t>
  </si>
  <si>
    <t xml:space="preserve"> Current YTM</t>
  </si>
  <si>
    <r>
      <t>CF</t>
    </r>
    <r>
      <rPr>
        <vertAlign val="subscript"/>
        <sz val="11"/>
        <color theme="1"/>
        <rFont val="Calibri"/>
        <family val="2"/>
        <scheme val="minor"/>
      </rPr>
      <t>t</t>
    </r>
  </si>
  <si>
    <t>Cash Flow At Time N</t>
  </si>
  <si>
    <t>N.Pv</t>
  </si>
  <si>
    <t>N(N+1)PV</t>
  </si>
  <si>
    <t>Volatility</t>
  </si>
  <si>
    <t>Change in Bond Value Through Volatility</t>
  </si>
  <si>
    <t>Value of the Bond (Volatility)</t>
  </si>
  <si>
    <t>Convexity Adjustment</t>
  </si>
  <si>
    <t xml:space="preserve">               Y in Intrinsic Value of the Bond</t>
  </si>
  <si>
    <t>Revised Bond Value Through Convexity</t>
  </si>
  <si>
    <t>NTPC Limited</t>
  </si>
  <si>
    <t>Issuer Name</t>
  </si>
  <si>
    <t>FV</t>
  </si>
  <si>
    <t>MV</t>
  </si>
  <si>
    <t>Coupon</t>
  </si>
  <si>
    <t>Investment Date</t>
  </si>
  <si>
    <t>Maturity Date</t>
  </si>
  <si>
    <t>Purchase 
YTM%</t>
  </si>
  <si>
    <t>Residual Maturity 
in Months</t>
  </si>
  <si>
    <t>Current YTM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</si>
</sst>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#,##0;\(#,##0\)"/>
    <numFmt numFmtId="165" formatCode="#,##0.00;\(#,##0.00\)"/>
    <numFmt numFmtId="166" formatCode="0.0"/>
    <numFmt numFmtId="167" formatCode="0.0%"/>
    <numFmt numFmtId="168" formatCode="[$-F800]dddd\,\ mmmm\ dd\,\ yyyy"/>
    <numFmt numFmtId="169" formatCode="&quot;₹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63"/>
      <name val="Calibri"/>
      <family val="2"/>
      <scheme val="minor"/>
    </font>
    <font>
      <sz val="8.25"/>
      <name val="Microsoft Sans Serif"/>
      <family val="2"/>
    </font>
    <font>
      <b/>
      <sz val="12"/>
      <color theme="0"/>
      <name val="Calibri Light"/>
      <family val="1"/>
      <scheme val="major"/>
    </font>
    <font>
      <sz val="11"/>
      <color theme="0"/>
      <name val="Calibri"/>
      <family val="2"/>
      <scheme val="minor"/>
    </font>
    <font>
      <sz val="11"/>
      <color theme="1"/>
      <name val="Bahnschrift Light"/>
      <family val="2"/>
    </font>
    <font>
      <sz val="11"/>
      <color theme="0"/>
      <name val="Bahnschrift Light"/>
      <family val="2"/>
    </font>
    <font>
      <vertAlign val="subscript"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34998626667073579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>
      <alignment vertical="top"/>
      <protection locked="0"/>
    </xf>
    <xf numFmtId="0" fontId="1" fillId="0" borderId="0"/>
  </cellStyleXfs>
  <cellXfs count="67">
    <xf numFmtId="0" fontId="0" fillId="0" borderId="0" xfId="0"/>
    <xf numFmtId="49" fontId="3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3" fontId="2" fillId="2" borderId="1" xfId="2" applyNumberFormat="1" applyFont="1" applyFill="1" applyBorder="1" applyAlignment="1">
      <alignment horizontal="center" vertical="center" wrapText="1"/>
    </xf>
    <xf numFmtId="164" fontId="2" fillId="2" borderId="1" xfId="3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2" fontId="5" fillId="2" borderId="1" xfId="4" applyNumberFormat="1" applyFont="1" applyFill="1" applyBorder="1" applyAlignment="1">
      <alignment horizontal="center" vertical="center" wrapText="1"/>
      <protection locked="0"/>
    </xf>
    <xf numFmtId="0" fontId="5" fillId="2" borderId="1" xfId="4" applyFont="1" applyFill="1" applyBorder="1" applyAlignment="1">
      <alignment horizontal="center" vertical="center"/>
      <protection locked="0"/>
    </xf>
    <xf numFmtId="49" fontId="3" fillId="3" borderId="1" xfId="0" applyNumberFormat="1" applyFont="1" applyFill="1" applyBorder="1" applyAlignment="1">
      <alignment horizontal="left" vertical="center"/>
    </xf>
    <xf numFmtId="2" fontId="0" fillId="4" borderId="1" xfId="0" applyNumberForma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6" fillId="5" borderId="0" xfId="0" applyFont="1" applyFill="1" applyAlignment="1">
      <alignment horizontal="center"/>
    </xf>
    <xf numFmtId="9" fontId="0" fillId="0" borderId="0" xfId="1" applyFont="1" applyAlignment="1">
      <alignment horizontal="center"/>
    </xf>
    <xf numFmtId="167" fontId="0" fillId="0" borderId="0" xfId="1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169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8" fillId="5" borderId="2" xfId="0" applyFont="1" applyFill="1" applyBorder="1"/>
    <xf numFmtId="0" fontId="0" fillId="0" borderId="4" xfId="0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0" fontId="0" fillId="0" borderId="7" xfId="0" applyBorder="1"/>
    <xf numFmtId="1" fontId="0" fillId="0" borderId="4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169" fontId="0" fillId="0" borderId="9" xfId="0" applyNumberFormat="1" applyBorder="1" applyAlignment="1">
      <alignment horizontal="center"/>
    </xf>
    <xf numFmtId="169" fontId="0" fillId="0" borderId="4" xfId="0" applyNumberFormat="1" applyBorder="1" applyAlignment="1">
      <alignment horizontal="center"/>
    </xf>
    <xf numFmtId="0" fontId="6" fillId="10" borderId="11" xfId="0" applyFont="1" applyFill="1" applyBorder="1" applyAlignment="1">
      <alignment horizontal="center"/>
    </xf>
    <xf numFmtId="0" fontId="6" fillId="10" borderId="12" xfId="0" applyFont="1" applyFill="1" applyBorder="1"/>
    <xf numFmtId="169" fontId="6" fillId="10" borderId="12" xfId="0" applyNumberFormat="1" applyFont="1" applyFill="1" applyBorder="1" applyAlignment="1">
      <alignment horizontal="center"/>
    </xf>
    <xf numFmtId="10" fontId="6" fillId="10" borderId="12" xfId="0" applyNumberFormat="1" applyFont="1" applyFill="1" applyBorder="1" applyAlignment="1">
      <alignment horizontal="center"/>
    </xf>
    <xf numFmtId="0" fontId="6" fillId="11" borderId="0" xfId="0" applyFont="1" applyFill="1"/>
    <xf numFmtId="0" fontId="0" fillId="7" borderId="13" xfId="0" applyFill="1" applyBorder="1" applyAlignment="1">
      <alignment horizontal="center"/>
    </xf>
    <xf numFmtId="10" fontId="0" fillId="0" borderId="3" xfId="1" applyNumberFormat="1" applyFont="1" applyBorder="1" applyAlignment="1">
      <alignment horizontal="center"/>
    </xf>
    <xf numFmtId="169" fontId="0" fillId="0" borderId="3" xfId="0" applyNumberFormat="1" applyBorder="1" applyAlignment="1">
      <alignment horizontal="center"/>
    </xf>
    <xf numFmtId="9" fontId="0" fillId="0" borderId="3" xfId="1" applyFon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7" fillId="12" borderId="2" xfId="0" applyFont="1" applyFill="1" applyBorder="1" applyAlignment="1">
      <alignment horizontal="center"/>
    </xf>
    <xf numFmtId="2" fontId="7" fillId="12" borderId="2" xfId="1" applyNumberFormat="1" applyFont="1" applyFill="1" applyBorder="1" applyAlignment="1">
      <alignment horizontal="center"/>
    </xf>
    <xf numFmtId="166" fontId="7" fillId="8" borderId="2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2" fontId="6" fillId="14" borderId="2" xfId="0" applyNumberFormat="1" applyFont="1" applyFill="1" applyBorder="1" applyAlignment="1">
      <alignment horizontal="center"/>
    </xf>
    <xf numFmtId="2" fontId="6" fillId="15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/>
    </xf>
    <xf numFmtId="0" fontId="6" fillId="5" borderId="2" xfId="0" applyFont="1" applyFill="1" applyBorder="1"/>
    <xf numFmtId="0" fontId="0" fillId="0" borderId="0" xfId="0" applyAlignment="1">
      <alignment horizontal="center" vertical="center"/>
    </xf>
    <xf numFmtId="0" fontId="6" fillId="13" borderId="0" xfId="0" applyFont="1" applyFill="1" applyAlignment="1">
      <alignment horizontal="center"/>
    </xf>
    <xf numFmtId="0" fontId="0" fillId="0" borderId="4" xfId="0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0" fillId="9" borderId="10" xfId="0" applyFill="1" applyBorder="1" applyAlignment="1">
      <alignment horizontal="center"/>
    </xf>
    <xf numFmtId="0" fontId="8" fillId="5" borderId="0" xfId="0" applyFont="1" applyFill="1" applyAlignment="1">
      <alignment horizontal="center"/>
    </xf>
  </cellXfs>
  <cellStyles count="6">
    <cellStyle name="Comma 2 11" xfId="2" xr:uid="{00A50DE4-F711-4FF3-B893-45321F0C5E25}"/>
    <cellStyle name="Comma 21" xfId="3" xr:uid="{DC20476B-49CE-45A7-8940-BB935DC5FE9F}"/>
    <cellStyle name="Normal" xfId="0" builtinId="0"/>
    <cellStyle name="Normal 2 3" xfId="4" xr:uid="{E9CB8D65-6F1F-4584-BFB5-99E2BFB2484F}"/>
    <cellStyle name="Normal 29 3" xfId="5" xr:uid="{60559B75-A5D7-4B65-8F79-634C7B99033D}"/>
    <cellStyle name="Percent" xfId="1" builtinId="5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Linear</a:t>
            </a:r>
            <a:r>
              <a:rPr lang="en-IN" baseline="0"/>
              <a:t> Relationship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'Bond Valuation'!$J$12</c:f>
              <c:strCache>
                <c:ptCount val="1"/>
                <c:pt idx="0">
                  <c:v>Bond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'Bond Valuation'!$I$13:$I$18</c:f>
              <c:numCache>
                <c:formatCode>0.00%</c:formatCode>
                <c:ptCount val="6"/>
                <c:pt idx="0">
                  <c:v>4.6600000000000003E-2</c:v>
                </c:pt>
                <c:pt idx="1">
                  <c:v>4.9100000000000005E-2</c:v>
                </c:pt>
                <c:pt idx="2">
                  <c:v>5.1600000000000007E-2</c:v>
                </c:pt>
                <c:pt idx="3">
                  <c:v>7.1999999999999995E-2</c:v>
                </c:pt>
                <c:pt idx="4">
                  <c:v>7.4499999999999997E-2</c:v>
                </c:pt>
                <c:pt idx="5">
                  <c:v>8.4499999999999992E-2</c:v>
                </c:pt>
              </c:numCache>
            </c:numRef>
          </c:xVal>
          <c:yVal>
            <c:numRef>
              <c:f>'Bond Valuation'!$J$13:$J$18</c:f>
              <c:numCache>
                <c:formatCode>"₹"\ #,##0.00</c:formatCode>
                <c:ptCount val="6"/>
                <c:pt idx="0">
                  <c:v>1145.8394534790757</c:v>
                </c:pt>
                <c:pt idx="1">
                  <c:v>1132.380673976181</c:v>
                </c:pt>
                <c:pt idx="2">
                  <c:v>1118.9218944732861</c:v>
                </c:pt>
                <c:pt idx="3">
                  <c:v>1009.0982537296645</c:v>
                </c:pt>
                <c:pt idx="4">
                  <c:v>995.63947422676972</c:v>
                </c:pt>
                <c:pt idx="5">
                  <c:v>941.80435621519041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3-4FDB-81ED-A63B1B64E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735312"/>
        <c:axId val="13442575"/>
      </c:scatterChart>
      <c:valAx>
        <c:axId val="210473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Condensed" panose="020B0502040204020203" pitchFamily="34" charset="0"/>
                    <a:ea typeface="+mn-ea"/>
                    <a:cs typeface="+mn-cs"/>
                  </a:defRPr>
                </a:pPr>
                <a:r>
                  <a:rPr lang="en-IN">
                    <a:latin typeface="Bahnschrift Condensed" panose="020B0502040204020203" pitchFamily="34" charset="0"/>
                  </a:rPr>
                  <a:t>YTM</a:t>
                </a:r>
              </a:p>
            </c:rich>
          </c:tx>
          <c:layout>
            <c:manualLayout>
              <c:xMode val="edge"/>
              <c:yMode val="edge"/>
              <c:x val="0.50233552055993003"/>
              <c:y val="0.85799977819673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Condensed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2575"/>
        <c:crosses val="autoZero"/>
        <c:crossBetween val="midCat"/>
      </c:valAx>
      <c:valAx>
        <c:axId val="1344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Condensed" panose="020B0502040204020203" pitchFamily="34" charset="0"/>
                    <a:ea typeface="+mn-ea"/>
                    <a:cs typeface="+mn-cs"/>
                  </a:defRPr>
                </a:pPr>
                <a:r>
                  <a:rPr lang="en-IN">
                    <a:latin typeface="Bahnschrift Condensed" panose="020B0502040204020203" pitchFamily="34" charset="0"/>
                  </a:rPr>
                  <a:t>Bond</a:t>
                </a:r>
                <a:r>
                  <a:rPr lang="en-IN" baseline="0">
                    <a:latin typeface="Bahnschrift Condensed" panose="020B0502040204020203" pitchFamily="34" charset="0"/>
                  </a:rPr>
                  <a:t> Price</a:t>
                </a:r>
                <a:endParaRPr lang="en-IN">
                  <a:latin typeface="Bahnschrift Condensed" panose="020B05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Condensed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73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List" dx="31" fmlaLink="$B$41" fmlaRange="$B$39:$B$40" noThreeD="1" sel="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469900</xdr:colOff>
      <xdr:row>6</xdr:row>
      <xdr:rowOff>38100</xdr:rowOff>
    </xdr:from>
    <xdr:to>
      <xdr:col>8</xdr:col>
      <xdr:colOff>622300</xdr:colOff>
      <xdr:row>6</xdr:row>
      <xdr:rowOff>158750</xdr:rowOff>
    </xdr:to>
    <xdr:sp macro="" textlink="">
      <xdr:nvSpPr>
        <xdr:cNvPr id="2" name="Isosceles Tri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9683750" y="1143000"/>
          <a:ext cx="152400" cy="1206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73025</xdr:colOff>
      <xdr:row>18</xdr:row>
      <xdr:rowOff>57150</xdr:rowOff>
    </xdr:from>
    <xdr:to>
      <xdr:col>12</xdr:col>
      <xdr:colOff>473075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12700</xdr:colOff>
          <xdr:row>39</xdr:row>
          <xdr:rowOff>6350</xdr:rowOff>
        </xdr:from>
        <xdr:to>
          <xdr:col>5</xdr:col>
          <xdr:colOff>12700</xdr:colOff>
          <xdr:row>40</xdr:row>
          <xdr:rowOff>171450</xdr:rowOff>
        </xdr:to>
        <xdr:sp macro="" textlink="">
          <xdr:nvSpPr>
            <xdr:cNvPr id="5127" name="List 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3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177800</xdr:colOff>
      <xdr:row>76</xdr:row>
      <xdr:rowOff>50800</xdr:rowOff>
    </xdr:from>
    <xdr:to>
      <xdr:col>1</xdr:col>
      <xdr:colOff>304800</xdr:colOff>
      <xdr:row>76</xdr:row>
      <xdr:rowOff>152400</xdr:rowOff>
    </xdr:to>
    <xdr:sp macro="" textlink="">
      <xdr:nvSpPr>
        <xdr:cNvPr id="4" name="Isosceles Triangl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1371600" y="14071600"/>
          <a:ext cx="127000" cy="1016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5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nd Sheet"/>
    </sheetNames>
    <sheetDataSet>
      <sheetData sheetId="0">
        <row r="3">
          <cell r="B3" t="str">
            <v>S. No.</v>
          </cell>
        </row>
        <row r="9">
          <cell r="E9" t="str">
            <v>NTPC Limited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C4258-8C20-46E2-BDE8-02C4F9705A4F}">
  <dimension ref="A1:I2"/>
  <sheetViews>
    <sheetView tabSelected="1" workbookViewId="0">
      <selection activeCell="I8" sqref="I8"/>
    </sheetView>
  </sheetViews>
  <sheetFormatPr defaultRowHeight="14.5" x14ac:dyDescent="0.35"/>
  <cols>
    <col min="1" max="1" width="34.81640625" bestFit="1" customWidth="1"/>
    <col min="2" max="2" width="6.7265625" customWidth="1"/>
    <col min="3" max="3" width="11.81640625" bestFit="1" customWidth="1"/>
    <col min="4" max="4" width="8.81640625" bestFit="1" customWidth="1"/>
    <col min="5" max="5" width="16.54296875" bestFit="1" customWidth="1"/>
    <col min="6" max="6" width="16.36328125" bestFit="1" customWidth="1"/>
    <col min="7" max="7" width="15.08984375" bestFit="1" customWidth="1"/>
    <col min="8" max="8" width="13.36328125" bestFit="1" customWidth="1"/>
    <col min="9" max="9" width="25.7265625" bestFit="1" customWidth="1"/>
  </cols>
  <sheetData>
    <row r="1" spans="1:9" x14ac:dyDescent="0.35">
      <c r="A1" s="23" t="s">
        <v>141</v>
      </c>
      <c r="B1" s="23" t="s">
        <v>142</v>
      </c>
      <c r="C1" s="23" t="s">
        <v>143</v>
      </c>
      <c r="D1" s="23" t="s">
        <v>144</v>
      </c>
      <c r="E1" s="23" t="s">
        <v>145</v>
      </c>
      <c r="F1" s="23" t="s">
        <v>146</v>
      </c>
      <c r="G1" s="23" t="s">
        <v>147</v>
      </c>
      <c r="H1" s="23" t="s">
        <v>149</v>
      </c>
      <c r="I1" s="23" t="s">
        <v>148</v>
      </c>
    </row>
    <row r="2" spans="1:9" x14ac:dyDescent="0.35">
      <c r="A2" s="14" t="str">
        <f>'[1]Bond Sheet'!E9</f>
        <v>NTPC Limited</v>
      </c>
      <c r="B2" s="14">
        <v>3</v>
      </c>
      <c r="C2" s="15">
        <v>3.0359873013698628</v>
      </c>
      <c r="D2" s="19">
        <v>7.3700000000000002E-2</v>
      </c>
      <c r="E2" s="20">
        <v>43181</v>
      </c>
      <c r="F2" s="20">
        <v>48195</v>
      </c>
      <c r="G2" s="21">
        <v>7.6600000000000001E-2</v>
      </c>
      <c r="H2" s="21">
        <v>7.1999999999999995E-2</v>
      </c>
      <c r="I2" s="16">
        <v>84.666666666666671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8F933-F575-45C7-8C03-E76F2108D6A0}">
  <dimension ref="A1:K79"/>
  <sheetViews>
    <sheetView topLeftCell="A6" workbookViewId="0">
      <selection activeCell="D8" sqref="D8"/>
    </sheetView>
  </sheetViews>
  <sheetFormatPr defaultRowHeight="14.5" x14ac:dyDescent="0.35"/>
  <cols>
    <col min="1" max="1" width="17.08984375" bestFit="1" customWidth="1"/>
    <col min="2" max="2" width="34.08984375" customWidth="1"/>
    <col min="3" max="3" width="9.36328125" bestFit="1" customWidth="1"/>
    <col min="4" max="4" width="13.453125" bestFit="1" customWidth="1"/>
    <col min="5" max="5" width="13.36328125" customWidth="1"/>
    <col min="6" max="6" width="19.6328125" customWidth="1"/>
    <col min="7" max="7" width="25.54296875" bestFit="1" customWidth="1"/>
    <col min="9" max="9" width="18" customWidth="1"/>
    <col min="10" max="10" width="15.54296875" customWidth="1"/>
  </cols>
  <sheetData>
    <row r="1" spans="1:11" x14ac:dyDescent="0.35">
      <c r="A1" s="24" t="s">
        <v>140</v>
      </c>
    </row>
    <row r="3" spans="1:11" x14ac:dyDescent="0.35">
      <c r="B3" s="61" t="str">
        <f>A1</f>
        <v>NTPC Limited</v>
      </c>
      <c r="C3" s="62"/>
      <c r="D3" s="63"/>
      <c r="I3" s="64" t="s">
        <v>114</v>
      </c>
      <c r="J3" s="64"/>
    </row>
    <row r="4" spans="1:11" x14ac:dyDescent="0.35">
      <c r="B4" s="60" t="s">
        <v>101</v>
      </c>
      <c r="C4" s="60"/>
      <c r="D4" s="32"/>
      <c r="I4" s="34" t="s">
        <v>109</v>
      </c>
      <c r="J4" s="35">
        <f ca="1">G27</f>
        <v>5.334972864396768</v>
      </c>
    </row>
    <row r="5" spans="1:11" x14ac:dyDescent="0.35">
      <c r="B5" s="30" t="s">
        <v>128</v>
      </c>
      <c r="C5" s="33">
        <f ca="1">ROUNDUP((('BOND DETAIL EXAMPLE'!F2-TODAY()))/365,0)</f>
        <v>7</v>
      </c>
      <c r="E5" s="13"/>
      <c r="I5" s="34" t="s">
        <v>110</v>
      </c>
      <c r="J5" s="36">
        <v>-2.5000000000000001E-3</v>
      </c>
    </row>
    <row r="6" spans="1:11" x14ac:dyDescent="0.35">
      <c r="B6" s="30" t="s">
        <v>129</v>
      </c>
      <c r="C6" s="31">
        <f>'BOND DETAIL EXAMPLE'!H2</f>
        <v>7.1999999999999995E-2</v>
      </c>
      <c r="I6" s="34" t="s">
        <v>117</v>
      </c>
      <c r="J6" s="37">
        <v>1010</v>
      </c>
    </row>
    <row r="7" spans="1:11" x14ac:dyDescent="0.35">
      <c r="B7" s="30" t="s">
        <v>102</v>
      </c>
      <c r="C7" s="31">
        <f>'BOND DETAIL EXAMPLE'!D2</f>
        <v>7.3700000000000002E-2</v>
      </c>
      <c r="I7" s="65" t="s">
        <v>115</v>
      </c>
      <c r="J7" s="65"/>
    </row>
    <row r="8" spans="1:11" x14ac:dyDescent="0.35">
      <c r="B8" s="30" t="s">
        <v>100</v>
      </c>
      <c r="C8" s="30">
        <f>1000</f>
        <v>1000</v>
      </c>
      <c r="I8" s="30" t="s">
        <v>113</v>
      </c>
      <c r="J8" s="38">
        <f ca="1">-J4*(J5)*J6</f>
        <v>13.470806482601841</v>
      </c>
    </row>
    <row r="9" spans="1:11" x14ac:dyDescent="0.35">
      <c r="I9" s="30" t="s">
        <v>112</v>
      </c>
      <c r="J9" s="38">
        <f ca="1">J6+J8</f>
        <v>1023.4708064826018</v>
      </c>
    </row>
    <row r="10" spans="1:11" x14ac:dyDescent="0.35">
      <c r="B10" s="28" t="s">
        <v>103</v>
      </c>
      <c r="C10" s="29" t="s">
        <v>104</v>
      </c>
      <c r="D10" s="29" t="s">
        <v>105</v>
      </c>
      <c r="E10" s="28" t="s">
        <v>106</v>
      </c>
      <c r="F10" s="29"/>
      <c r="G10" s="28" t="str">
        <f>CONCATENATE(B10," * ",E10)</f>
        <v>Period * Weighted P.V</v>
      </c>
    </row>
    <row r="11" spans="1:11" x14ac:dyDescent="0.35">
      <c r="B11" s="14">
        <f ca="1">IFERROR(IF(1&gt;ROUND($C$5,2),"-",1),"-")</f>
        <v>1</v>
      </c>
      <c r="C11" s="25">
        <f ca="1">IF(B11=MAX($B$12:$B$26),$C$8+($C$8*$C$7),$C$8*$C$7)</f>
        <v>73.7</v>
      </c>
      <c r="D11" s="25">
        <f ca="1">IFERROR(C11/(1+$C$6)^B11,"-")</f>
        <v>68.75</v>
      </c>
      <c r="E11" s="19">
        <f ca="1">IFERROR(D11/$D$26,"-")</f>
        <v>6.8130134747431639E-2</v>
      </c>
      <c r="G11" s="26">
        <f ca="1">IFERROR(B11*E11,"-")</f>
        <v>6.8130134747431639E-2</v>
      </c>
      <c r="I11" s="64" t="s">
        <v>116</v>
      </c>
      <c r="J11" s="64"/>
      <c r="K11" s="64"/>
    </row>
    <row r="12" spans="1:11" x14ac:dyDescent="0.35">
      <c r="B12" s="14">
        <f ca="1">IFERROR(IF(B11+1&gt;ROUND($C$5,2),"-",B11+1),"-")</f>
        <v>2</v>
      </c>
      <c r="C12" s="25">
        <f t="shared" ref="C12:C23" ca="1" si="0">IF(B12=MAX($B$12:$B$26),$C$8+($C$8*$C$7),$C$8*$C$7)</f>
        <v>73.7</v>
      </c>
      <c r="D12" s="25">
        <f ca="1">IFERROR(C12/(1+$C$6)^B12,"-")</f>
        <v>64.132462686567152</v>
      </c>
      <c r="E12" s="19">
        <f t="shared" ref="E12:E24" ca="1" si="1">IFERROR(D12/$D$26,"-")</f>
        <v>6.3554230174842935E-2</v>
      </c>
      <c r="G12" s="26">
        <f ca="1">IFERROR(B12*E12,"-")</f>
        <v>0.12710846034968587</v>
      </c>
      <c r="I12" s="44" t="s">
        <v>5</v>
      </c>
      <c r="J12" s="44" t="s">
        <v>111</v>
      </c>
      <c r="K12" s="43" t="s">
        <v>118</v>
      </c>
    </row>
    <row r="13" spans="1:11" x14ac:dyDescent="0.35">
      <c r="B13" s="14">
        <f t="shared" ref="B13:B22" ca="1" si="2">IFERROR(IF(B12+1&gt;ROUND($C$5,2),"-",B12+1),"-")</f>
        <v>3</v>
      </c>
      <c r="C13" s="25">
        <f t="shared" ca="1" si="0"/>
        <v>73.7</v>
      </c>
      <c r="D13" s="25">
        <f t="shared" ref="D13:D24" ca="1" si="3">IFERROR(C13/(1+$C$6)^B13,"-")</f>
        <v>59.825058476275331</v>
      </c>
      <c r="E13" s="19">
        <f t="shared" ca="1" si="1"/>
        <v>5.9285662476532587E-2</v>
      </c>
      <c r="G13" s="26">
        <f t="shared" ref="G13:G24" ca="1" si="4">IFERROR(B13*E13,"-")</f>
        <v>0.17785698742959777</v>
      </c>
      <c r="I13" s="45">
        <f>4.66%</f>
        <v>4.6600000000000003E-2</v>
      </c>
      <c r="J13" s="46">
        <f t="shared" ref="J13:J14" ca="1" si="5">(1+(($I$16-I13)*$G$27))*$J$16</f>
        <v>1145.8394534790757</v>
      </c>
      <c r="K13" s="47">
        <f ca="1">(J13-$J$16)/$J$16</f>
        <v>0.13550831075567779</v>
      </c>
    </row>
    <row r="14" spans="1:11" x14ac:dyDescent="0.35">
      <c r="B14" s="14">
        <f t="shared" ca="1" si="2"/>
        <v>4</v>
      </c>
      <c r="C14" s="25">
        <f t="shared" ca="1" si="0"/>
        <v>73.7</v>
      </c>
      <c r="D14" s="25">
        <f t="shared" ca="1" si="3"/>
        <v>55.806957533838911</v>
      </c>
      <c r="E14" s="19">
        <f t="shared" ca="1" si="1"/>
        <v>5.5303789623631125E-2</v>
      </c>
      <c r="G14" s="26">
        <f t="shared" ca="1" si="4"/>
        <v>0.2212151584945245</v>
      </c>
      <c r="I14" s="48">
        <f>I13+(-$J$5)</f>
        <v>4.9100000000000005E-2</v>
      </c>
      <c r="J14" s="46">
        <f t="shared" ca="1" si="5"/>
        <v>1132.380673976181</v>
      </c>
      <c r="K14" s="47">
        <f t="shared" ref="K14:K18" ca="1" si="6">(J14-$J$16)/$J$16</f>
        <v>0.12217087859468601</v>
      </c>
    </row>
    <row r="15" spans="1:11" x14ac:dyDescent="0.35">
      <c r="B15" s="14">
        <f t="shared" ca="1" si="2"/>
        <v>5</v>
      </c>
      <c r="C15" s="25">
        <f t="shared" ca="1" si="0"/>
        <v>73.7</v>
      </c>
      <c r="D15" s="25">
        <f t="shared" ca="1" si="3"/>
        <v>52.058729042760184</v>
      </c>
      <c r="E15" s="19">
        <f t="shared" ca="1" si="1"/>
        <v>5.158935599219322E-2</v>
      </c>
      <c r="G15" s="26">
        <f t="shared" ca="1" si="4"/>
        <v>0.2579467799609661</v>
      </c>
      <c r="I15" s="48">
        <f>I14+(-$J$5)</f>
        <v>5.1600000000000007E-2</v>
      </c>
      <c r="J15" s="46">
        <f ca="1">(1+(($I$16-I15)*$G$27))*$J$16</f>
        <v>1118.9218944732861</v>
      </c>
      <c r="K15" s="47">
        <f t="shared" ca="1" si="6"/>
        <v>0.10883344643369398</v>
      </c>
    </row>
    <row r="16" spans="1:11" x14ac:dyDescent="0.35">
      <c r="B16" s="14">
        <f t="shared" ca="1" si="2"/>
        <v>6</v>
      </c>
      <c r="C16" s="25">
        <f t="shared" ca="1" si="0"/>
        <v>73.7</v>
      </c>
      <c r="D16" s="25">
        <f t="shared" ca="1" si="3"/>
        <v>48.56224724138076</v>
      </c>
      <c r="E16" s="19">
        <f t="shared" ca="1" si="1"/>
        <v>4.8124399246448894E-2</v>
      </c>
      <c r="G16" s="26">
        <f t="shared" ca="1" si="4"/>
        <v>0.28874639547869335</v>
      </c>
      <c r="I16" s="48">
        <f>C6</f>
        <v>7.1999999999999995E-2</v>
      </c>
      <c r="J16" s="46">
        <f ca="1">D26</f>
        <v>1009.0982537296645</v>
      </c>
      <c r="K16" s="47">
        <f t="shared" ca="1" si="6"/>
        <v>0</v>
      </c>
    </row>
    <row r="17" spans="2:11" x14ac:dyDescent="0.35">
      <c r="B17" s="14">
        <f t="shared" ca="1" si="2"/>
        <v>7</v>
      </c>
      <c r="C17" s="25">
        <f ca="1">IF(B17=MAX($B$12:$B$26),$C$8+($C$8*$C$7),$C$8*$C$7)</f>
        <v>1073.7</v>
      </c>
      <c r="D17" s="25">
        <f ca="1">IFERROR(C17/(1+$C$6)^B17,"-")</f>
        <v>659.96279874884215</v>
      </c>
      <c r="E17" s="19">
        <f t="shared" ca="1" si="1"/>
        <v>0.65401242773891954</v>
      </c>
      <c r="G17" s="26">
        <f t="shared" ca="1" si="4"/>
        <v>4.5780869941724367</v>
      </c>
      <c r="I17" s="48">
        <f>I16-(J5)</f>
        <v>7.4499999999999997E-2</v>
      </c>
      <c r="J17" s="46">
        <f ca="1">(1+(($I$16-I17)*$G$27))*$J$16</f>
        <v>995.63947422676972</v>
      </c>
      <c r="K17" s="47">
        <f t="shared" ca="1" si="6"/>
        <v>-1.3337432160991907E-2</v>
      </c>
    </row>
    <row r="18" spans="2:11" x14ac:dyDescent="0.35">
      <c r="B18" s="14" t="str">
        <f t="shared" ca="1" si="2"/>
        <v>-</v>
      </c>
      <c r="C18" s="25">
        <f ca="1">IF(B18=MAX($B$12:$B$26),$C$8+($C$8*$C$7),$C$8*$C$7)</f>
        <v>73.7</v>
      </c>
      <c r="D18" s="25" t="str">
        <f t="shared" ca="1" si="3"/>
        <v>-</v>
      </c>
      <c r="E18" s="19" t="str">
        <f t="shared" ca="1" si="1"/>
        <v>-</v>
      </c>
      <c r="G18" s="26" t="str">
        <f t="shared" ca="1" si="4"/>
        <v>-</v>
      </c>
      <c r="I18" s="48">
        <f t="shared" ref="I18" si="7">I17+1%</f>
        <v>8.4499999999999992E-2</v>
      </c>
      <c r="J18" s="46">
        <f ca="1">(1+(($I$16-I18)*$G$27))*$J$16</f>
        <v>941.80435621519041</v>
      </c>
      <c r="K18" s="47">
        <f t="shared" ca="1" si="6"/>
        <v>-6.668716080495965E-2</v>
      </c>
    </row>
    <row r="19" spans="2:11" x14ac:dyDescent="0.35">
      <c r="B19" s="14" t="str">
        <f t="shared" ca="1" si="2"/>
        <v>-</v>
      </c>
      <c r="C19" s="25">
        <f t="shared" ca="1" si="0"/>
        <v>73.7</v>
      </c>
      <c r="D19" s="25" t="str">
        <f t="shared" ca="1" si="3"/>
        <v>-</v>
      </c>
      <c r="E19" s="19" t="str">
        <f t="shared" ca="1" si="1"/>
        <v>-</v>
      </c>
      <c r="G19" s="26" t="str">
        <f t="shared" ca="1" si="4"/>
        <v>-</v>
      </c>
    </row>
    <row r="20" spans="2:11" x14ac:dyDescent="0.35">
      <c r="B20" s="14" t="str">
        <f t="shared" ca="1" si="2"/>
        <v>-</v>
      </c>
      <c r="C20" s="25">
        <f t="shared" ca="1" si="0"/>
        <v>73.7</v>
      </c>
      <c r="D20" s="25" t="str">
        <f t="shared" ca="1" si="3"/>
        <v>-</v>
      </c>
      <c r="E20" s="19" t="str">
        <f t="shared" ca="1" si="1"/>
        <v>-</v>
      </c>
      <c r="G20" s="26" t="str">
        <f t="shared" ca="1" si="4"/>
        <v>-</v>
      </c>
    </row>
    <row r="21" spans="2:11" x14ac:dyDescent="0.35">
      <c r="B21" s="14" t="str">
        <f t="shared" ca="1" si="2"/>
        <v>-</v>
      </c>
      <c r="C21" s="25">
        <f t="shared" ca="1" si="0"/>
        <v>73.7</v>
      </c>
      <c r="D21" s="25" t="str">
        <f t="shared" ca="1" si="3"/>
        <v>-</v>
      </c>
      <c r="E21" s="19" t="str">
        <f t="shared" ca="1" si="1"/>
        <v>-</v>
      </c>
      <c r="G21" s="26" t="str">
        <f t="shared" ca="1" si="4"/>
        <v>-</v>
      </c>
    </row>
    <row r="22" spans="2:11" x14ac:dyDescent="0.35">
      <c r="B22" s="14" t="str">
        <f t="shared" ca="1" si="2"/>
        <v>-</v>
      </c>
      <c r="C22" s="25">
        <f t="shared" ca="1" si="0"/>
        <v>73.7</v>
      </c>
      <c r="D22" s="25" t="str">
        <f t="shared" ca="1" si="3"/>
        <v>-</v>
      </c>
      <c r="E22" s="19" t="str">
        <f t="shared" ca="1" si="1"/>
        <v>-</v>
      </c>
      <c r="G22" s="26" t="str">
        <f t="shared" ca="1" si="4"/>
        <v>-</v>
      </c>
    </row>
    <row r="23" spans="2:11" x14ac:dyDescent="0.35">
      <c r="B23" s="22" t="str">
        <f ca="1">IFERROR(IF(B22+1&gt;$C$5,"-",B22+1),"-")</f>
        <v>-</v>
      </c>
      <c r="C23" s="25">
        <f t="shared" ca="1" si="0"/>
        <v>73.7</v>
      </c>
      <c r="D23" s="25" t="str">
        <f t="shared" ca="1" si="3"/>
        <v>-</v>
      </c>
      <c r="E23" s="19" t="str">
        <f t="shared" ca="1" si="1"/>
        <v>-</v>
      </c>
      <c r="G23" s="26" t="str">
        <f t="shared" ca="1" si="4"/>
        <v>-</v>
      </c>
      <c r="K23" s="18"/>
    </row>
    <row r="24" spans="2:11" x14ac:dyDescent="0.35">
      <c r="B24" s="22" t="str">
        <f ca="1">IFERROR(IF(B23+1&gt;$C$5,"-",B23+1),"-")</f>
        <v>-</v>
      </c>
      <c r="C24" s="25">
        <f ca="1">IF(B24=MAX($B$12:$B$25),$C$8+($C$8*$C$7),$C$8*$C$7)</f>
        <v>73.7</v>
      </c>
      <c r="D24" s="25" t="str">
        <f t="shared" ca="1" si="3"/>
        <v>-</v>
      </c>
      <c r="E24" s="19" t="str">
        <f t="shared" ca="1" si="1"/>
        <v>-</v>
      </c>
      <c r="G24" s="26" t="str">
        <f t="shared" ca="1" si="4"/>
        <v>-</v>
      </c>
    </row>
    <row r="25" spans="2:11" x14ac:dyDescent="0.35">
      <c r="B25" s="14"/>
    </row>
    <row r="26" spans="2:11" x14ac:dyDescent="0.35">
      <c r="B26" s="39" t="s">
        <v>21</v>
      </c>
      <c r="C26" s="40"/>
      <c r="D26" s="41">
        <f ca="1">SUM(D11:D24)</f>
        <v>1009.0982537296645</v>
      </c>
      <c r="E26" s="42">
        <f ca="1">SUM(E11:E24)</f>
        <v>1</v>
      </c>
      <c r="F26" s="27" t="s">
        <v>107</v>
      </c>
      <c r="G26" s="51">
        <f ca="1">SUM(G11:G25)</f>
        <v>5.7190909106333354</v>
      </c>
    </row>
    <row r="27" spans="2:11" x14ac:dyDescent="0.35">
      <c r="F27" s="49" t="s">
        <v>108</v>
      </c>
      <c r="G27" s="50">
        <f ca="1">G26/(1+$C$6/1)</f>
        <v>5.334972864396768</v>
      </c>
    </row>
    <row r="36" spans="2:10" x14ac:dyDescent="0.35">
      <c r="B36" s="66" t="s">
        <v>119</v>
      </c>
      <c r="C36" s="66"/>
      <c r="D36" s="66"/>
      <c r="E36" s="66"/>
      <c r="F36" s="66"/>
      <c r="G36" s="66"/>
      <c r="H36" s="66"/>
      <c r="I36" s="66"/>
      <c r="J36" s="66"/>
    </row>
    <row r="38" spans="2:10" x14ac:dyDescent="0.35">
      <c r="D38" s="59" t="s">
        <v>126</v>
      </c>
      <c r="E38" s="59"/>
    </row>
    <row r="39" spans="2:10" x14ac:dyDescent="0.35">
      <c r="B39" s="52" t="s">
        <v>124</v>
      </c>
      <c r="D39" t="s">
        <v>121</v>
      </c>
    </row>
    <row r="40" spans="2:10" x14ac:dyDescent="0.35">
      <c r="B40" s="52" t="s">
        <v>123</v>
      </c>
      <c r="C40" s="58" t="s">
        <v>122</v>
      </c>
    </row>
    <row r="41" spans="2:10" x14ac:dyDescent="0.35">
      <c r="B41" s="53">
        <v>2</v>
      </c>
      <c r="C41" s="58"/>
    </row>
    <row r="43" spans="2:10" x14ac:dyDescent="0.35">
      <c r="C43" s="14" t="s">
        <v>125</v>
      </c>
      <c r="D43" t="str">
        <f>IF($B$41=1,"Desired Yeild","YTM")</f>
        <v>YTM</v>
      </c>
    </row>
    <row r="44" spans="2:10" x14ac:dyDescent="0.35">
      <c r="C44" s="14" t="s">
        <v>99</v>
      </c>
      <c r="D44" t="s">
        <v>127</v>
      </c>
    </row>
    <row r="45" spans="2:10" ht="16.5" x14ac:dyDescent="0.45">
      <c r="C45" s="14" t="s">
        <v>130</v>
      </c>
      <c r="D45" t="s">
        <v>131</v>
      </c>
    </row>
    <row r="48" spans="2:10" x14ac:dyDescent="0.35">
      <c r="B48" s="23" t="str">
        <f>B10</f>
        <v>Period</v>
      </c>
      <c r="C48" s="23" t="str">
        <f t="shared" ref="C48:D48" si="8">C10</f>
        <v>Cashflow</v>
      </c>
      <c r="D48" s="23" t="str">
        <f t="shared" si="8"/>
        <v>Present Value</v>
      </c>
      <c r="E48" s="23" t="s">
        <v>132</v>
      </c>
      <c r="F48" s="17" t="s">
        <v>133</v>
      </c>
    </row>
    <row r="49" spans="2:6" x14ac:dyDescent="0.35">
      <c r="B49" s="14">
        <f t="shared" ref="B49:D49" ca="1" si="9">B11</f>
        <v>1</v>
      </c>
      <c r="C49" s="14">
        <f t="shared" ca="1" si="9"/>
        <v>73.7</v>
      </c>
      <c r="D49" s="15">
        <f t="shared" ca="1" si="9"/>
        <v>68.75</v>
      </c>
      <c r="E49" s="15">
        <f ca="1">IFERROR(B49*D49,"-")</f>
        <v>68.75</v>
      </c>
      <c r="F49" s="15">
        <f ca="1">IFERROR(E49*(B49+1),"-")</f>
        <v>137.5</v>
      </c>
    </row>
    <row r="50" spans="2:6" x14ac:dyDescent="0.35">
      <c r="B50" s="14">
        <f t="shared" ref="B50:D50" ca="1" si="10">B12</f>
        <v>2</v>
      </c>
      <c r="C50" s="14">
        <f t="shared" ca="1" si="10"/>
        <v>73.7</v>
      </c>
      <c r="D50" s="15">
        <f t="shared" ca="1" si="10"/>
        <v>64.132462686567152</v>
      </c>
      <c r="E50" s="15">
        <f t="shared" ref="E50:E62" ca="1" si="11">IFERROR(B50*D50,"-")</f>
        <v>128.2649253731343</v>
      </c>
      <c r="F50" s="15">
        <f t="shared" ref="F50:F62" ca="1" si="12">IFERROR(E50*(B50+1),"-")</f>
        <v>384.79477611940291</v>
      </c>
    </row>
    <row r="51" spans="2:6" x14ac:dyDescent="0.35">
      <c r="B51" s="14">
        <f t="shared" ref="B51:D51" ca="1" si="13">B13</f>
        <v>3</v>
      </c>
      <c r="C51" s="14">
        <f t="shared" ca="1" si="13"/>
        <v>73.7</v>
      </c>
      <c r="D51" s="15">
        <f t="shared" ca="1" si="13"/>
        <v>59.825058476275331</v>
      </c>
      <c r="E51" s="15">
        <f t="shared" ca="1" si="11"/>
        <v>179.47517542882599</v>
      </c>
      <c r="F51" s="15">
        <f t="shared" ca="1" si="12"/>
        <v>717.90070171530397</v>
      </c>
    </row>
    <row r="52" spans="2:6" x14ac:dyDescent="0.35">
      <c r="B52" s="14">
        <f t="shared" ref="B52:D52" ca="1" si="14">B14</f>
        <v>4</v>
      </c>
      <c r="C52" s="14">
        <f t="shared" ca="1" si="14"/>
        <v>73.7</v>
      </c>
      <c r="D52" s="15">
        <f t="shared" ca="1" si="14"/>
        <v>55.806957533838911</v>
      </c>
      <c r="E52" s="15">
        <f t="shared" ca="1" si="11"/>
        <v>223.22783013535565</v>
      </c>
      <c r="F52" s="15">
        <f t="shared" ca="1" si="12"/>
        <v>1116.1391506767782</v>
      </c>
    </row>
    <row r="53" spans="2:6" x14ac:dyDescent="0.35">
      <c r="B53" s="14">
        <f t="shared" ref="B53:D53" ca="1" si="15">B15</f>
        <v>5</v>
      </c>
      <c r="C53" s="14">
        <f t="shared" ca="1" si="15"/>
        <v>73.7</v>
      </c>
      <c r="D53" s="15">
        <f t="shared" ca="1" si="15"/>
        <v>52.058729042760184</v>
      </c>
      <c r="E53" s="15">
        <f t="shared" ca="1" si="11"/>
        <v>260.29364521380091</v>
      </c>
      <c r="F53" s="15">
        <f t="shared" ca="1" si="12"/>
        <v>1561.7618712828055</v>
      </c>
    </row>
    <row r="54" spans="2:6" x14ac:dyDescent="0.35">
      <c r="B54" s="14">
        <f t="shared" ref="B54:D54" ca="1" si="16">B16</f>
        <v>6</v>
      </c>
      <c r="C54" s="14">
        <f t="shared" ca="1" si="16"/>
        <v>73.7</v>
      </c>
      <c r="D54" s="15">
        <f t="shared" ca="1" si="16"/>
        <v>48.56224724138076</v>
      </c>
      <c r="E54" s="15">
        <f t="shared" ca="1" si="11"/>
        <v>291.37348344828456</v>
      </c>
      <c r="F54" s="15">
        <f t="shared" ca="1" si="12"/>
        <v>2039.6143841379919</v>
      </c>
    </row>
    <row r="55" spans="2:6" x14ac:dyDescent="0.35">
      <c r="B55" s="14">
        <f t="shared" ref="B55:D55" ca="1" si="17">B17</f>
        <v>7</v>
      </c>
      <c r="C55" s="14">
        <f t="shared" ca="1" si="17"/>
        <v>1073.7</v>
      </c>
      <c r="D55" s="15">
        <f t="shared" ca="1" si="17"/>
        <v>659.96279874884215</v>
      </c>
      <c r="E55" s="15">
        <f t="shared" ca="1" si="11"/>
        <v>4619.7395912418951</v>
      </c>
      <c r="F55" s="15">
        <f ca="1">IFERROR(E55*(B55+1),"-")</f>
        <v>36957.916729935161</v>
      </c>
    </row>
    <row r="56" spans="2:6" x14ac:dyDescent="0.35">
      <c r="B56" s="14" t="str">
        <f t="shared" ref="B56:D56" ca="1" si="18">B18</f>
        <v>-</v>
      </c>
      <c r="C56" s="14">
        <f t="shared" ca="1" si="18"/>
        <v>73.7</v>
      </c>
      <c r="D56" s="15" t="str">
        <f t="shared" ca="1" si="18"/>
        <v>-</v>
      </c>
      <c r="E56" s="15" t="str">
        <f t="shared" ca="1" si="11"/>
        <v>-</v>
      </c>
      <c r="F56" s="15" t="str">
        <f t="shared" ca="1" si="12"/>
        <v>-</v>
      </c>
    </row>
    <row r="57" spans="2:6" x14ac:dyDescent="0.35">
      <c r="B57" s="14" t="str">
        <f t="shared" ref="B57:D57" ca="1" si="19">B19</f>
        <v>-</v>
      </c>
      <c r="C57" s="14">
        <f t="shared" ca="1" si="19"/>
        <v>73.7</v>
      </c>
      <c r="D57" s="15" t="str">
        <f t="shared" ca="1" si="19"/>
        <v>-</v>
      </c>
      <c r="E57" s="15" t="str">
        <f t="shared" ca="1" si="11"/>
        <v>-</v>
      </c>
      <c r="F57" s="15" t="str">
        <f t="shared" ca="1" si="12"/>
        <v>-</v>
      </c>
    </row>
    <row r="58" spans="2:6" x14ac:dyDescent="0.35">
      <c r="B58" s="14" t="str">
        <f t="shared" ref="B58:D58" ca="1" si="20">B20</f>
        <v>-</v>
      </c>
      <c r="C58" s="14">
        <f t="shared" ca="1" si="20"/>
        <v>73.7</v>
      </c>
      <c r="D58" s="15" t="str">
        <f t="shared" ca="1" si="20"/>
        <v>-</v>
      </c>
      <c r="E58" s="15" t="str">
        <f t="shared" ca="1" si="11"/>
        <v>-</v>
      </c>
      <c r="F58" s="15" t="str">
        <f t="shared" ca="1" si="12"/>
        <v>-</v>
      </c>
    </row>
    <row r="59" spans="2:6" x14ac:dyDescent="0.35">
      <c r="B59" s="14" t="str">
        <f t="shared" ref="B59:D59" ca="1" si="21">B21</f>
        <v>-</v>
      </c>
      <c r="C59" s="14">
        <f t="shared" ca="1" si="21"/>
        <v>73.7</v>
      </c>
      <c r="D59" s="15" t="str">
        <f t="shared" ca="1" si="21"/>
        <v>-</v>
      </c>
      <c r="E59" s="15" t="str">
        <f t="shared" ca="1" si="11"/>
        <v>-</v>
      </c>
      <c r="F59" s="15" t="str">
        <f t="shared" ca="1" si="12"/>
        <v>-</v>
      </c>
    </row>
    <row r="60" spans="2:6" x14ac:dyDescent="0.35">
      <c r="B60" s="14" t="str">
        <f ca="1">B22</f>
        <v>-</v>
      </c>
      <c r="C60" s="14">
        <f t="shared" ref="C60:D60" ca="1" si="22">C22</f>
        <v>73.7</v>
      </c>
      <c r="D60" s="15" t="str">
        <f t="shared" ca="1" si="22"/>
        <v>-</v>
      </c>
      <c r="E60" s="15" t="str">
        <f t="shared" ca="1" si="11"/>
        <v>-</v>
      </c>
      <c r="F60" s="15" t="str">
        <f t="shared" ca="1" si="12"/>
        <v>-</v>
      </c>
    </row>
    <row r="61" spans="2:6" x14ac:dyDescent="0.35">
      <c r="B61" s="14" t="str">
        <f t="shared" ref="B61:D61" ca="1" si="23">B23</f>
        <v>-</v>
      </c>
      <c r="C61" s="14">
        <f t="shared" ca="1" si="23"/>
        <v>73.7</v>
      </c>
      <c r="D61" s="15" t="str">
        <f t="shared" ca="1" si="23"/>
        <v>-</v>
      </c>
      <c r="E61" s="15" t="str">
        <f t="shared" ca="1" si="11"/>
        <v>-</v>
      </c>
      <c r="F61" s="15" t="str">
        <f t="shared" ca="1" si="12"/>
        <v>-</v>
      </c>
    </row>
    <row r="62" spans="2:6" x14ac:dyDescent="0.35">
      <c r="B62" s="14" t="str">
        <f t="shared" ref="B62:D62" ca="1" si="24">B24</f>
        <v>-</v>
      </c>
      <c r="C62" s="14">
        <f t="shared" ca="1" si="24"/>
        <v>73.7</v>
      </c>
      <c r="D62" s="15" t="str">
        <f t="shared" ca="1" si="24"/>
        <v>-</v>
      </c>
      <c r="E62" s="15" t="str">
        <f t="shared" ca="1" si="11"/>
        <v>-</v>
      </c>
      <c r="F62" s="15" t="str">
        <f t="shared" ca="1" si="12"/>
        <v>-</v>
      </c>
    </row>
    <row r="63" spans="2:6" x14ac:dyDescent="0.35">
      <c r="B63" s="14"/>
      <c r="C63" s="14"/>
      <c r="D63" s="15"/>
      <c r="E63" s="15"/>
      <c r="F63" s="15"/>
    </row>
    <row r="64" spans="2:6" x14ac:dyDescent="0.35">
      <c r="D64" s="15"/>
      <c r="E64" s="15"/>
      <c r="F64" s="15"/>
    </row>
    <row r="65" spans="2:6" x14ac:dyDescent="0.35">
      <c r="B65" s="14" t="s">
        <v>21</v>
      </c>
      <c r="D65" s="54">
        <f ca="1">SUM(D49:D63)</f>
        <v>1009.0982537296645</v>
      </c>
      <c r="E65" s="54">
        <f t="shared" ref="E65:F65" ca="1" si="25">SUM(E49:E63)</f>
        <v>5771.1246508412969</v>
      </c>
      <c r="F65" s="54">
        <f t="shared" ca="1" si="25"/>
        <v>42915.627613867444</v>
      </c>
    </row>
    <row r="66" spans="2:6" x14ac:dyDescent="0.35">
      <c r="D66" s="15"/>
      <c r="E66" s="15"/>
      <c r="F66" s="15"/>
    </row>
    <row r="67" spans="2:6" x14ac:dyDescent="0.35">
      <c r="C67" s="56" t="s">
        <v>134</v>
      </c>
      <c r="D67" s="55">
        <f ca="1">E65/(D65*(1+$C$6))</f>
        <v>5.3349728643967698</v>
      </c>
      <c r="E67" s="15"/>
      <c r="F67" s="15"/>
    </row>
    <row r="68" spans="2:6" x14ac:dyDescent="0.35">
      <c r="D68" s="15"/>
      <c r="E68" s="15"/>
      <c r="F68" s="15"/>
    </row>
    <row r="69" spans="2:6" x14ac:dyDescent="0.35">
      <c r="C69" s="56" t="s">
        <v>120</v>
      </c>
      <c r="D69" s="55">
        <f ca="1">F65/(D65*(1+$C$6)^2)</f>
        <v>37.007729653589919</v>
      </c>
      <c r="E69" s="15"/>
      <c r="F69" s="15"/>
    </row>
    <row r="71" spans="2:6" x14ac:dyDescent="0.35">
      <c r="B71" t="s">
        <v>135</v>
      </c>
      <c r="C71" s="15">
        <f ca="1">_xlfn.IFS($J$5&lt;0,$D$67*-($J$5)*$D$65,$J$5&gt;0,$D$67*($J$5)*$D$65)</f>
        <v>13.458779502894817</v>
      </c>
    </row>
    <row r="73" spans="2:6" x14ac:dyDescent="0.35">
      <c r="B73" s="14" t="s">
        <v>136</v>
      </c>
      <c r="C73" s="15">
        <f ca="1">D65+C71</f>
        <v>1022.5570332325593</v>
      </c>
    </row>
    <row r="75" spans="2:6" x14ac:dyDescent="0.35">
      <c r="B75" s="14" t="s">
        <v>137</v>
      </c>
      <c r="C75" s="21">
        <f ca="1">1/2*($D$69)*($J$5)^2*(100)</f>
        <v>1.156491551674685E-2</v>
      </c>
    </row>
    <row r="77" spans="2:6" x14ac:dyDescent="0.35">
      <c r="B77" t="s">
        <v>138</v>
      </c>
      <c r="C77" s="21">
        <f ca="1">_xlfn.IFS(($J$5&lt;0),($D$67*-($J$5))+($C$75),$J$5&gt;0,($D$67*$J$5)+$C$75)</f>
        <v>2.4902347677738773E-2</v>
      </c>
    </row>
    <row r="79" spans="2:6" x14ac:dyDescent="0.35">
      <c r="B79" s="57" t="s">
        <v>139</v>
      </c>
      <c r="C79" s="23">
        <f ca="1">IF($C$77&gt;0,$D$65+($D$65*$C$77),$D$65-($D$65*$C$77))</f>
        <v>1034.2271692850397</v>
      </c>
    </row>
  </sheetData>
  <mergeCells count="8">
    <mergeCell ref="C40:C41"/>
    <mergeCell ref="D38:E38"/>
    <mergeCell ref="B4:C4"/>
    <mergeCell ref="B3:D3"/>
    <mergeCell ref="I3:J3"/>
    <mergeCell ref="I7:J7"/>
    <mergeCell ref="I11:K11"/>
    <mergeCell ref="B36:J36"/>
  </mergeCells>
  <conditionalFormatting sqref="J9">
    <cfRule type="cellIs" dxfId="6" priority="7" operator="lessThan">
      <formula>$J$6</formula>
    </cfRule>
    <cfRule type="cellIs" dxfId="5" priority="8" operator="greaterThan">
      <formula>$J$6</formula>
    </cfRule>
  </conditionalFormatting>
  <conditionalFormatting sqref="K13">
    <cfRule type="cellIs" dxfId="4" priority="6" operator="greaterThan">
      <formula>$K$16</formula>
    </cfRule>
  </conditionalFormatting>
  <conditionalFormatting sqref="K14:K15">
    <cfRule type="cellIs" dxfId="3" priority="5" operator="greaterThan">
      <formula>$K$16</formula>
    </cfRule>
  </conditionalFormatting>
  <conditionalFormatting sqref="K17">
    <cfRule type="cellIs" dxfId="2" priority="4" operator="lessThan">
      <formula>$K$16</formula>
    </cfRule>
  </conditionalFormatting>
  <conditionalFormatting sqref="K18">
    <cfRule type="cellIs" dxfId="1" priority="3" operator="lessThan">
      <formula>$K$16</formula>
    </cfRule>
  </conditionalFormatting>
  <conditionalFormatting sqref="K23">
    <cfRule type="cellIs" dxfId="0" priority="1" operator="greaterThan">
      <formula>$K$16</formula>
    </cfRule>
  </conditionalFormatting>
  <dataValidations count="1">
    <dataValidation allowBlank="1" showInputMessage="1" showErrorMessage="1" promptTitle="Intrinsic Value of a Bond" prompt="Intrinsic Value of a Bond" sqref="D26" xr:uid="{F644ED33-113E-4156-9161-8FD36BB6A7DF}"/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7" r:id="rId4" name="List Box 7">
              <controlPr defaultSize="0" autoLine="0" autoPict="0">
                <anchor moveWithCells="1">
                  <from>
                    <xdr:col>3</xdr:col>
                    <xdr:colOff>12700</xdr:colOff>
                    <xdr:row>39</xdr:row>
                    <xdr:rowOff>6350</xdr:rowOff>
                  </from>
                  <to>
                    <xdr:col>5</xdr:col>
                    <xdr:colOff>12700</xdr:colOff>
                    <xdr:row>40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76C76-E25C-404B-87D2-89B9509FCDB6}">
  <sheetPr codeName="Sheet2"/>
  <dimension ref="A1:V82"/>
  <sheetViews>
    <sheetView workbookViewId="0">
      <pane xSplit="1" ySplit="2" topLeftCell="N27" activePane="bottomRight" state="frozen"/>
      <selection pane="topRight" activeCell="B1" sqref="B1"/>
      <selection pane="bottomLeft" activeCell="A3" sqref="A3"/>
      <selection pane="bottomRight" activeCell="D3" sqref="D3"/>
    </sheetView>
  </sheetViews>
  <sheetFormatPr defaultRowHeight="14.5" x14ac:dyDescent="0.35"/>
  <cols>
    <col min="1" max="1" width="56.26953125" style="1" bestFit="1" customWidth="1"/>
    <col min="2" max="2" width="8.54296875" style="2" bestFit="1" customWidth="1"/>
    <col min="3" max="3" width="9.1796875" style="2" bestFit="1" customWidth="1"/>
    <col min="4" max="4" width="9.26953125" style="2" bestFit="1" customWidth="1"/>
    <col min="5" max="5" width="9.453125" style="2" bestFit="1" customWidth="1"/>
    <col min="6" max="6" width="5" style="3" bestFit="1" customWidth="1"/>
    <col min="7" max="7" width="7.453125" style="3" customWidth="1"/>
    <col min="8" max="8" width="10.1796875" style="3" customWidth="1"/>
    <col min="9" max="9" width="6.1796875" style="4" bestFit="1" customWidth="1"/>
    <col min="10" max="10" width="8.7265625" style="3" bestFit="1" customWidth="1"/>
    <col min="11" max="11" width="5.54296875" style="3" bestFit="1" customWidth="1"/>
    <col min="12" max="12" width="5.54296875" style="2" bestFit="1" customWidth="1"/>
    <col min="13" max="13" width="6.54296875" style="2" bestFit="1" customWidth="1"/>
    <col min="14" max="14" width="9.1796875" style="3"/>
    <col min="15" max="15" width="11.81640625" style="2" bestFit="1" customWidth="1"/>
    <col min="16" max="18" width="5.54296875" style="2" bestFit="1" customWidth="1"/>
    <col min="19" max="19" width="7.7265625" style="2" bestFit="1" customWidth="1"/>
    <col min="20" max="20" width="5.54296875" style="2" bestFit="1" customWidth="1"/>
    <col min="21" max="21" width="8.54296875" style="2" bestFit="1" customWidth="1"/>
    <col min="22" max="22" width="12" style="2" bestFit="1" customWidth="1"/>
  </cols>
  <sheetData>
    <row r="1" spans="1:22" x14ac:dyDescent="0.35">
      <c r="J1" s="3">
        <v>100</v>
      </c>
    </row>
    <row r="2" spans="1:22" ht="58" x14ac:dyDescent="0.35">
      <c r="A2" s="5" t="s">
        <v>0</v>
      </c>
      <c r="B2" s="6" t="s">
        <v>1</v>
      </c>
      <c r="C2" s="7" t="s">
        <v>2</v>
      </c>
      <c r="D2" s="7" t="s">
        <v>3</v>
      </c>
      <c r="E2" s="7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9" t="s">
        <v>10</v>
      </c>
      <c r="L2" s="9" t="s">
        <v>11</v>
      </c>
      <c r="M2" s="9" t="s">
        <v>12</v>
      </c>
      <c r="N2" s="9" t="s">
        <v>13</v>
      </c>
      <c r="O2" s="9" t="s">
        <v>14</v>
      </c>
      <c r="P2" s="9" t="s">
        <v>15</v>
      </c>
      <c r="Q2" s="9" t="s">
        <v>16</v>
      </c>
      <c r="R2" s="9" t="s">
        <v>17</v>
      </c>
      <c r="S2" s="9" t="s">
        <v>18</v>
      </c>
      <c r="T2" s="9" t="s">
        <v>19</v>
      </c>
      <c r="U2" s="9" t="s">
        <v>20</v>
      </c>
      <c r="V2" s="10" t="s">
        <v>21</v>
      </c>
    </row>
    <row r="3" spans="1:22" x14ac:dyDescent="0.35">
      <c r="A3" s="11" t="s">
        <v>22</v>
      </c>
      <c r="B3" s="3">
        <v>2388</v>
      </c>
      <c r="C3" s="3">
        <v>3.04</v>
      </c>
      <c r="D3" s="3">
        <v>3.04</v>
      </c>
      <c r="E3" s="3">
        <v>3.04</v>
      </c>
      <c r="F3" s="3">
        <v>6.3224956505488707</v>
      </c>
      <c r="G3" s="12">
        <v>0.05</v>
      </c>
      <c r="H3" s="12">
        <f>D3*G3</f>
        <v>0.15200000000000002</v>
      </c>
      <c r="I3" s="4">
        <v>5.9999999999999995E-4</v>
      </c>
      <c r="J3" s="3">
        <v>6.2624956505488711</v>
      </c>
      <c r="L3" s="3"/>
      <c r="M3" s="3">
        <v>94.98</v>
      </c>
      <c r="N3" s="3">
        <v>5.0199999999999996</v>
      </c>
      <c r="O3" s="3">
        <f t="shared" ref="O3:O66" si="0">SUM(K3:N3)</f>
        <v>100</v>
      </c>
      <c r="P3" s="3" t="s">
        <v>23</v>
      </c>
      <c r="Q3" s="3" t="s">
        <v>23</v>
      </c>
      <c r="R3" s="3" t="s">
        <v>23</v>
      </c>
      <c r="S3" s="3" t="s">
        <v>23</v>
      </c>
      <c r="T3" s="3" t="s">
        <v>23</v>
      </c>
      <c r="U3" s="3" t="s">
        <v>23</v>
      </c>
    </row>
    <row r="4" spans="1:22" x14ac:dyDescent="0.35">
      <c r="A4" s="11" t="s">
        <v>24</v>
      </c>
      <c r="B4" s="3">
        <v>20405</v>
      </c>
      <c r="C4" s="3">
        <v>40.15</v>
      </c>
      <c r="D4" s="3">
        <v>37.71</v>
      </c>
      <c r="E4" s="3">
        <v>40.15</v>
      </c>
      <c r="F4" s="3">
        <v>6.9506139471136112</v>
      </c>
      <c r="G4" s="12">
        <v>0.05</v>
      </c>
      <c r="H4" s="12">
        <f t="shared" ref="H4:H67" si="1">D4*G4</f>
        <v>1.8855000000000002</v>
      </c>
      <c r="I4" s="4">
        <v>1.1999999999999999E-3</v>
      </c>
      <c r="J4" s="3">
        <v>6.8306139471136111</v>
      </c>
      <c r="K4" s="3">
        <v>80.94</v>
      </c>
      <c r="L4" s="3"/>
      <c r="M4" s="3">
        <v>2.64</v>
      </c>
      <c r="N4" s="3">
        <v>16.420000000000002</v>
      </c>
      <c r="O4" s="3">
        <f t="shared" si="0"/>
        <v>100</v>
      </c>
      <c r="P4" s="3">
        <v>0</v>
      </c>
      <c r="Q4" s="3">
        <v>0</v>
      </c>
      <c r="R4" s="3" t="s">
        <v>23</v>
      </c>
      <c r="S4" s="3" t="s">
        <v>23</v>
      </c>
      <c r="T4" s="3" t="s">
        <v>23</v>
      </c>
      <c r="U4" s="3" t="s">
        <v>23</v>
      </c>
    </row>
    <row r="5" spans="1:22" x14ac:dyDescent="0.35">
      <c r="A5" s="11" t="s">
        <v>25</v>
      </c>
      <c r="B5" s="3">
        <v>2962</v>
      </c>
      <c r="C5" s="3">
        <v>162.1</v>
      </c>
      <c r="D5" s="3">
        <v>149</v>
      </c>
      <c r="E5" s="3">
        <v>160</v>
      </c>
      <c r="F5" s="3">
        <v>7.2647544261250969</v>
      </c>
      <c r="G5" s="12">
        <v>0.05</v>
      </c>
      <c r="H5" s="12">
        <f t="shared" si="1"/>
        <v>7.45</v>
      </c>
      <c r="I5" s="4">
        <v>2.0999999999999999E-3</v>
      </c>
      <c r="J5" s="3">
        <v>7.054754426125097</v>
      </c>
      <c r="K5" s="3">
        <v>84.58</v>
      </c>
      <c r="L5" s="3"/>
      <c r="M5" s="3">
        <v>2.36</v>
      </c>
      <c r="N5" s="3">
        <v>13.06</v>
      </c>
      <c r="O5" s="3">
        <f t="shared" si="0"/>
        <v>100</v>
      </c>
      <c r="P5" s="3" t="s">
        <v>23</v>
      </c>
      <c r="Q5" s="3" t="s">
        <v>23</v>
      </c>
      <c r="R5" s="3" t="s">
        <v>23</v>
      </c>
      <c r="S5" s="3" t="s">
        <v>23</v>
      </c>
      <c r="T5" s="3" t="s">
        <v>23</v>
      </c>
      <c r="U5" s="3" t="s">
        <v>23</v>
      </c>
    </row>
    <row r="6" spans="1:22" x14ac:dyDescent="0.35">
      <c r="A6" s="1" t="s">
        <v>26</v>
      </c>
      <c r="B6" s="3">
        <v>2179</v>
      </c>
      <c r="C6" s="3">
        <v>142</v>
      </c>
      <c r="D6" s="3">
        <v>132</v>
      </c>
      <c r="E6" s="3">
        <v>142</v>
      </c>
      <c r="F6" s="3">
        <v>7.2639399302021825</v>
      </c>
      <c r="G6" s="12">
        <v>0.05</v>
      </c>
      <c r="H6" s="12">
        <f t="shared" si="1"/>
        <v>6.6000000000000005</v>
      </c>
      <c r="I6" s="4">
        <v>2E-3</v>
      </c>
      <c r="J6" s="3">
        <v>7.0639399302021824</v>
      </c>
      <c r="K6" s="3">
        <v>85.97</v>
      </c>
      <c r="L6" s="3"/>
      <c r="M6" s="3">
        <v>4.9800000000000004</v>
      </c>
      <c r="N6" s="3">
        <v>9.0500000000000007</v>
      </c>
      <c r="O6" s="3">
        <f t="shared" si="0"/>
        <v>100</v>
      </c>
      <c r="P6" s="3">
        <v>0</v>
      </c>
      <c r="Q6" s="3">
        <v>0</v>
      </c>
      <c r="R6" s="3" t="s">
        <v>23</v>
      </c>
      <c r="S6" s="3" t="s">
        <v>23</v>
      </c>
      <c r="T6" s="3" t="s">
        <v>23</v>
      </c>
      <c r="U6" s="3" t="s">
        <v>23</v>
      </c>
    </row>
    <row r="7" spans="1:22" x14ac:dyDescent="0.35">
      <c r="A7" s="1" t="s">
        <v>27</v>
      </c>
      <c r="B7" s="3">
        <v>3813</v>
      </c>
      <c r="C7" s="3">
        <v>1194</v>
      </c>
      <c r="D7" s="3">
        <v>965</v>
      </c>
      <c r="E7" s="3">
        <v>1019</v>
      </c>
      <c r="F7" s="3">
        <v>7.3674369010506222</v>
      </c>
      <c r="G7" s="12">
        <v>0.05</v>
      </c>
      <c r="H7" s="12">
        <f t="shared" si="1"/>
        <v>48.25</v>
      </c>
      <c r="I7" s="4">
        <v>2.7000000000000001E-3</v>
      </c>
      <c r="J7" s="3">
        <v>7.0974369010506226</v>
      </c>
      <c r="K7" s="3">
        <v>69.47</v>
      </c>
      <c r="L7" s="3"/>
      <c r="M7" s="3">
        <v>1.42</v>
      </c>
      <c r="N7" s="3">
        <v>29.11</v>
      </c>
      <c r="O7" s="3">
        <f t="shared" si="0"/>
        <v>100</v>
      </c>
      <c r="P7" s="3" t="s">
        <v>23</v>
      </c>
      <c r="Q7" s="3" t="s">
        <v>23</v>
      </c>
      <c r="R7" s="3" t="s">
        <v>23</v>
      </c>
      <c r="S7" s="3" t="s">
        <v>23</v>
      </c>
      <c r="T7" s="3" t="s">
        <v>23</v>
      </c>
      <c r="U7" s="3" t="s">
        <v>23</v>
      </c>
    </row>
    <row r="8" spans="1:22" x14ac:dyDescent="0.35">
      <c r="A8" s="1" t="s">
        <v>28</v>
      </c>
      <c r="B8" s="3">
        <v>4453</v>
      </c>
      <c r="C8" s="3">
        <v>491</v>
      </c>
      <c r="D8" s="3">
        <v>439</v>
      </c>
      <c r="E8" s="3">
        <v>468</v>
      </c>
      <c r="F8" s="3">
        <v>7.4324389270224032</v>
      </c>
      <c r="G8" s="12">
        <v>0.05</v>
      </c>
      <c r="H8" s="12">
        <f t="shared" si="1"/>
        <v>21.950000000000003</v>
      </c>
      <c r="I8" s="4">
        <v>2.3E-3</v>
      </c>
      <c r="J8" s="3">
        <v>7.2024389270224027</v>
      </c>
      <c r="K8" s="3">
        <v>87.03</v>
      </c>
      <c r="L8" s="3"/>
      <c r="M8" s="3">
        <v>0.45</v>
      </c>
      <c r="N8" s="3">
        <v>12.52</v>
      </c>
      <c r="O8" s="3">
        <f t="shared" si="0"/>
        <v>100</v>
      </c>
      <c r="P8" s="3" t="s">
        <v>23</v>
      </c>
      <c r="Q8" s="3" t="s">
        <v>23</v>
      </c>
      <c r="R8" s="3" t="s">
        <v>23</v>
      </c>
      <c r="S8" s="3" t="s">
        <v>23</v>
      </c>
      <c r="T8" s="3" t="s">
        <v>23</v>
      </c>
      <c r="U8" s="3" t="s">
        <v>23</v>
      </c>
    </row>
    <row r="9" spans="1:22" x14ac:dyDescent="0.35">
      <c r="A9" s="1" t="s">
        <v>29</v>
      </c>
      <c r="B9" s="3">
        <v>6572</v>
      </c>
      <c r="C9" s="3">
        <v>1464</v>
      </c>
      <c r="D9" s="3">
        <v>1198</v>
      </c>
      <c r="E9" s="3">
        <v>1269</v>
      </c>
      <c r="F9" s="3">
        <v>7.2836938931754807</v>
      </c>
      <c r="G9" s="12">
        <v>0.05</v>
      </c>
      <c r="H9" s="12">
        <f t="shared" si="1"/>
        <v>59.900000000000006</v>
      </c>
      <c r="I9" s="4">
        <v>3.0000000000000001E-3</v>
      </c>
      <c r="J9" s="3">
        <v>6.9836938931754808</v>
      </c>
      <c r="K9" s="3">
        <v>79.849999999999994</v>
      </c>
      <c r="L9" s="3"/>
      <c r="M9" s="3">
        <v>0.35</v>
      </c>
      <c r="N9" s="3">
        <v>19.8</v>
      </c>
      <c r="O9" s="3">
        <f t="shared" si="0"/>
        <v>99.999999999999986</v>
      </c>
      <c r="P9" s="3" t="s">
        <v>23</v>
      </c>
      <c r="Q9" s="3" t="s">
        <v>23</v>
      </c>
      <c r="R9" s="3" t="s">
        <v>23</v>
      </c>
      <c r="S9" s="3" t="s">
        <v>23</v>
      </c>
      <c r="T9" s="3" t="s">
        <v>23</v>
      </c>
      <c r="U9" s="3" t="s">
        <v>23</v>
      </c>
    </row>
    <row r="10" spans="1:22" x14ac:dyDescent="0.35">
      <c r="A10" s="1" t="s">
        <v>30</v>
      </c>
      <c r="B10" s="3">
        <v>11674.388980413001</v>
      </c>
      <c r="C10" s="3">
        <v>51</v>
      </c>
      <c r="D10" s="3">
        <v>51</v>
      </c>
      <c r="E10" s="3">
        <v>49</v>
      </c>
      <c r="F10" s="3">
        <f>0.0705*100</f>
        <v>7.0499999999999989</v>
      </c>
      <c r="G10" s="12">
        <v>0.05</v>
      </c>
      <c r="H10" s="12">
        <f t="shared" si="1"/>
        <v>2.5500000000000003</v>
      </c>
      <c r="I10" s="4">
        <v>1.6999999999999999E-3</v>
      </c>
      <c r="J10" s="3">
        <v>6.88</v>
      </c>
      <c r="L10" s="3"/>
      <c r="M10" s="3"/>
      <c r="O10" s="3">
        <f t="shared" si="0"/>
        <v>0</v>
      </c>
      <c r="P10" s="3"/>
      <c r="Q10" s="3"/>
      <c r="R10" s="3"/>
      <c r="S10" s="3"/>
      <c r="T10" s="3"/>
      <c r="U10" s="3"/>
    </row>
    <row r="11" spans="1:22" x14ac:dyDescent="0.35">
      <c r="A11" s="1" t="s">
        <v>31</v>
      </c>
      <c r="B11" s="3">
        <v>1358.39</v>
      </c>
      <c r="C11" s="3">
        <v>175.2</v>
      </c>
      <c r="D11" s="3">
        <v>167.9</v>
      </c>
      <c r="E11" s="3">
        <v>171.55</v>
      </c>
      <c r="F11" s="3">
        <v>7.4300000000000006</v>
      </c>
      <c r="G11" s="12">
        <v>0.05</v>
      </c>
      <c r="H11" s="12">
        <f t="shared" si="1"/>
        <v>8.3950000000000014</v>
      </c>
      <c r="I11" s="4">
        <v>3.0000000000000001E-3</v>
      </c>
      <c r="J11" s="3">
        <v>7.13</v>
      </c>
      <c r="L11" s="3"/>
      <c r="M11" s="3"/>
      <c r="O11" s="3">
        <f t="shared" si="0"/>
        <v>0</v>
      </c>
      <c r="P11" s="3"/>
      <c r="Q11" s="3"/>
      <c r="R11" s="3"/>
      <c r="S11" s="3"/>
      <c r="T11" s="3"/>
      <c r="U11" s="3"/>
    </row>
    <row r="12" spans="1:22" x14ac:dyDescent="0.35">
      <c r="A12" s="1" t="s">
        <v>32</v>
      </c>
      <c r="B12" s="3">
        <v>196.22</v>
      </c>
      <c r="C12" s="3">
        <f>5.2*365</f>
        <v>1898</v>
      </c>
      <c r="D12" s="3">
        <f>3.81*365</f>
        <v>1390.65</v>
      </c>
      <c r="E12" s="3">
        <f>3.99*365</f>
        <v>1456.3500000000001</v>
      </c>
      <c r="F12" s="3">
        <v>7.1999999999999993</v>
      </c>
      <c r="G12" s="12">
        <v>0.05</v>
      </c>
      <c r="H12" s="12">
        <f t="shared" si="1"/>
        <v>69.532500000000013</v>
      </c>
      <c r="I12" s="4">
        <v>2E-3</v>
      </c>
      <c r="J12" s="3">
        <v>6.9999999999999991</v>
      </c>
      <c r="L12" s="3"/>
      <c r="M12" s="3"/>
      <c r="O12" s="3">
        <f t="shared" si="0"/>
        <v>0</v>
      </c>
      <c r="P12" s="3"/>
      <c r="Q12" s="3"/>
      <c r="R12" s="3"/>
      <c r="S12" s="3"/>
      <c r="T12" s="3"/>
      <c r="U12" s="3"/>
    </row>
    <row r="13" spans="1:22" x14ac:dyDescent="0.35">
      <c r="A13" s="1" t="s">
        <v>33</v>
      </c>
      <c r="B13" s="3">
        <v>456.52</v>
      </c>
      <c r="C13" s="3">
        <v>167.9</v>
      </c>
      <c r="D13" s="3">
        <f>164.25*365</f>
        <v>59951.25</v>
      </c>
      <c r="E13" s="3">
        <f>167.9*365</f>
        <v>61283.5</v>
      </c>
      <c r="F13" s="3">
        <v>7.3999999999999995</v>
      </c>
      <c r="G13" s="12">
        <v>0.05</v>
      </c>
      <c r="H13" s="12">
        <f t="shared" si="1"/>
        <v>2997.5625</v>
      </c>
      <c r="I13" s="4">
        <v>2.3E-3</v>
      </c>
      <c r="J13" s="3">
        <v>7.17</v>
      </c>
      <c r="L13" s="3"/>
      <c r="M13" s="3"/>
      <c r="O13" s="3">
        <f t="shared" si="0"/>
        <v>0</v>
      </c>
      <c r="P13" s="3"/>
      <c r="Q13" s="3"/>
      <c r="R13" s="3"/>
      <c r="S13" s="3"/>
      <c r="T13" s="3"/>
      <c r="U13" s="3"/>
    </row>
    <row r="14" spans="1:22" x14ac:dyDescent="0.35">
      <c r="A14" s="1" t="s">
        <v>34</v>
      </c>
      <c r="B14" s="3">
        <v>246.7</v>
      </c>
      <c r="C14" s="3">
        <f>1*365</f>
        <v>365</v>
      </c>
      <c r="D14" s="3">
        <v>332.15</v>
      </c>
      <c r="E14" s="3">
        <v>350.4</v>
      </c>
      <c r="F14" s="3">
        <v>7.62</v>
      </c>
      <c r="G14" s="12">
        <v>0.05</v>
      </c>
      <c r="H14" s="12">
        <f t="shared" si="1"/>
        <v>16.607499999999998</v>
      </c>
      <c r="I14" s="4">
        <v>3.0999999999999999E-3</v>
      </c>
      <c r="J14" s="3">
        <v>7.31</v>
      </c>
      <c r="L14" s="3"/>
      <c r="M14" s="3"/>
      <c r="O14" s="3">
        <f t="shared" si="0"/>
        <v>0</v>
      </c>
      <c r="P14" s="3"/>
      <c r="Q14" s="3"/>
      <c r="R14" s="3"/>
      <c r="S14" s="3"/>
      <c r="T14" s="3"/>
      <c r="U14" s="3"/>
    </row>
    <row r="15" spans="1:22" x14ac:dyDescent="0.35">
      <c r="A15" s="1" t="s">
        <v>35</v>
      </c>
      <c r="B15" s="3">
        <v>196.65</v>
      </c>
      <c r="C15" s="3">
        <f>3.22*365</f>
        <v>1175.3000000000002</v>
      </c>
      <c r="D15" s="3">
        <f>2.65*365</f>
        <v>967.25</v>
      </c>
      <c r="E15" s="3">
        <f>2.81*365</f>
        <v>1025.6500000000001</v>
      </c>
      <c r="F15" s="3">
        <v>7.4700000000000006</v>
      </c>
      <c r="G15" s="12">
        <v>0.05</v>
      </c>
      <c r="H15" s="12">
        <f t="shared" si="1"/>
        <v>48.362500000000004</v>
      </c>
      <c r="I15" s="4">
        <v>3.8E-3</v>
      </c>
      <c r="J15" s="3">
        <v>7.0900000000000007</v>
      </c>
      <c r="L15" s="3"/>
      <c r="M15" s="3"/>
      <c r="O15" s="3">
        <f t="shared" si="0"/>
        <v>0</v>
      </c>
      <c r="P15" s="3"/>
      <c r="Q15" s="3"/>
      <c r="R15" s="3"/>
      <c r="S15" s="3"/>
      <c r="T15" s="3"/>
      <c r="U15" s="3"/>
    </row>
    <row r="16" spans="1:22" x14ac:dyDescent="0.35">
      <c r="A16" s="1" t="s">
        <v>36</v>
      </c>
      <c r="B16" s="3">
        <v>165.97</v>
      </c>
      <c r="C16" s="3">
        <f>15.77*365</f>
        <v>5756.05</v>
      </c>
      <c r="D16" s="3">
        <f>7.93*365</f>
        <v>2894.45</v>
      </c>
      <c r="E16" s="3">
        <f>8.2*365</f>
        <v>2992.9999999999995</v>
      </c>
      <c r="F16" s="3">
        <v>6.87</v>
      </c>
      <c r="G16" s="12">
        <v>0.05</v>
      </c>
      <c r="H16" s="12">
        <f t="shared" si="1"/>
        <v>144.7225</v>
      </c>
      <c r="I16" s="4">
        <v>7.1000000000000004E-3</v>
      </c>
      <c r="J16" s="3">
        <v>6.1599999999999993</v>
      </c>
      <c r="L16" s="3"/>
      <c r="M16" s="3"/>
      <c r="O16" s="3">
        <f t="shared" si="0"/>
        <v>0</v>
      </c>
      <c r="P16" s="3"/>
      <c r="Q16" s="3"/>
      <c r="R16" s="3"/>
      <c r="S16" s="3"/>
      <c r="T16" s="3"/>
      <c r="U16" s="3"/>
    </row>
    <row r="17" spans="1:22" x14ac:dyDescent="0.35">
      <c r="A17" s="1" t="s">
        <v>37</v>
      </c>
      <c r="B17" s="3">
        <f>11.17</f>
        <v>11.17</v>
      </c>
      <c r="C17" s="3">
        <f>9.61*365</f>
        <v>3507.6499999999996</v>
      </c>
      <c r="D17" s="3">
        <f>6.99*365</f>
        <v>2551.35</v>
      </c>
      <c r="E17" s="3">
        <f>7.23*365</f>
        <v>2638.9500000000003</v>
      </c>
      <c r="F17" s="3">
        <v>6.94</v>
      </c>
      <c r="G17" s="12">
        <v>0.05</v>
      </c>
      <c r="H17" s="12">
        <f t="shared" si="1"/>
        <v>127.5675</v>
      </c>
      <c r="I17" s="4">
        <v>1.4E-3</v>
      </c>
      <c r="J17" s="3">
        <v>6.8000000000000007</v>
      </c>
      <c r="L17" s="3"/>
      <c r="M17" s="3"/>
      <c r="O17" s="3">
        <f t="shared" si="0"/>
        <v>0</v>
      </c>
      <c r="P17" s="3"/>
      <c r="Q17" s="3"/>
      <c r="R17" s="3"/>
      <c r="S17" s="3"/>
      <c r="T17" s="3"/>
      <c r="U17" s="3"/>
    </row>
    <row r="18" spans="1:22" x14ac:dyDescent="0.35">
      <c r="A18" s="1" t="s">
        <v>38</v>
      </c>
      <c r="B18" s="3">
        <v>26.7</v>
      </c>
      <c r="C18" s="3">
        <f>4.84*365</f>
        <v>1766.6</v>
      </c>
      <c r="D18" s="3">
        <f>3.55*365</f>
        <v>1295.75</v>
      </c>
      <c r="E18" s="3">
        <f>3.74*365</f>
        <v>1365.1000000000001</v>
      </c>
      <c r="F18" s="3">
        <v>7.2499999999999991</v>
      </c>
      <c r="G18" s="12">
        <v>0.05</v>
      </c>
      <c r="H18" s="12">
        <f t="shared" si="1"/>
        <v>64.787500000000009</v>
      </c>
      <c r="I18" s="4">
        <v>3.8999999999999998E-3</v>
      </c>
      <c r="J18" s="3">
        <v>6.8599999999999994</v>
      </c>
      <c r="L18" s="3"/>
      <c r="M18" s="3"/>
      <c r="O18" s="3">
        <f t="shared" si="0"/>
        <v>0</v>
      </c>
      <c r="P18" s="3"/>
      <c r="Q18" s="3"/>
      <c r="R18" s="3"/>
      <c r="S18" s="3"/>
      <c r="T18" s="3"/>
      <c r="U18" s="3"/>
    </row>
    <row r="19" spans="1:22" x14ac:dyDescent="0.35">
      <c r="A19" s="1" t="s">
        <v>39</v>
      </c>
      <c r="B19" s="3">
        <v>23609.723337978001</v>
      </c>
      <c r="C19" s="3">
        <v>38.514610547242746</v>
      </c>
      <c r="D19" s="3">
        <v>33.858732016327878</v>
      </c>
      <c r="E19" s="3">
        <v>36.237379044576429</v>
      </c>
      <c r="F19" s="3">
        <v>6.9652985730758896</v>
      </c>
      <c r="G19" s="12">
        <v>0.05</v>
      </c>
      <c r="H19" s="12">
        <f t="shared" si="1"/>
        <v>1.692936600816394</v>
      </c>
      <c r="I19" s="4">
        <v>1E-3</v>
      </c>
      <c r="J19" s="3">
        <v>6.9642985730758893</v>
      </c>
      <c r="K19" s="3">
        <v>3.0700000000000003</v>
      </c>
      <c r="L19" s="3">
        <v>74.739999999999995</v>
      </c>
      <c r="M19" s="3">
        <v>11.89</v>
      </c>
      <c r="N19" s="3">
        <v>10.08</v>
      </c>
      <c r="O19" s="3">
        <f t="shared" si="0"/>
        <v>99.78</v>
      </c>
      <c r="P19" s="3">
        <v>0.22</v>
      </c>
      <c r="Q19" s="3">
        <v>0</v>
      </c>
      <c r="R19" s="3"/>
      <c r="S19" s="3"/>
      <c r="T19" s="3"/>
      <c r="U19" s="3"/>
      <c r="V19" s="2">
        <f t="shared" ref="V19:V50" si="2">O19+P19+Q19+R19+S19+T19+U19</f>
        <v>100</v>
      </c>
    </row>
    <row r="20" spans="1:22" x14ac:dyDescent="0.35">
      <c r="A20" s="1" t="s">
        <v>40</v>
      </c>
      <c r="B20" s="3">
        <v>2979.9904085980002</v>
      </c>
      <c r="C20" s="3">
        <v>3.7607692254508396</v>
      </c>
      <c r="D20" s="3">
        <v>0.80673307637540548</v>
      </c>
      <c r="E20" s="3">
        <v>0.85778752072109477</v>
      </c>
      <c r="F20" s="3">
        <v>6.4126736161513405</v>
      </c>
      <c r="G20" s="12">
        <v>0.05</v>
      </c>
      <c r="H20" s="12">
        <f t="shared" si="1"/>
        <v>4.0336653818770274E-2</v>
      </c>
      <c r="I20" s="4">
        <v>5.9999999999999995E-4</v>
      </c>
      <c r="J20" s="3">
        <v>6.4120736161513401</v>
      </c>
      <c r="K20" s="3">
        <v>0</v>
      </c>
      <c r="L20" s="3">
        <v>0</v>
      </c>
      <c r="M20" s="3">
        <v>95.15</v>
      </c>
      <c r="N20" s="3">
        <v>4.8500000000000005</v>
      </c>
      <c r="O20" s="3">
        <f t="shared" si="0"/>
        <v>100</v>
      </c>
      <c r="P20" s="3">
        <v>0</v>
      </c>
      <c r="Q20" s="3">
        <v>0</v>
      </c>
      <c r="R20" s="3"/>
      <c r="S20" s="3"/>
      <c r="T20" s="3"/>
      <c r="U20" s="3"/>
      <c r="V20" s="2">
        <f t="shared" si="2"/>
        <v>100</v>
      </c>
    </row>
    <row r="21" spans="1:22" x14ac:dyDescent="0.35">
      <c r="A21" s="1" t="s">
        <v>41</v>
      </c>
      <c r="B21" s="3">
        <v>3215.57279926</v>
      </c>
      <c r="C21" s="3">
        <v>169.48726231656173</v>
      </c>
      <c r="D21" s="3">
        <v>154.51824784329395</v>
      </c>
      <c r="E21" s="3">
        <v>166.00703436449817</v>
      </c>
      <c r="F21" s="3">
        <v>7.4270853533593808</v>
      </c>
      <c r="G21" s="12">
        <v>0.05</v>
      </c>
      <c r="H21" s="12">
        <f t="shared" si="1"/>
        <v>7.7259123921646982</v>
      </c>
      <c r="I21" s="4">
        <v>3.0000000000000001E-3</v>
      </c>
      <c r="J21" s="3">
        <v>7.4240853533593807</v>
      </c>
      <c r="K21" s="3">
        <v>29.970000000000002</v>
      </c>
      <c r="L21" s="3">
        <v>49.230000000000004</v>
      </c>
      <c r="M21" s="3">
        <v>3.02</v>
      </c>
      <c r="N21" s="3">
        <v>10.24</v>
      </c>
      <c r="O21" s="3">
        <f t="shared" si="0"/>
        <v>92.46</v>
      </c>
      <c r="P21" s="3">
        <v>5.96</v>
      </c>
      <c r="Q21" s="3">
        <v>1.58</v>
      </c>
      <c r="R21" s="3"/>
      <c r="S21" s="3"/>
      <c r="T21" s="3"/>
      <c r="U21" s="3"/>
      <c r="V21" s="2">
        <f t="shared" si="2"/>
        <v>99.999999999999986</v>
      </c>
    </row>
    <row r="22" spans="1:22" x14ac:dyDescent="0.35">
      <c r="A22" s="1" t="s">
        <v>42</v>
      </c>
      <c r="B22" s="3">
        <v>5663.5582519870004</v>
      </c>
      <c r="C22" s="3">
        <v>387.23972051058121</v>
      </c>
      <c r="D22" s="3">
        <v>331.99360133155574</v>
      </c>
      <c r="E22" s="3">
        <v>353.20078677301456</v>
      </c>
      <c r="F22" s="3">
        <v>7.4483990297799298</v>
      </c>
      <c r="G22" s="12">
        <v>0.05</v>
      </c>
      <c r="H22" s="12">
        <f t="shared" si="1"/>
        <v>16.599680066577786</v>
      </c>
      <c r="I22" s="4">
        <v>3.0000000000000001E-3</v>
      </c>
      <c r="J22" s="3">
        <v>7.4453990297799297</v>
      </c>
      <c r="K22" s="3">
        <v>61.760000000000005</v>
      </c>
      <c r="L22" s="3">
        <v>21.709999999999997</v>
      </c>
      <c r="M22" s="3">
        <v>3.56</v>
      </c>
      <c r="N22" s="3">
        <v>12.97</v>
      </c>
      <c r="O22" s="3">
        <f t="shared" si="0"/>
        <v>100</v>
      </c>
      <c r="P22" s="3">
        <v>0</v>
      </c>
      <c r="Q22" s="3">
        <v>0</v>
      </c>
      <c r="R22" s="3"/>
      <c r="S22" s="3"/>
      <c r="T22" s="3"/>
      <c r="U22" s="3"/>
      <c r="V22" s="2">
        <f t="shared" si="2"/>
        <v>100</v>
      </c>
    </row>
    <row r="23" spans="1:22" x14ac:dyDescent="0.35">
      <c r="A23" s="1" t="s">
        <v>43</v>
      </c>
      <c r="B23" s="3">
        <v>3102.6915591520001</v>
      </c>
      <c r="C23" s="3">
        <v>3772.561791510444</v>
      </c>
      <c r="D23" s="3">
        <v>1964.2017842545906</v>
      </c>
      <c r="E23" s="3">
        <v>2072.3468697823191</v>
      </c>
      <c r="F23" s="3">
        <v>7.2095341450828103</v>
      </c>
      <c r="G23" s="12">
        <v>0.05</v>
      </c>
      <c r="H23" s="12">
        <f t="shared" si="1"/>
        <v>98.210089212729542</v>
      </c>
      <c r="I23" s="4">
        <v>3.2000000000000002E-3</v>
      </c>
      <c r="J23" s="3">
        <v>7.2063341450828107</v>
      </c>
      <c r="K23" s="3">
        <v>61.250000000000007</v>
      </c>
      <c r="L23" s="3">
        <v>12.78</v>
      </c>
      <c r="M23" s="3">
        <v>4.1099999999999994</v>
      </c>
      <c r="N23" s="3">
        <v>21.86</v>
      </c>
      <c r="O23" s="3">
        <f t="shared" si="0"/>
        <v>100</v>
      </c>
      <c r="P23" s="3">
        <v>0</v>
      </c>
      <c r="Q23" s="3">
        <v>0</v>
      </c>
      <c r="R23" s="3"/>
      <c r="S23" s="3"/>
      <c r="T23" s="3"/>
      <c r="U23" s="3"/>
      <c r="V23" s="2">
        <f t="shared" si="2"/>
        <v>100</v>
      </c>
    </row>
    <row r="24" spans="1:22" x14ac:dyDescent="0.35">
      <c r="A24" s="1" t="s">
        <v>44</v>
      </c>
      <c r="B24" s="3">
        <v>2843.653659951</v>
      </c>
      <c r="C24" s="3">
        <v>1376.6024691652538</v>
      </c>
      <c r="D24" s="3">
        <v>999.92595593221313</v>
      </c>
      <c r="E24" s="3">
        <v>1058.4540178723528</v>
      </c>
      <c r="F24" s="3">
        <v>7.5410155663492198</v>
      </c>
      <c r="G24" s="12">
        <v>0.05</v>
      </c>
      <c r="H24" s="12">
        <f t="shared" si="1"/>
        <v>49.996297796610662</v>
      </c>
      <c r="I24" s="4">
        <v>3.3999999999999998E-3</v>
      </c>
      <c r="J24" s="3">
        <v>7.5376155663492197</v>
      </c>
      <c r="K24" s="3">
        <v>65.78</v>
      </c>
      <c r="L24" s="3">
        <v>2.52</v>
      </c>
      <c r="M24" s="3">
        <v>2.73</v>
      </c>
      <c r="N24" s="3">
        <v>18.16</v>
      </c>
      <c r="O24" s="3">
        <f t="shared" si="0"/>
        <v>89.19</v>
      </c>
      <c r="P24" s="3">
        <v>10.81</v>
      </c>
      <c r="Q24" s="3">
        <v>0</v>
      </c>
      <c r="R24" s="3"/>
      <c r="S24" s="3"/>
      <c r="T24" s="3"/>
      <c r="U24" s="3"/>
      <c r="V24" s="2">
        <f t="shared" si="2"/>
        <v>100</v>
      </c>
    </row>
    <row r="25" spans="1:22" x14ac:dyDescent="0.35">
      <c r="A25" s="1" t="s">
        <v>45</v>
      </c>
      <c r="B25" s="3">
        <v>1786.928671934</v>
      </c>
      <c r="C25" s="3">
        <v>10235.110109730289</v>
      </c>
      <c r="D25" s="3">
        <v>3863.6586949449093</v>
      </c>
      <c r="E25" s="3">
        <v>4009.9705441887227</v>
      </c>
      <c r="F25" s="3">
        <v>7.1003795574177397</v>
      </c>
      <c r="G25" s="12">
        <v>0.05</v>
      </c>
      <c r="H25" s="12">
        <f t="shared" si="1"/>
        <v>193.18293474724547</v>
      </c>
      <c r="I25" s="4">
        <v>5.3E-3</v>
      </c>
      <c r="J25" s="3">
        <v>7.0950795574177397</v>
      </c>
      <c r="K25" s="3">
        <v>6.61</v>
      </c>
      <c r="L25" s="3">
        <v>0</v>
      </c>
      <c r="M25" s="3">
        <v>10.979999999999999</v>
      </c>
      <c r="N25" s="3">
        <v>79.5</v>
      </c>
      <c r="O25" s="3">
        <f t="shared" si="0"/>
        <v>97.09</v>
      </c>
      <c r="P25" s="3">
        <v>2.91</v>
      </c>
      <c r="Q25" s="3">
        <v>0</v>
      </c>
      <c r="R25" s="3"/>
      <c r="S25" s="3"/>
      <c r="T25" s="3"/>
      <c r="U25" s="3"/>
      <c r="V25" s="2">
        <f t="shared" si="2"/>
        <v>100</v>
      </c>
    </row>
    <row r="26" spans="1:22" x14ac:dyDescent="0.35">
      <c r="A26" s="1" t="s">
        <v>46</v>
      </c>
      <c r="B26" s="3">
        <v>2510.4134100219999</v>
      </c>
      <c r="C26" s="3">
        <v>847.49477076436301</v>
      </c>
      <c r="D26" s="3">
        <v>731.70815307311432</v>
      </c>
      <c r="E26" s="3">
        <v>779.92869278931562</v>
      </c>
      <c r="F26" s="3">
        <v>7.4161726250050508</v>
      </c>
      <c r="G26" s="12">
        <v>0.05</v>
      </c>
      <c r="H26" s="12">
        <f t="shared" si="1"/>
        <v>36.585407653655714</v>
      </c>
      <c r="I26" s="4">
        <v>2.8E-3</v>
      </c>
      <c r="J26" s="3">
        <v>7.4133726250050511</v>
      </c>
      <c r="K26" s="3">
        <v>84.009999999999991</v>
      </c>
      <c r="L26" s="3">
        <v>0</v>
      </c>
      <c r="M26" s="3">
        <v>0.12</v>
      </c>
      <c r="N26" s="3">
        <v>15.870000000000001</v>
      </c>
      <c r="O26" s="3">
        <f t="shared" si="0"/>
        <v>100</v>
      </c>
      <c r="P26" s="3">
        <v>0</v>
      </c>
      <c r="Q26" s="3">
        <v>0</v>
      </c>
      <c r="R26" s="3"/>
      <c r="S26" s="3"/>
      <c r="T26" s="3"/>
      <c r="U26" s="3"/>
      <c r="V26" s="2">
        <f t="shared" si="2"/>
        <v>100</v>
      </c>
    </row>
    <row r="27" spans="1:22" x14ac:dyDescent="0.35">
      <c r="A27" s="1" t="s">
        <v>47</v>
      </c>
      <c r="B27" s="3">
        <v>4096.0760617730002</v>
      </c>
      <c r="C27" s="3">
        <v>208.51343076295012</v>
      </c>
      <c r="D27" s="3">
        <v>193.01467146821645</v>
      </c>
      <c r="E27" s="3">
        <v>207.31316183564573</v>
      </c>
      <c r="F27" s="3">
        <v>7.3695685781524896</v>
      </c>
      <c r="G27" s="12">
        <v>0.05</v>
      </c>
      <c r="H27" s="12">
        <f t="shared" si="1"/>
        <v>9.6507335734108235</v>
      </c>
      <c r="I27" s="4">
        <v>2.3999999999999998E-3</v>
      </c>
      <c r="J27" s="3">
        <v>7.3671685781524898</v>
      </c>
      <c r="K27" s="3">
        <v>0</v>
      </c>
      <c r="L27" s="3">
        <v>82.76</v>
      </c>
      <c r="M27" s="3">
        <v>3.35</v>
      </c>
      <c r="N27" s="3">
        <v>13.889999999999999</v>
      </c>
      <c r="O27" s="3">
        <f t="shared" si="0"/>
        <v>100</v>
      </c>
      <c r="P27" s="3">
        <v>0</v>
      </c>
      <c r="Q27" s="3">
        <v>0</v>
      </c>
      <c r="R27" s="3"/>
      <c r="S27" s="3"/>
      <c r="T27" s="3"/>
      <c r="U27" s="3"/>
      <c r="V27" s="2">
        <f t="shared" si="2"/>
        <v>100</v>
      </c>
    </row>
    <row r="28" spans="1:22" x14ac:dyDescent="0.35">
      <c r="A28" s="1" t="s">
        <v>48</v>
      </c>
      <c r="B28" s="3">
        <v>1685.959469657</v>
      </c>
      <c r="C28" s="3">
        <v>9761.433645317511</v>
      </c>
      <c r="D28" s="3">
        <v>3794.2156790772819</v>
      </c>
      <c r="E28" s="3">
        <v>3928.5801041016393</v>
      </c>
      <c r="F28" s="3">
        <v>7.1017374540595108</v>
      </c>
      <c r="G28" s="12">
        <v>0.05</v>
      </c>
      <c r="H28" s="12">
        <f t="shared" si="1"/>
        <v>189.71078395386411</v>
      </c>
      <c r="I28" s="4">
        <v>5.7000000000000002E-3</v>
      </c>
      <c r="J28" s="3">
        <v>7.0960374540595108</v>
      </c>
      <c r="K28" s="3">
        <v>0</v>
      </c>
      <c r="L28" s="3">
        <v>0</v>
      </c>
      <c r="M28" s="3">
        <v>13.18</v>
      </c>
      <c r="N28" s="3">
        <v>86.82</v>
      </c>
      <c r="O28" s="3">
        <f t="shared" si="0"/>
        <v>100</v>
      </c>
      <c r="P28" s="3">
        <v>0</v>
      </c>
      <c r="Q28" s="3">
        <v>0</v>
      </c>
      <c r="R28" s="3"/>
      <c r="S28" s="3"/>
      <c r="T28" s="3"/>
      <c r="U28" s="3"/>
      <c r="V28" s="2">
        <f t="shared" si="2"/>
        <v>100</v>
      </c>
    </row>
    <row r="29" spans="1:22" x14ac:dyDescent="0.35">
      <c r="A29" s="1" t="s">
        <v>49</v>
      </c>
      <c r="B29" s="3">
        <v>55.953306112</v>
      </c>
      <c r="C29" s="3">
        <v>3535.5150493825745</v>
      </c>
      <c r="D29" s="3">
        <v>2523.7760343757409</v>
      </c>
      <c r="E29" s="3">
        <v>2609.9251293091543</v>
      </c>
      <c r="F29" s="3">
        <v>6.9316217092752899</v>
      </c>
      <c r="G29" s="12">
        <v>0.05</v>
      </c>
      <c r="H29" s="12">
        <f t="shared" si="1"/>
        <v>126.18880171878705</v>
      </c>
      <c r="I29" s="4">
        <v>3.0999999999999999E-3</v>
      </c>
      <c r="J29" s="3">
        <v>6.92852170927529</v>
      </c>
      <c r="K29" s="3">
        <v>0</v>
      </c>
      <c r="L29" s="3">
        <v>0</v>
      </c>
      <c r="M29" s="3">
        <v>2.15</v>
      </c>
      <c r="N29" s="3">
        <v>97.850000000000009</v>
      </c>
      <c r="O29" s="3">
        <f t="shared" si="0"/>
        <v>100.00000000000001</v>
      </c>
      <c r="P29" s="3">
        <v>0</v>
      </c>
      <c r="Q29" s="3">
        <v>0</v>
      </c>
      <c r="R29" s="3"/>
      <c r="S29" s="3"/>
      <c r="T29" s="3"/>
      <c r="U29" s="3"/>
      <c r="V29" s="2">
        <f t="shared" si="2"/>
        <v>100.00000000000001</v>
      </c>
    </row>
    <row r="30" spans="1:22" x14ac:dyDescent="0.35">
      <c r="A30" s="1" t="s">
        <v>50</v>
      </c>
      <c r="B30" s="3">
        <v>729.11266688299997</v>
      </c>
      <c r="C30" s="3">
        <v>2670.1066019755458</v>
      </c>
      <c r="D30" s="3">
        <v>1337.0179649593504</v>
      </c>
      <c r="E30" s="3">
        <v>1398.0291836463136</v>
      </c>
      <c r="F30" s="3">
        <v>7.1861867762767897</v>
      </c>
      <c r="G30" s="12">
        <v>0.05</v>
      </c>
      <c r="H30" s="12">
        <f t="shared" si="1"/>
        <v>66.850898247967521</v>
      </c>
      <c r="I30" s="4">
        <v>2.5000000000000001E-3</v>
      </c>
      <c r="J30" s="3">
        <v>7.1836867762767893</v>
      </c>
      <c r="K30" s="3">
        <v>14.099999999999998</v>
      </c>
      <c r="L30" s="3">
        <v>17.02</v>
      </c>
      <c r="M30" s="3">
        <v>0.53</v>
      </c>
      <c r="N30" s="3">
        <v>56.04</v>
      </c>
      <c r="O30" s="3">
        <f t="shared" si="0"/>
        <v>87.69</v>
      </c>
      <c r="P30" s="3">
        <v>12.31</v>
      </c>
      <c r="Q30" s="3">
        <v>0</v>
      </c>
      <c r="R30" s="3"/>
      <c r="S30" s="3"/>
      <c r="T30" s="3"/>
      <c r="U30" s="3"/>
      <c r="V30" s="2">
        <f t="shared" si="2"/>
        <v>100</v>
      </c>
    </row>
    <row r="31" spans="1:22" x14ac:dyDescent="0.35">
      <c r="A31" s="1" t="s">
        <v>51</v>
      </c>
      <c r="B31" s="3">
        <v>2215.2849229160001</v>
      </c>
      <c r="C31" s="3">
        <v>1134.9893124238636</v>
      </c>
      <c r="D31" s="3">
        <v>974.36531704706226</v>
      </c>
      <c r="E31" s="3">
        <v>1007.6677094564441</v>
      </c>
      <c r="F31" s="3">
        <v>6.9379561922865598</v>
      </c>
      <c r="G31" s="12">
        <v>0.05</v>
      </c>
      <c r="H31" s="12">
        <f t="shared" si="1"/>
        <v>48.718265852353113</v>
      </c>
      <c r="I31" s="4">
        <v>1.6000000000000001E-3</v>
      </c>
      <c r="J31" s="3">
        <v>6.93635619228656</v>
      </c>
      <c r="K31" s="3">
        <v>0</v>
      </c>
      <c r="L31" s="3">
        <v>0</v>
      </c>
      <c r="M31" s="3">
        <v>1.78</v>
      </c>
      <c r="N31" s="3">
        <v>98.22</v>
      </c>
      <c r="O31" s="3">
        <f t="shared" si="0"/>
        <v>100</v>
      </c>
      <c r="P31" s="3">
        <v>0</v>
      </c>
      <c r="Q31" s="3">
        <v>0</v>
      </c>
      <c r="R31" s="3"/>
      <c r="S31" s="3"/>
      <c r="T31" s="3"/>
      <c r="U31" s="3"/>
      <c r="V31" s="2">
        <f t="shared" si="2"/>
        <v>100</v>
      </c>
    </row>
    <row r="32" spans="1:22" x14ac:dyDescent="0.35">
      <c r="A32" s="1" t="s">
        <v>52</v>
      </c>
      <c r="B32" s="3">
        <v>374.63744378899997</v>
      </c>
      <c r="C32" s="3">
        <v>2883.5985484379021</v>
      </c>
      <c r="D32" s="3">
        <v>2118.0949460171096</v>
      </c>
      <c r="E32" s="3">
        <v>2192.2943062093332</v>
      </c>
      <c r="F32" s="3">
        <v>7.1179809645325802</v>
      </c>
      <c r="G32" s="12">
        <v>0.05</v>
      </c>
      <c r="H32" s="12">
        <f t="shared" si="1"/>
        <v>105.90474730085549</v>
      </c>
      <c r="I32" s="4">
        <v>1.6000000000000001E-3</v>
      </c>
      <c r="J32" s="3">
        <v>7.1163809645325804</v>
      </c>
      <c r="K32" s="3">
        <v>0</v>
      </c>
      <c r="L32" s="3">
        <v>0</v>
      </c>
      <c r="M32" s="3">
        <v>1.32</v>
      </c>
      <c r="N32" s="3">
        <v>98.68</v>
      </c>
      <c r="O32" s="3">
        <f t="shared" si="0"/>
        <v>100</v>
      </c>
      <c r="P32" s="3">
        <v>0</v>
      </c>
      <c r="Q32" s="3">
        <v>0</v>
      </c>
      <c r="R32" s="3"/>
      <c r="S32" s="3"/>
      <c r="T32" s="3"/>
      <c r="U32" s="3"/>
      <c r="V32" s="2">
        <f t="shared" si="2"/>
        <v>100</v>
      </c>
    </row>
    <row r="33" spans="1:22" x14ac:dyDescent="0.35">
      <c r="A33" s="1" t="s">
        <v>53</v>
      </c>
      <c r="B33" s="3">
        <v>92.090770058999993</v>
      </c>
      <c r="C33" s="3">
        <v>961.61537309870528</v>
      </c>
      <c r="D33" s="3">
        <v>841.14801479187656</v>
      </c>
      <c r="E33" s="3">
        <v>869.93979666176938</v>
      </c>
      <c r="F33" s="3">
        <v>6.9466218326116893</v>
      </c>
      <c r="G33" s="12">
        <v>0.05</v>
      </c>
      <c r="H33" s="12">
        <f t="shared" si="1"/>
        <v>42.057400739593831</v>
      </c>
      <c r="I33" s="4">
        <v>1.6000000000000001E-3</v>
      </c>
      <c r="J33" s="3">
        <v>6.9450218326116895</v>
      </c>
      <c r="K33" s="3">
        <v>0</v>
      </c>
      <c r="L33" s="3">
        <v>0</v>
      </c>
      <c r="M33" s="3">
        <v>2.85</v>
      </c>
      <c r="N33" s="3">
        <v>97.15</v>
      </c>
      <c r="O33" s="3">
        <f t="shared" si="0"/>
        <v>100</v>
      </c>
      <c r="P33" s="3">
        <v>0</v>
      </c>
      <c r="Q33" s="3">
        <v>0</v>
      </c>
      <c r="R33" s="3"/>
      <c r="S33" s="3"/>
      <c r="T33" s="3"/>
      <c r="U33" s="3"/>
      <c r="V33" s="2">
        <f t="shared" si="2"/>
        <v>100</v>
      </c>
    </row>
    <row r="34" spans="1:22" x14ac:dyDescent="0.35">
      <c r="A34" s="1" t="s">
        <v>54</v>
      </c>
      <c r="B34" s="3">
        <v>5887.67</v>
      </c>
      <c r="C34" s="3">
        <v>1914.4903537250991</v>
      </c>
      <c r="D34" s="3">
        <v>1338.5655040209454</v>
      </c>
      <c r="E34" s="3">
        <v>1418.0033916525315</v>
      </c>
      <c r="F34" s="3">
        <v>7.3797663989029356</v>
      </c>
      <c r="G34" s="12">
        <v>0.05</v>
      </c>
      <c r="H34" s="12">
        <f t="shared" si="1"/>
        <v>66.928275201047271</v>
      </c>
      <c r="I34" s="4">
        <v>3.9000000000000003E-3</v>
      </c>
      <c r="J34" s="3">
        <f>F34-I34</f>
        <v>7.3758663989029358</v>
      </c>
      <c r="K34" s="3">
        <v>78.303910578305249</v>
      </c>
      <c r="L34" s="3">
        <v>0</v>
      </c>
      <c r="M34" s="3">
        <v>3.1625509578233202</v>
      </c>
      <c r="N34" s="3">
        <v>16.61147412382207</v>
      </c>
      <c r="O34" s="3">
        <f t="shared" si="0"/>
        <v>98.07793565995064</v>
      </c>
      <c r="P34" s="3">
        <v>1.9220643400493711</v>
      </c>
      <c r="Q34" s="3">
        <v>0</v>
      </c>
      <c r="R34" s="3">
        <v>0</v>
      </c>
      <c r="S34" s="3"/>
      <c r="T34" s="3"/>
      <c r="U34" s="3"/>
      <c r="V34" s="2">
        <f t="shared" si="2"/>
        <v>100.00000000000001</v>
      </c>
    </row>
    <row r="35" spans="1:22" x14ac:dyDescent="0.35">
      <c r="A35" s="1" t="s">
        <v>55</v>
      </c>
      <c r="B35" s="3">
        <v>7428.86</v>
      </c>
      <c r="C35" s="3">
        <v>1158.2364841254041</v>
      </c>
      <c r="D35" s="3">
        <v>807.35573025186318</v>
      </c>
      <c r="E35" s="3">
        <v>854.5565669177347</v>
      </c>
      <c r="F35" s="3">
        <v>8.4421179389471241</v>
      </c>
      <c r="G35" s="12">
        <v>0.05</v>
      </c>
      <c r="H35" s="12">
        <f t="shared" si="1"/>
        <v>40.367786512593163</v>
      </c>
      <c r="I35" s="4">
        <v>9.7000000000000003E-3</v>
      </c>
      <c r="J35" s="3">
        <f t="shared" ref="J35:J78" si="3">F35-I35</f>
        <v>8.4324179389471237</v>
      </c>
      <c r="K35" s="3">
        <v>17.58828517615439</v>
      </c>
      <c r="L35" s="3">
        <v>0.66252043534368366</v>
      </c>
      <c r="M35" s="3">
        <v>6.8139513688727433</v>
      </c>
      <c r="N35" s="3">
        <v>11.097326594323304</v>
      </c>
      <c r="O35" s="3">
        <f t="shared" si="0"/>
        <v>36.162083574694122</v>
      </c>
      <c r="P35" s="3">
        <v>16.422342732136119</v>
      </c>
      <c r="Q35" s="3">
        <v>27.812103158773599</v>
      </c>
      <c r="R35" s="3">
        <v>13.924515344583099</v>
      </c>
      <c r="S35" s="3"/>
      <c r="T35" s="3"/>
      <c r="U35" s="3"/>
      <c r="V35" s="2">
        <f t="shared" si="2"/>
        <v>94.321044810186933</v>
      </c>
    </row>
    <row r="36" spans="1:22" x14ac:dyDescent="0.35">
      <c r="A36" s="1" t="s">
        <v>56</v>
      </c>
      <c r="B36" s="3">
        <v>786.36</v>
      </c>
      <c r="C36" s="3">
        <v>5803.4159492359968</v>
      </c>
      <c r="D36" s="3">
        <v>2783.2977926527947</v>
      </c>
      <c r="E36" s="3">
        <v>2886.5943991065756</v>
      </c>
      <c r="F36" s="3">
        <v>7.127572370204323</v>
      </c>
      <c r="G36" s="12">
        <v>0.05</v>
      </c>
      <c r="H36" s="12">
        <f t="shared" si="1"/>
        <v>139.16488963263973</v>
      </c>
      <c r="I36" s="4">
        <v>7.4000000000000003E-3</v>
      </c>
      <c r="J36" s="3">
        <f t="shared" si="3"/>
        <v>7.1201723702043234</v>
      </c>
      <c r="K36" s="3">
        <v>12.549466951925126</v>
      </c>
      <c r="L36" s="3">
        <v>0</v>
      </c>
      <c r="M36" s="3">
        <v>3.8717279340004476</v>
      </c>
      <c r="N36" s="3">
        <v>83.578805114074441</v>
      </c>
      <c r="O36" s="3">
        <f t="shared" si="0"/>
        <v>100.00000000000001</v>
      </c>
      <c r="P36" s="3">
        <v>0</v>
      </c>
      <c r="Q36" s="3">
        <v>0</v>
      </c>
      <c r="R36" s="3">
        <v>0</v>
      </c>
      <c r="S36" s="3"/>
      <c r="T36" s="3"/>
      <c r="U36" s="3"/>
      <c r="V36" s="2">
        <f t="shared" si="2"/>
        <v>100.00000000000001</v>
      </c>
    </row>
    <row r="37" spans="1:22" x14ac:dyDescent="0.35">
      <c r="A37" s="1" t="s">
        <v>57</v>
      </c>
      <c r="B37" s="3">
        <v>17615.11</v>
      </c>
      <c r="C37" s="3">
        <v>736.78953392890162</v>
      </c>
      <c r="D37" s="3">
        <v>333.12248276542203</v>
      </c>
      <c r="E37" s="3">
        <v>356.56833889962604</v>
      </c>
      <c r="F37" s="3">
        <v>7.7498265235670969</v>
      </c>
      <c r="G37" s="12">
        <v>0.05</v>
      </c>
      <c r="H37" s="12">
        <f t="shared" si="1"/>
        <v>16.656124138271103</v>
      </c>
      <c r="I37" s="4">
        <v>4.5000000000000005E-3</v>
      </c>
      <c r="J37" s="3">
        <f t="shared" si="3"/>
        <v>7.7453265235670967</v>
      </c>
      <c r="K37" s="3">
        <v>64.773045448972695</v>
      </c>
      <c r="L37" s="3">
        <v>6.2450214124127239</v>
      </c>
      <c r="M37" s="3">
        <v>2.8032255236473702</v>
      </c>
      <c r="N37" s="3">
        <v>13.903397674994302</v>
      </c>
      <c r="O37" s="3">
        <f t="shared" si="0"/>
        <v>87.724690060027086</v>
      </c>
      <c r="P37" s="3">
        <v>4.99499097304827</v>
      </c>
      <c r="Q37" s="3">
        <v>7.0244256938750311</v>
      </c>
      <c r="R37" s="3">
        <v>0.25589327304961035</v>
      </c>
      <c r="S37" s="3"/>
      <c r="T37" s="3"/>
      <c r="U37" s="3"/>
      <c r="V37" s="2">
        <f t="shared" si="2"/>
        <v>100</v>
      </c>
    </row>
    <row r="38" spans="1:22" x14ac:dyDescent="0.35">
      <c r="A38" s="1" t="s">
        <v>58</v>
      </c>
      <c r="B38" s="3">
        <v>859.42</v>
      </c>
      <c r="C38" s="3">
        <v>4163.3250903446306</v>
      </c>
      <c r="D38" s="3">
        <v>2448.3627031535739</v>
      </c>
      <c r="E38" s="3">
        <v>2540.9374769822875</v>
      </c>
      <c r="F38" s="3">
        <v>7.1239431334223804</v>
      </c>
      <c r="G38" s="12">
        <v>0.05</v>
      </c>
      <c r="H38" s="12">
        <f t="shared" si="1"/>
        <v>122.41813515767871</v>
      </c>
      <c r="I38" s="4">
        <v>8.0000000000000002E-3</v>
      </c>
      <c r="J38" s="3">
        <f t="shared" si="3"/>
        <v>7.1159431334223804</v>
      </c>
      <c r="K38" s="3">
        <v>15.897746808128151</v>
      </c>
      <c r="L38" s="3">
        <v>0</v>
      </c>
      <c r="M38" s="3">
        <v>3.062133858007908</v>
      </c>
      <c r="N38" s="3">
        <v>81.040119333863942</v>
      </c>
      <c r="O38" s="3">
        <f t="shared" si="0"/>
        <v>100</v>
      </c>
      <c r="P38" s="3">
        <v>0</v>
      </c>
      <c r="Q38" s="3">
        <v>0</v>
      </c>
      <c r="R38" s="3">
        <v>0</v>
      </c>
      <c r="S38" s="3"/>
      <c r="T38" s="3"/>
      <c r="U38" s="3"/>
      <c r="V38" s="2">
        <f t="shared" si="2"/>
        <v>100</v>
      </c>
    </row>
    <row r="39" spans="1:22" x14ac:dyDescent="0.35">
      <c r="A39" s="1" t="s">
        <v>59</v>
      </c>
      <c r="B39" s="3">
        <v>72205.31</v>
      </c>
      <c r="C39" s="3">
        <v>39.813521165131732</v>
      </c>
      <c r="D39" s="3">
        <v>36.324930371248392</v>
      </c>
      <c r="E39" s="3">
        <v>38.740261653060308</v>
      </c>
      <c r="F39" s="3">
        <v>6.9456822839234915</v>
      </c>
      <c r="G39" s="12">
        <v>0.05</v>
      </c>
      <c r="H39" s="12">
        <f t="shared" si="1"/>
        <v>1.8162465185624197</v>
      </c>
      <c r="I39" s="4">
        <v>2E-3</v>
      </c>
      <c r="J39" s="3">
        <f t="shared" si="3"/>
        <v>6.9436822839234917</v>
      </c>
      <c r="K39" s="3">
        <v>5.0888136864350519</v>
      </c>
      <c r="L39" s="3">
        <v>73.353589211137006</v>
      </c>
      <c r="M39" s="3">
        <v>4.6225834692065835</v>
      </c>
      <c r="N39" s="3">
        <v>15.086443015787912</v>
      </c>
      <c r="O39" s="3">
        <f t="shared" si="0"/>
        <v>98.151429382566548</v>
      </c>
      <c r="P39" s="3">
        <v>1.7516396840188329</v>
      </c>
      <c r="Q39" s="3">
        <v>9.6930933414597714E-2</v>
      </c>
      <c r="R39" s="3">
        <v>0</v>
      </c>
      <c r="S39" s="3"/>
      <c r="T39" s="3"/>
      <c r="U39" s="3"/>
      <c r="V39" s="2">
        <f t="shared" si="2"/>
        <v>99.999999999999972</v>
      </c>
    </row>
    <row r="40" spans="1:22" x14ac:dyDescent="0.35">
      <c r="A40" s="1" t="s">
        <v>60</v>
      </c>
      <c r="B40" s="3">
        <v>2815.76</v>
      </c>
      <c r="C40" s="3">
        <v>5421.7001405635201</v>
      </c>
      <c r="D40" s="3">
        <v>2825.2141319385214</v>
      </c>
      <c r="E40" s="3">
        <v>2923.498043564965</v>
      </c>
      <c r="F40" s="3">
        <v>7.0440342053935083</v>
      </c>
      <c r="G40" s="12">
        <v>0.05</v>
      </c>
      <c r="H40" s="12">
        <f t="shared" si="1"/>
        <v>141.26070659692607</v>
      </c>
      <c r="I40" s="4">
        <v>4.5999999999999999E-3</v>
      </c>
      <c r="J40" s="3">
        <f t="shared" si="3"/>
        <v>7.0394342053935084</v>
      </c>
      <c r="K40" s="3">
        <v>3.2709647312515293</v>
      </c>
      <c r="L40" s="3">
        <v>0</v>
      </c>
      <c r="M40" s="3">
        <v>0.96075033613394978</v>
      </c>
      <c r="N40" s="3">
        <v>95.768284932614492</v>
      </c>
      <c r="O40" s="3">
        <f t="shared" si="0"/>
        <v>99.999999999999972</v>
      </c>
      <c r="P40" s="3">
        <v>0</v>
      </c>
      <c r="Q40" s="3">
        <v>0</v>
      </c>
      <c r="R40" s="3">
        <v>0</v>
      </c>
      <c r="S40" s="3"/>
      <c r="T40" s="3"/>
      <c r="U40" s="3"/>
      <c r="V40" s="2">
        <f t="shared" si="2"/>
        <v>99.999999999999972</v>
      </c>
    </row>
    <row r="41" spans="1:22" x14ac:dyDescent="0.35">
      <c r="A41" s="1" t="s">
        <v>61</v>
      </c>
      <c r="B41" s="3">
        <v>11401.8</v>
      </c>
      <c r="C41" s="3">
        <v>3.5656350407983393</v>
      </c>
      <c r="D41" s="3">
        <v>3.4813111737758393</v>
      </c>
      <c r="E41" s="3">
        <v>3.5201186948817447</v>
      </c>
      <c r="F41" s="3">
        <v>6.3125519146770728</v>
      </c>
      <c r="G41" s="12">
        <v>0.05</v>
      </c>
      <c r="H41" s="12">
        <f t="shared" si="1"/>
        <v>0.17406555868879198</v>
      </c>
      <c r="I41" s="4">
        <v>1E-3</v>
      </c>
      <c r="J41" s="3">
        <f t="shared" si="3"/>
        <v>6.3115519146770724</v>
      </c>
      <c r="K41" s="3">
        <v>13.878649885562078</v>
      </c>
      <c r="L41" s="3">
        <v>0</v>
      </c>
      <c r="M41" s="3">
        <v>81.748157841430242</v>
      </c>
      <c r="N41" s="3">
        <v>4.3731922730076729</v>
      </c>
      <c r="O41" s="3">
        <f t="shared" si="0"/>
        <v>100</v>
      </c>
      <c r="P41" s="3">
        <v>0</v>
      </c>
      <c r="Q41" s="3">
        <v>0</v>
      </c>
      <c r="R41" s="3">
        <v>0</v>
      </c>
      <c r="S41" s="3"/>
      <c r="T41" s="3"/>
      <c r="U41" s="3"/>
      <c r="V41" s="2">
        <f t="shared" si="2"/>
        <v>100</v>
      </c>
    </row>
    <row r="42" spans="1:22" x14ac:dyDescent="0.35">
      <c r="A42" s="1" t="s">
        <v>62</v>
      </c>
      <c r="B42" s="3">
        <v>32465.01</v>
      </c>
      <c r="C42" s="3">
        <v>2207.4702713992519</v>
      </c>
      <c r="D42" s="3">
        <v>1420.5227489804238</v>
      </c>
      <c r="E42" s="3">
        <v>1498.938416421021</v>
      </c>
      <c r="F42" s="3">
        <v>7.3885088539084069</v>
      </c>
      <c r="G42" s="12">
        <v>0.05</v>
      </c>
      <c r="H42" s="12">
        <f t="shared" si="1"/>
        <v>71.026137449021192</v>
      </c>
      <c r="I42" s="4">
        <v>3.5999999999999999E-3</v>
      </c>
      <c r="J42" s="3">
        <f t="shared" si="3"/>
        <v>7.3849088539084073</v>
      </c>
      <c r="K42" s="3">
        <v>70.069331231888341</v>
      </c>
      <c r="L42" s="3">
        <v>0</v>
      </c>
      <c r="M42" s="3">
        <v>4.049373677398834</v>
      </c>
      <c r="N42" s="3">
        <v>25.881295090712811</v>
      </c>
      <c r="O42" s="3">
        <f t="shared" si="0"/>
        <v>99.999999999999986</v>
      </c>
      <c r="P42" s="3">
        <v>0</v>
      </c>
      <c r="Q42" s="3">
        <v>0</v>
      </c>
      <c r="R42" s="3">
        <v>0</v>
      </c>
      <c r="S42" s="3"/>
      <c r="T42" s="3"/>
      <c r="U42" s="3"/>
      <c r="V42" s="2">
        <f t="shared" si="2"/>
        <v>99.999999999999986</v>
      </c>
    </row>
    <row r="43" spans="1:22" x14ac:dyDescent="0.35">
      <c r="A43" s="1" t="s">
        <v>63</v>
      </c>
      <c r="B43" s="3">
        <v>27583.040000000001</v>
      </c>
      <c r="C43" s="3">
        <v>122.15475002352906</v>
      </c>
      <c r="D43" s="3">
        <v>112.83990997438774</v>
      </c>
      <c r="E43" s="3">
        <v>121.05062515068632</v>
      </c>
      <c r="F43" s="3">
        <v>7.2977938443840413</v>
      </c>
      <c r="G43" s="12">
        <v>0.05</v>
      </c>
      <c r="H43" s="12">
        <f t="shared" si="1"/>
        <v>5.6419954987193872</v>
      </c>
      <c r="I43" s="4">
        <v>2.3E-3</v>
      </c>
      <c r="J43" s="3">
        <f t="shared" si="3"/>
        <v>7.2954938443840414</v>
      </c>
      <c r="K43" s="3">
        <v>0.28751286725518549</v>
      </c>
      <c r="L43" s="3">
        <v>85.028632937850432</v>
      </c>
      <c r="M43" s="3">
        <v>1.8305929284561842</v>
      </c>
      <c r="N43" s="3">
        <v>12.853261266438192</v>
      </c>
      <c r="O43" s="3">
        <f t="shared" si="0"/>
        <v>100</v>
      </c>
      <c r="P43" s="3">
        <v>0</v>
      </c>
      <c r="Q43" s="3">
        <v>0</v>
      </c>
      <c r="R43" s="3">
        <v>0</v>
      </c>
      <c r="S43" s="3"/>
      <c r="T43" s="3"/>
      <c r="U43" s="3"/>
      <c r="V43" s="2">
        <f t="shared" si="2"/>
        <v>100</v>
      </c>
    </row>
    <row r="44" spans="1:22" x14ac:dyDescent="0.35">
      <c r="A44" s="1" t="s">
        <v>64</v>
      </c>
      <c r="B44" s="3">
        <v>5491.74</v>
      </c>
      <c r="C44" s="3">
        <v>10768.755221403384</v>
      </c>
      <c r="D44" s="3">
        <v>4314.5227488987466</v>
      </c>
      <c r="E44" s="3">
        <v>4466.147218838827</v>
      </c>
      <c r="F44" s="3">
        <v>7.1394054616849321</v>
      </c>
      <c r="G44" s="12">
        <v>0.05</v>
      </c>
      <c r="H44" s="12">
        <f t="shared" si="1"/>
        <v>215.72613744493734</v>
      </c>
      <c r="I44" s="4">
        <v>3.0000000000000001E-3</v>
      </c>
      <c r="J44" s="3">
        <f t="shared" si="3"/>
        <v>7.136405461684932</v>
      </c>
      <c r="K44" s="3">
        <v>1.3947117370966444</v>
      </c>
      <c r="L44" s="3">
        <v>0</v>
      </c>
      <c r="M44" s="3">
        <v>2.2800382344416921</v>
      </c>
      <c r="N44" s="3">
        <v>96.325250028461667</v>
      </c>
      <c r="O44" s="3">
        <f t="shared" si="0"/>
        <v>100</v>
      </c>
      <c r="P44" s="3">
        <v>0</v>
      </c>
      <c r="Q44" s="3">
        <v>0</v>
      </c>
      <c r="R44" s="3">
        <v>0</v>
      </c>
      <c r="S44" s="3"/>
      <c r="T44" s="3"/>
      <c r="U44" s="3"/>
      <c r="V44" s="2">
        <f t="shared" si="2"/>
        <v>100</v>
      </c>
    </row>
    <row r="45" spans="1:22" x14ac:dyDescent="0.35">
      <c r="A45" s="1" t="s">
        <v>65</v>
      </c>
      <c r="B45" s="3">
        <v>14986.34</v>
      </c>
      <c r="C45" s="3">
        <v>1486.5978827445444</v>
      </c>
      <c r="D45" s="3">
        <v>1026.462028477443</v>
      </c>
      <c r="E45" s="3">
        <v>1083.7788315599853</v>
      </c>
      <c r="F45" s="3">
        <v>7.5424647203886863</v>
      </c>
      <c r="G45" s="12">
        <v>0.05</v>
      </c>
      <c r="H45" s="12">
        <f t="shared" si="1"/>
        <v>51.323101423872153</v>
      </c>
      <c r="I45" s="4">
        <v>4.0000000000000001E-3</v>
      </c>
      <c r="J45" s="3">
        <f t="shared" si="3"/>
        <v>7.5384647203886868</v>
      </c>
      <c r="K45" s="3">
        <v>53.80273429458898</v>
      </c>
      <c r="L45" s="3">
        <v>2.6223561714282142</v>
      </c>
      <c r="M45" s="3">
        <v>3.0399733203940293</v>
      </c>
      <c r="N45" s="3">
        <v>25.369141950730295</v>
      </c>
      <c r="O45" s="3">
        <f t="shared" si="0"/>
        <v>84.834205737141517</v>
      </c>
      <c r="P45" s="3">
        <v>9.9051851778735944</v>
      </c>
      <c r="Q45" s="3">
        <v>4.7585206851734236</v>
      </c>
      <c r="R45" s="3">
        <v>0.50208839981143338</v>
      </c>
      <c r="S45" s="3"/>
      <c r="T45" s="3"/>
      <c r="U45" s="3"/>
      <c r="V45" s="2">
        <f t="shared" si="2"/>
        <v>99.999999999999957</v>
      </c>
    </row>
    <row r="46" spans="1:22" x14ac:dyDescent="0.35">
      <c r="A46" s="1" t="s">
        <v>66</v>
      </c>
      <c r="B46" s="3">
        <v>14795.94</v>
      </c>
      <c r="C46" s="3">
        <v>180.12064594151764</v>
      </c>
      <c r="D46" s="3">
        <v>158.32899917347714</v>
      </c>
      <c r="E46" s="3">
        <v>169.93948494918652</v>
      </c>
      <c r="F46" s="3">
        <v>7.4492755546488763</v>
      </c>
      <c r="G46" s="12">
        <v>0.05</v>
      </c>
      <c r="H46" s="12">
        <f t="shared" si="1"/>
        <v>7.9164499586738577</v>
      </c>
      <c r="I46" s="4">
        <v>3.7000000000000002E-3</v>
      </c>
      <c r="J46" s="3">
        <f t="shared" si="3"/>
        <v>7.445575554648876</v>
      </c>
      <c r="K46" s="3">
        <v>34.819841732195457</v>
      </c>
      <c r="L46" s="3">
        <v>44.481307939438011</v>
      </c>
      <c r="M46" s="3">
        <v>3.8367549920607744</v>
      </c>
      <c r="N46" s="3">
        <v>10.918319331340964</v>
      </c>
      <c r="O46" s="3">
        <f t="shared" si="0"/>
        <v>94.056223995035211</v>
      </c>
      <c r="P46" s="3">
        <v>5.4361175272358828</v>
      </c>
      <c r="Q46" s="3">
        <v>0.50765847772892347</v>
      </c>
      <c r="R46" s="3">
        <v>0</v>
      </c>
      <c r="S46" s="3"/>
      <c r="T46" s="3"/>
      <c r="U46" s="3"/>
      <c r="V46" s="2">
        <f t="shared" si="2"/>
        <v>100.00000000000001</v>
      </c>
    </row>
    <row r="47" spans="1:22" x14ac:dyDescent="0.35">
      <c r="A47" s="1" t="s">
        <v>67</v>
      </c>
      <c r="B47" s="3">
        <v>14943.13</v>
      </c>
      <c r="C47" s="3">
        <v>1572.6699962710034</v>
      </c>
      <c r="D47" s="3">
        <v>498.6374404007085</v>
      </c>
      <c r="E47" s="3">
        <v>527.6122146484463</v>
      </c>
      <c r="F47" s="3">
        <v>7.6319205834958481</v>
      </c>
      <c r="G47" s="12">
        <v>0.05</v>
      </c>
      <c r="H47" s="12">
        <f t="shared" si="1"/>
        <v>24.931872020035428</v>
      </c>
      <c r="I47" s="4">
        <v>2.5999999999999999E-3</v>
      </c>
      <c r="J47" s="3">
        <f t="shared" si="3"/>
        <v>7.629320583495848</v>
      </c>
      <c r="K47" s="3">
        <v>43.784449588259726</v>
      </c>
      <c r="L47" s="3">
        <v>2.7465603821374054</v>
      </c>
      <c r="M47" s="3">
        <v>2.858263591777471</v>
      </c>
      <c r="N47" s="3">
        <v>36.093809104075582</v>
      </c>
      <c r="O47" s="3">
        <f t="shared" si="0"/>
        <v>85.483082666250183</v>
      </c>
      <c r="P47" s="3">
        <v>8.7669102748458965</v>
      </c>
      <c r="Q47" s="3">
        <v>4.7828327874242635</v>
      </c>
      <c r="R47" s="3">
        <v>0.96717427147965251</v>
      </c>
      <c r="S47" s="3"/>
      <c r="T47" s="3"/>
      <c r="U47" s="3"/>
      <c r="V47" s="2">
        <f t="shared" si="2"/>
        <v>100</v>
      </c>
    </row>
    <row r="48" spans="1:22" x14ac:dyDescent="0.35">
      <c r="A48" s="1" t="s">
        <v>68</v>
      </c>
      <c r="B48" s="3">
        <v>3989.67</v>
      </c>
      <c r="C48" s="3">
        <v>2120.942924898186</v>
      </c>
      <c r="D48" s="3">
        <v>1395.846246005493</v>
      </c>
      <c r="E48" s="3">
        <v>1461.9335655128527</v>
      </c>
      <c r="F48" s="3">
        <v>7.7352574058716232</v>
      </c>
      <c r="G48" s="12">
        <v>0.05</v>
      </c>
      <c r="H48" s="12">
        <f t="shared" si="1"/>
        <v>69.792312300274645</v>
      </c>
      <c r="I48" s="4">
        <v>6.5000000000000006E-3</v>
      </c>
      <c r="J48" s="3">
        <f t="shared" si="3"/>
        <v>7.7287574058716233</v>
      </c>
      <c r="K48" s="3">
        <v>25.356148550320736</v>
      </c>
      <c r="L48" s="3">
        <v>0</v>
      </c>
      <c r="M48" s="3">
        <v>4.9992189456664811</v>
      </c>
      <c r="N48" s="3">
        <v>34.96149872332014</v>
      </c>
      <c r="O48" s="3">
        <f t="shared" si="0"/>
        <v>65.316866219307357</v>
      </c>
      <c r="P48" s="3">
        <v>14.310163925116894</v>
      </c>
      <c r="Q48" s="3">
        <v>14.105311464206652</v>
      </c>
      <c r="R48" s="3">
        <v>6.2676583913690891</v>
      </c>
      <c r="S48" s="3"/>
      <c r="T48" s="3"/>
      <c r="U48" s="3"/>
      <c r="V48" s="2">
        <f t="shared" si="2"/>
        <v>100</v>
      </c>
    </row>
    <row r="49" spans="1:22" x14ac:dyDescent="0.35">
      <c r="A49" s="1" t="s">
        <v>69</v>
      </c>
      <c r="B49" s="3">
        <v>3299.37</v>
      </c>
      <c r="C49" s="3">
        <v>3158.901853389732</v>
      </c>
      <c r="D49" s="3">
        <v>1811.6379387351622</v>
      </c>
      <c r="E49" s="3">
        <v>1904.2681075354849</v>
      </c>
      <c r="F49" s="3">
        <v>7.3891648950806506</v>
      </c>
      <c r="G49" s="12">
        <v>0.05</v>
      </c>
      <c r="H49" s="12">
        <f t="shared" si="1"/>
        <v>90.581896936758113</v>
      </c>
      <c r="I49" s="4">
        <v>1.2E-2</v>
      </c>
      <c r="J49" s="3">
        <f t="shared" si="3"/>
        <v>7.377164895080651</v>
      </c>
      <c r="K49" s="3">
        <v>38.556166976568946</v>
      </c>
      <c r="L49" s="3">
        <v>2.3840972700725436</v>
      </c>
      <c r="M49" s="3">
        <v>21.791500996929773</v>
      </c>
      <c r="N49" s="3">
        <v>27.722058079872411</v>
      </c>
      <c r="O49" s="3">
        <f t="shared" si="0"/>
        <v>90.453823323443672</v>
      </c>
      <c r="P49" s="3">
        <v>8.3500714446638469</v>
      </c>
      <c r="Q49" s="3">
        <v>1.1961052318924641</v>
      </c>
      <c r="R49" s="3">
        <v>0</v>
      </c>
      <c r="S49" s="3"/>
      <c r="T49" s="3"/>
      <c r="U49" s="3"/>
      <c r="V49" s="2">
        <f t="shared" si="2"/>
        <v>99.999999999999972</v>
      </c>
    </row>
    <row r="50" spans="1:22" x14ac:dyDescent="0.35">
      <c r="A50" s="1" t="s">
        <v>70</v>
      </c>
      <c r="B50" s="3">
        <v>662.56</v>
      </c>
      <c r="C50" s="3">
        <v>2393.4593091812517</v>
      </c>
      <c r="D50" s="3">
        <v>1885.7351170938548</v>
      </c>
      <c r="E50" s="3">
        <v>1950.0324627152002</v>
      </c>
      <c r="F50" s="3">
        <v>6.9329655555545751</v>
      </c>
      <c r="G50" s="12">
        <v>0.05</v>
      </c>
      <c r="H50" s="12">
        <f t="shared" si="1"/>
        <v>94.286755854692743</v>
      </c>
      <c r="I50" s="4">
        <v>2E-3</v>
      </c>
      <c r="J50" s="3">
        <f t="shared" si="3"/>
        <v>6.9309655555545753</v>
      </c>
      <c r="K50" s="3">
        <v>0.45886019328839611</v>
      </c>
      <c r="L50" s="3">
        <v>0</v>
      </c>
      <c r="M50" s="3">
        <v>2.1558271571405987</v>
      </c>
      <c r="N50" s="3">
        <v>97.385312649571006</v>
      </c>
      <c r="O50" s="3">
        <f t="shared" si="0"/>
        <v>100</v>
      </c>
      <c r="P50" s="3">
        <v>0</v>
      </c>
      <c r="Q50" s="3">
        <v>0</v>
      </c>
      <c r="R50" s="3">
        <v>0</v>
      </c>
      <c r="S50" s="3"/>
      <c r="T50" s="3"/>
      <c r="U50" s="3"/>
      <c r="V50" s="2">
        <f t="shared" si="2"/>
        <v>100</v>
      </c>
    </row>
    <row r="51" spans="1:22" x14ac:dyDescent="0.35">
      <c r="A51" s="1" t="s">
        <v>71</v>
      </c>
      <c r="B51" s="3">
        <v>1308.24</v>
      </c>
      <c r="C51" s="3">
        <v>696.92862129537184</v>
      </c>
      <c r="D51" s="3">
        <v>639.75140774536885</v>
      </c>
      <c r="E51" s="3">
        <v>661.26510442587517</v>
      </c>
      <c r="F51" s="3">
        <v>6.829517258840645</v>
      </c>
      <c r="G51" s="12">
        <v>0.05</v>
      </c>
      <c r="H51" s="12">
        <f t="shared" si="1"/>
        <v>31.987570387268445</v>
      </c>
      <c r="I51" s="4">
        <v>2E-3</v>
      </c>
      <c r="J51" s="3">
        <f t="shared" si="3"/>
        <v>6.8275172588406452</v>
      </c>
      <c r="K51" s="3">
        <v>8.1526045709996008E-3</v>
      </c>
      <c r="L51" s="3">
        <v>0</v>
      </c>
      <c r="M51" s="3">
        <v>2.6755118247563514</v>
      </c>
      <c r="N51" s="3">
        <v>97.316335570672649</v>
      </c>
      <c r="O51" s="3">
        <f t="shared" si="0"/>
        <v>100</v>
      </c>
      <c r="P51" s="3">
        <v>0</v>
      </c>
      <c r="Q51" s="3">
        <v>0</v>
      </c>
      <c r="R51" s="3">
        <v>0</v>
      </c>
      <c r="S51" s="3"/>
      <c r="T51" s="3"/>
      <c r="U51" s="3"/>
      <c r="V51" s="2">
        <f t="shared" ref="V51:V82" si="4">O51+P51+Q51+R51+S51+T51+U51</f>
        <v>100</v>
      </c>
    </row>
    <row r="52" spans="1:22" x14ac:dyDescent="0.35">
      <c r="A52" s="1" t="s">
        <v>72</v>
      </c>
      <c r="B52" s="3">
        <v>739.89</v>
      </c>
      <c r="C52" s="3">
        <v>925.4790839314752</v>
      </c>
      <c r="D52" s="3">
        <v>814.10998269843913</v>
      </c>
      <c r="E52" s="3">
        <v>841.56668893764504</v>
      </c>
      <c r="F52" s="3">
        <v>6.8512427581574675</v>
      </c>
      <c r="G52" s="12">
        <v>0.05</v>
      </c>
      <c r="H52" s="12">
        <f t="shared" si="1"/>
        <v>40.705499134921958</v>
      </c>
      <c r="I52" s="4">
        <v>2E-3</v>
      </c>
      <c r="J52" s="3">
        <f t="shared" si="3"/>
        <v>6.8492427581574677</v>
      </c>
      <c r="K52" s="3">
        <v>0.89292534531889944</v>
      </c>
      <c r="L52" s="3">
        <v>0</v>
      </c>
      <c r="M52" s="3">
        <v>2.9134174391965821</v>
      </c>
      <c r="N52" s="3">
        <v>96.193657215484521</v>
      </c>
      <c r="O52" s="3">
        <f t="shared" si="0"/>
        <v>100</v>
      </c>
      <c r="P52" s="3">
        <v>0</v>
      </c>
      <c r="Q52" s="3">
        <v>0</v>
      </c>
      <c r="R52" s="3">
        <v>0</v>
      </c>
      <c r="S52" s="3"/>
      <c r="T52" s="3"/>
      <c r="U52" s="3"/>
      <c r="V52" s="2">
        <f t="shared" si="4"/>
        <v>100</v>
      </c>
    </row>
    <row r="53" spans="1:22" x14ac:dyDescent="0.35">
      <c r="A53" s="1" t="s">
        <v>73</v>
      </c>
      <c r="B53" s="3">
        <v>596.80999999999995</v>
      </c>
      <c r="C53" s="3">
        <v>2820.2423348136654</v>
      </c>
      <c r="D53" s="3">
        <v>2103.5275037429656</v>
      </c>
      <c r="E53" s="3">
        <v>2175.9454981980912</v>
      </c>
      <c r="F53" s="3">
        <v>7.0013862133845057</v>
      </c>
      <c r="G53" s="12">
        <v>0.05</v>
      </c>
      <c r="H53" s="12">
        <f t="shared" si="1"/>
        <v>105.17637518714828</v>
      </c>
      <c r="I53" s="4">
        <v>2E-3</v>
      </c>
      <c r="J53" s="3">
        <f t="shared" si="3"/>
        <v>6.999386213384506</v>
      </c>
      <c r="K53" s="3">
        <v>0.40115383818125872</v>
      </c>
      <c r="L53" s="3">
        <v>0</v>
      </c>
      <c r="M53" s="3">
        <v>1.624560562559987</v>
      </c>
      <c r="N53" s="3">
        <v>97.974285599258778</v>
      </c>
      <c r="O53" s="3">
        <f t="shared" si="0"/>
        <v>100.00000000000003</v>
      </c>
      <c r="P53" s="3">
        <v>0</v>
      </c>
      <c r="Q53" s="3">
        <v>0</v>
      </c>
      <c r="R53" s="3">
        <v>0</v>
      </c>
      <c r="S53" s="3"/>
      <c r="T53" s="3"/>
      <c r="U53" s="3"/>
      <c r="V53" s="2">
        <f t="shared" si="4"/>
        <v>100.00000000000003</v>
      </c>
    </row>
    <row r="54" spans="1:22" x14ac:dyDescent="0.35">
      <c r="A54" s="1" t="s">
        <v>74</v>
      </c>
      <c r="B54" s="3">
        <v>191.46</v>
      </c>
      <c r="C54" s="3">
        <v>620.73866023966605</v>
      </c>
      <c r="D54" s="3">
        <v>565.6651124943462</v>
      </c>
      <c r="E54" s="3">
        <v>585.06930115653518</v>
      </c>
      <c r="F54" s="3">
        <v>6.9734269890024585</v>
      </c>
      <c r="G54" s="12">
        <v>0.05</v>
      </c>
      <c r="H54" s="12">
        <f t="shared" si="1"/>
        <v>28.283255624717313</v>
      </c>
      <c r="I54" s="4">
        <v>2E-3</v>
      </c>
      <c r="J54" s="3">
        <f t="shared" si="3"/>
        <v>6.9714269890024587</v>
      </c>
      <c r="K54" s="3">
        <v>0.71444245717407673</v>
      </c>
      <c r="L54" s="3">
        <v>0</v>
      </c>
      <c r="M54" s="3">
        <v>1.6543566585241194</v>
      </c>
      <c r="N54" s="3">
        <v>97.631200884301819</v>
      </c>
      <c r="O54" s="3">
        <f t="shared" si="0"/>
        <v>100.00000000000001</v>
      </c>
      <c r="P54" s="3">
        <v>0</v>
      </c>
      <c r="Q54" s="3">
        <v>0</v>
      </c>
      <c r="R54" s="3">
        <v>0</v>
      </c>
      <c r="S54" s="3"/>
      <c r="T54" s="3"/>
      <c r="U54" s="3"/>
      <c r="V54" s="2">
        <f t="shared" si="4"/>
        <v>100.00000000000001</v>
      </c>
    </row>
    <row r="55" spans="1:22" x14ac:dyDescent="0.35">
      <c r="A55" s="1" t="s">
        <v>75</v>
      </c>
      <c r="B55" s="3">
        <v>162.83000000000001</v>
      </c>
      <c r="C55" s="3">
        <v>1604.5197650754567</v>
      </c>
      <c r="D55" s="3">
        <v>1349.6543391381047</v>
      </c>
      <c r="E55" s="3">
        <v>1395.6291827553478</v>
      </c>
      <c r="F55" s="3">
        <v>6.927397190297091</v>
      </c>
      <c r="G55" s="12">
        <v>0.05</v>
      </c>
      <c r="H55" s="12">
        <f t="shared" si="1"/>
        <v>67.482716956905236</v>
      </c>
      <c r="I55" s="4">
        <v>2E-3</v>
      </c>
      <c r="J55" s="3">
        <f t="shared" si="3"/>
        <v>6.9253971902970912</v>
      </c>
      <c r="K55" s="3">
        <v>0.21658263183248339</v>
      </c>
      <c r="L55" s="3">
        <v>0</v>
      </c>
      <c r="M55" s="3">
        <v>0.7030594022147767</v>
      </c>
      <c r="N55" s="3">
        <v>99.080357965952729</v>
      </c>
      <c r="O55" s="3">
        <f t="shared" si="0"/>
        <v>99.999999999999986</v>
      </c>
      <c r="P55" s="3">
        <v>0</v>
      </c>
      <c r="Q55" s="3">
        <v>0</v>
      </c>
      <c r="R55" s="3">
        <v>0</v>
      </c>
      <c r="S55" s="3"/>
      <c r="T55" s="3"/>
      <c r="U55" s="3"/>
      <c r="V55" s="2">
        <f t="shared" si="4"/>
        <v>99.999999999999986</v>
      </c>
    </row>
    <row r="56" spans="1:22" x14ac:dyDescent="0.35">
      <c r="A56" s="1" t="s">
        <v>76</v>
      </c>
      <c r="B56" s="3">
        <v>774.93</v>
      </c>
      <c r="C56" s="3">
        <v>4174.4255861225365</v>
      </c>
      <c r="D56" s="3">
        <v>2704.0186769464685</v>
      </c>
      <c r="E56" s="3">
        <v>2797.5495037067831</v>
      </c>
      <c r="F56" s="3">
        <v>7.0322334129017321</v>
      </c>
      <c r="G56" s="12">
        <v>0.05</v>
      </c>
      <c r="H56" s="12">
        <f t="shared" si="1"/>
        <v>135.20093384732343</v>
      </c>
      <c r="I56" s="4">
        <v>2E-3</v>
      </c>
      <c r="J56" s="3">
        <f t="shared" si="3"/>
        <v>7.0302334129017323</v>
      </c>
      <c r="K56" s="3">
        <v>0.54525731637242891</v>
      </c>
      <c r="L56" s="3">
        <v>0</v>
      </c>
      <c r="M56" s="3">
        <v>3.5363032786808608</v>
      </c>
      <c r="N56" s="3">
        <v>95.918439404946724</v>
      </c>
      <c r="O56" s="3">
        <f t="shared" si="0"/>
        <v>100.00000000000001</v>
      </c>
      <c r="P56" s="3">
        <v>0</v>
      </c>
      <c r="Q56" s="3">
        <v>0</v>
      </c>
      <c r="R56" s="3">
        <v>0</v>
      </c>
      <c r="S56" s="3"/>
      <c r="T56" s="3"/>
      <c r="U56" s="3"/>
      <c r="V56" s="2">
        <f t="shared" si="4"/>
        <v>100.00000000000001</v>
      </c>
    </row>
    <row r="57" spans="1:22" x14ac:dyDescent="0.35">
      <c r="A57" s="1" t="s">
        <v>77</v>
      </c>
      <c r="B57" s="3">
        <v>48.21</v>
      </c>
      <c r="C57" s="3">
        <v>892.8479513238683</v>
      </c>
      <c r="D57" s="3">
        <v>787.50381564544136</v>
      </c>
      <c r="E57" s="3">
        <v>814.35417707757983</v>
      </c>
      <c r="F57" s="3">
        <v>6.9304223554949447</v>
      </c>
      <c r="G57" s="12">
        <v>0.05</v>
      </c>
      <c r="H57" s="12">
        <f t="shared" si="1"/>
        <v>39.375190782272071</v>
      </c>
      <c r="I57" s="4">
        <v>2E-3</v>
      </c>
      <c r="J57" s="3">
        <f t="shared" si="3"/>
        <v>6.9284223554949449</v>
      </c>
      <c r="K57" s="3">
        <v>1.1886128608420472</v>
      </c>
      <c r="L57" s="3">
        <v>0</v>
      </c>
      <c r="M57" s="3">
        <v>2.523546547352848</v>
      </c>
      <c r="N57" s="3">
        <v>96.287840591805107</v>
      </c>
      <c r="O57" s="3">
        <f t="shared" si="0"/>
        <v>100</v>
      </c>
      <c r="P57" s="3">
        <v>0</v>
      </c>
      <c r="Q57" s="3">
        <v>0</v>
      </c>
      <c r="R57" s="3">
        <v>0</v>
      </c>
      <c r="S57" s="3"/>
      <c r="T57" s="3"/>
      <c r="U57" s="3"/>
      <c r="V57" s="2">
        <f t="shared" si="4"/>
        <v>100</v>
      </c>
    </row>
    <row r="58" spans="1:22" x14ac:dyDescent="0.35">
      <c r="A58" s="1" t="s">
        <v>78</v>
      </c>
      <c r="B58" s="3">
        <v>9879.7589796628999</v>
      </c>
      <c r="C58" s="3">
        <v>3.53</v>
      </c>
      <c r="D58" s="3">
        <v>2.38</v>
      </c>
      <c r="E58" s="3">
        <v>2.5299999999999998</v>
      </c>
      <c r="F58" s="3">
        <v>6.36</v>
      </c>
      <c r="G58" s="12">
        <v>0.05</v>
      </c>
      <c r="H58" s="12">
        <f>D58*G58</f>
        <v>0.11899999999999999</v>
      </c>
      <c r="I58" s="4">
        <v>1E-3</v>
      </c>
      <c r="J58" s="3">
        <f>F58-I58</f>
        <v>6.359</v>
      </c>
      <c r="K58" s="3">
        <v>0</v>
      </c>
      <c r="L58" s="3">
        <v>0</v>
      </c>
      <c r="M58" s="3">
        <v>96.32</v>
      </c>
      <c r="N58" s="3">
        <v>3.6799999999999997</v>
      </c>
      <c r="O58" s="3">
        <f t="shared" si="0"/>
        <v>100</v>
      </c>
      <c r="P58" s="3">
        <v>0</v>
      </c>
      <c r="Q58" s="3">
        <v>0</v>
      </c>
      <c r="R58" s="3">
        <v>0</v>
      </c>
      <c r="S58" s="3"/>
      <c r="T58" s="3"/>
      <c r="U58" s="3"/>
      <c r="V58" s="2">
        <f t="shared" si="4"/>
        <v>100</v>
      </c>
    </row>
    <row r="59" spans="1:22" x14ac:dyDescent="0.35">
      <c r="A59" s="1" t="s">
        <v>79</v>
      </c>
      <c r="B59" s="3">
        <v>57802.91291123</v>
      </c>
      <c r="C59" s="3">
        <v>34.299999999999997</v>
      </c>
      <c r="D59" s="3">
        <v>31.02</v>
      </c>
      <c r="E59" s="3">
        <v>33.200000000000003</v>
      </c>
      <c r="F59" s="3">
        <v>6.9</v>
      </c>
      <c r="G59" s="12">
        <v>0.05</v>
      </c>
      <c r="H59" s="12">
        <f t="shared" si="1"/>
        <v>1.5510000000000002</v>
      </c>
      <c r="I59" s="4">
        <v>2E-3</v>
      </c>
      <c r="J59" s="3">
        <f t="shared" si="3"/>
        <v>6.8980000000000006</v>
      </c>
      <c r="K59" s="3">
        <v>2.4899999999999998</v>
      </c>
      <c r="L59" s="3">
        <v>72.740000000000009</v>
      </c>
      <c r="M59" s="3">
        <v>9.9699999999999989</v>
      </c>
      <c r="N59" s="3">
        <v>13.469999999999999</v>
      </c>
      <c r="O59" s="3">
        <f t="shared" si="0"/>
        <v>98.67</v>
      </c>
      <c r="P59" s="3">
        <v>0.59</v>
      </c>
      <c r="Q59" s="3">
        <v>0</v>
      </c>
      <c r="R59" s="3">
        <v>0</v>
      </c>
      <c r="S59" s="3"/>
      <c r="T59" s="3"/>
      <c r="U59" s="3"/>
      <c r="V59" s="2">
        <f t="shared" si="4"/>
        <v>99.26</v>
      </c>
    </row>
    <row r="60" spans="1:22" x14ac:dyDescent="0.35">
      <c r="A60" s="1" t="s">
        <v>80</v>
      </c>
      <c r="B60" s="3">
        <v>28022.730620414699</v>
      </c>
      <c r="C60" s="3">
        <v>126.81</v>
      </c>
      <c r="D60" s="3">
        <v>117.26</v>
      </c>
      <c r="E60" s="3">
        <v>125.8</v>
      </c>
      <c r="F60" s="3">
        <v>7.28</v>
      </c>
      <c r="G60" s="12">
        <v>0.05</v>
      </c>
      <c r="H60" s="12">
        <f t="shared" si="1"/>
        <v>5.8630000000000004</v>
      </c>
      <c r="I60" s="4">
        <v>2.0999999999999999E-3</v>
      </c>
      <c r="J60" s="3">
        <f t="shared" si="3"/>
        <v>7.2778999999999998</v>
      </c>
      <c r="K60" s="3">
        <v>0</v>
      </c>
      <c r="L60" s="3">
        <v>83.52000000000001</v>
      </c>
      <c r="M60" s="3">
        <v>1.53</v>
      </c>
      <c r="N60" s="3">
        <v>14.95</v>
      </c>
      <c r="O60" s="3">
        <f t="shared" si="0"/>
        <v>100.00000000000001</v>
      </c>
      <c r="P60" s="3">
        <v>0</v>
      </c>
      <c r="Q60" s="3">
        <v>0</v>
      </c>
      <c r="R60" s="3">
        <v>0</v>
      </c>
      <c r="S60" s="3"/>
      <c r="T60" s="3"/>
      <c r="U60" s="3"/>
      <c r="V60" s="2">
        <f t="shared" si="4"/>
        <v>100.00000000000001</v>
      </c>
    </row>
    <row r="61" spans="1:22" x14ac:dyDescent="0.35">
      <c r="A61" s="1" t="s">
        <v>81</v>
      </c>
      <c r="B61" s="3">
        <v>21025.6199443513</v>
      </c>
      <c r="C61" s="3">
        <v>1.73</v>
      </c>
      <c r="D61" s="3">
        <v>0.8</v>
      </c>
      <c r="E61" s="3">
        <v>0.9</v>
      </c>
      <c r="F61" s="3">
        <v>7.65</v>
      </c>
      <c r="G61" s="12">
        <v>0.05</v>
      </c>
      <c r="H61" s="12">
        <f t="shared" si="1"/>
        <v>4.0000000000000008E-2</v>
      </c>
      <c r="I61" s="4">
        <v>4.1999999999999997E-3</v>
      </c>
      <c r="J61" s="3">
        <f t="shared" si="3"/>
        <v>7.6458000000000004</v>
      </c>
      <c r="K61" s="3">
        <v>38.31</v>
      </c>
      <c r="L61" s="3">
        <v>32.15</v>
      </c>
      <c r="M61" s="3">
        <v>2.77</v>
      </c>
      <c r="N61" s="3">
        <v>13.18</v>
      </c>
      <c r="O61" s="3">
        <f t="shared" si="0"/>
        <v>86.41</v>
      </c>
      <c r="P61" s="3">
        <v>9.08</v>
      </c>
      <c r="Q61" s="3">
        <v>3.9</v>
      </c>
      <c r="R61" s="3">
        <v>0.6</v>
      </c>
      <c r="S61" s="3"/>
      <c r="T61" s="3"/>
      <c r="U61" s="3"/>
      <c r="V61" s="2">
        <f t="shared" si="4"/>
        <v>99.99</v>
      </c>
    </row>
    <row r="62" spans="1:22" x14ac:dyDescent="0.35">
      <c r="A62" s="1" t="s">
        <v>82</v>
      </c>
      <c r="B62" s="3">
        <v>20002.299851614898</v>
      </c>
      <c r="C62" s="3">
        <v>3.99</v>
      </c>
      <c r="D62" s="3">
        <v>2.31</v>
      </c>
      <c r="E62" s="3">
        <v>2.25</v>
      </c>
      <c r="F62" s="3">
        <v>7.73</v>
      </c>
      <c r="G62" s="12">
        <v>0.05</v>
      </c>
      <c r="H62" s="12">
        <f t="shared" si="1"/>
        <v>0.11550000000000001</v>
      </c>
      <c r="I62" s="4">
        <v>4.5000000000000005E-3</v>
      </c>
      <c r="J62" s="3">
        <f t="shared" si="3"/>
        <v>7.7255000000000003</v>
      </c>
      <c r="K62" s="3">
        <v>41.349999999999994</v>
      </c>
      <c r="L62" s="3">
        <v>6.4600000000000009</v>
      </c>
      <c r="M62" s="3">
        <v>4.2</v>
      </c>
      <c r="N62" s="3">
        <v>34.43</v>
      </c>
      <c r="O62" s="3">
        <f t="shared" si="0"/>
        <v>86.44</v>
      </c>
      <c r="P62" s="3">
        <v>12.13</v>
      </c>
      <c r="Q62" s="3">
        <v>4.9399999999999995</v>
      </c>
      <c r="R62" s="3">
        <v>1.38</v>
      </c>
      <c r="S62" s="3"/>
      <c r="T62" s="3"/>
      <c r="U62" s="3"/>
      <c r="V62" s="2">
        <f t="shared" si="4"/>
        <v>104.88999999999999</v>
      </c>
    </row>
    <row r="63" spans="1:22" x14ac:dyDescent="0.35">
      <c r="A63" s="1" t="s">
        <v>83</v>
      </c>
      <c r="B63" s="3">
        <v>27237.4264582736</v>
      </c>
      <c r="C63" s="3">
        <v>3.84</v>
      </c>
      <c r="D63" s="3">
        <v>2.37</v>
      </c>
      <c r="E63" s="3">
        <v>2.38</v>
      </c>
      <c r="F63" s="3">
        <v>7.63</v>
      </c>
      <c r="G63" s="12">
        <v>0.05</v>
      </c>
      <c r="H63" s="12">
        <f t="shared" si="1"/>
        <v>0.11850000000000001</v>
      </c>
      <c r="I63" s="4">
        <v>3.4999999999999996E-3</v>
      </c>
      <c r="J63" s="3">
        <f t="shared" si="3"/>
        <v>7.6265000000000001</v>
      </c>
      <c r="K63" s="3">
        <v>75.599999999999994</v>
      </c>
      <c r="L63" s="3">
        <v>0</v>
      </c>
      <c r="M63" s="3">
        <v>2.75</v>
      </c>
      <c r="N63" s="3">
        <v>20.080000000000002</v>
      </c>
      <c r="O63" s="3">
        <f t="shared" si="0"/>
        <v>98.429999999999993</v>
      </c>
      <c r="P63" s="3">
        <v>1.5699999999999998</v>
      </c>
      <c r="Q63" s="3">
        <v>0</v>
      </c>
      <c r="R63" s="3">
        <v>0</v>
      </c>
      <c r="S63" s="3"/>
      <c r="T63" s="3"/>
      <c r="U63" s="3"/>
      <c r="V63" s="2">
        <f t="shared" si="4"/>
        <v>99.999999999999986</v>
      </c>
    </row>
    <row r="64" spans="1:22" x14ac:dyDescent="0.35">
      <c r="A64" s="1" t="s">
        <v>84</v>
      </c>
      <c r="B64" s="3">
        <v>9113.5501332457006</v>
      </c>
      <c r="C64" s="3">
        <v>4.4400000000000004</v>
      </c>
      <c r="D64" s="3">
        <v>2.83</v>
      </c>
      <c r="E64" s="3">
        <v>2.79</v>
      </c>
      <c r="F64" s="3">
        <v>7.53</v>
      </c>
      <c r="G64" s="12">
        <v>0.05</v>
      </c>
      <c r="H64" s="12">
        <f t="shared" si="1"/>
        <v>0.14150000000000001</v>
      </c>
      <c r="I64" s="4">
        <v>3.9000000000000003E-3</v>
      </c>
      <c r="J64" s="3">
        <f t="shared" si="3"/>
        <v>7.5261000000000005</v>
      </c>
      <c r="K64" s="3">
        <v>72.430000000000007</v>
      </c>
      <c r="L64" s="3">
        <v>2.34</v>
      </c>
      <c r="M64" s="3">
        <v>4.8899999999999997</v>
      </c>
      <c r="N64" s="3">
        <v>16.09</v>
      </c>
      <c r="O64" s="3">
        <f t="shared" si="0"/>
        <v>95.750000000000014</v>
      </c>
      <c r="P64" s="3">
        <v>4.25</v>
      </c>
      <c r="Q64" s="3">
        <v>0</v>
      </c>
      <c r="R64" s="3">
        <v>0</v>
      </c>
      <c r="S64" s="3"/>
      <c r="T64" s="3"/>
      <c r="U64" s="3"/>
      <c r="V64" s="2">
        <f t="shared" si="4"/>
        <v>100.00000000000001</v>
      </c>
    </row>
    <row r="65" spans="1:22" x14ac:dyDescent="0.35">
      <c r="A65" s="1" t="s">
        <v>85</v>
      </c>
      <c r="B65" s="3">
        <v>402.19</v>
      </c>
      <c r="C65" s="3">
        <v>4</v>
      </c>
      <c r="D65" s="3">
        <v>4</v>
      </c>
      <c r="E65" s="3">
        <v>3</v>
      </c>
      <c r="F65" s="3">
        <v>6.29</v>
      </c>
      <c r="G65" s="12">
        <v>0.05</v>
      </c>
      <c r="H65" s="12">
        <f t="shared" si="1"/>
        <v>0.2</v>
      </c>
      <c r="I65" s="4">
        <v>5.9999999999999995E-4</v>
      </c>
      <c r="J65" s="3">
        <f t="shared" si="3"/>
        <v>6.2893999999999997</v>
      </c>
      <c r="K65" s="3">
        <v>0</v>
      </c>
      <c r="L65" s="3">
        <v>0</v>
      </c>
      <c r="M65" s="3">
        <v>100</v>
      </c>
      <c r="N65" s="3">
        <v>0</v>
      </c>
      <c r="O65" s="3">
        <f t="shared" si="0"/>
        <v>100</v>
      </c>
      <c r="P65" s="3">
        <v>0</v>
      </c>
      <c r="Q65" s="3">
        <v>0</v>
      </c>
      <c r="R65" s="3"/>
      <c r="S65" s="3"/>
      <c r="T65" s="3"/>
      <c r="U65" s="3"/>
      <c r="V65" s="2">
        <f t="shared" si="4"/>
        <v>100</v>
      </c>
    </row>
    <row r="66" spans="1:22" x14ac:dyDescent="0.35">
      <c r="A66" s="1" t="s">
        <v>86</v>
      </c>
      <c r="B66" s="3">
        <v>16962.09</v>
      </c>
      <c r="C66" s="3">
        <v>48</v>
      </c>
      <c r="D66" s="3">
        <v>48</v>
      </c>
      <c r="E66" s="3">
        <v>48</v>
      </c>
      <c r="F66" s="3">
        <v>7.0000000000000009</v>
      </c>
      <c r="G66" s="12">
        <v>0.05</v>
      </c>
      <c r="H66" s="12">
        <f t="shared" si="1"/>
        <v>2.4000000000000004</v>
      </c>
      <c r="I66" s="4">
        <v>1.5E-3</v>
      </c>
      <c r="J66" s="3">
        <f t="shared" si="3"/>
        <v>6.9985000000000008</v>
      </c>
      <c r="K66" s="3">
        <v>0.61</v>
      </c>
      <c r="L66" s="3">
        <v>76.78</v>
      </c>
      <c r="M66" s="3">
        <v>0.82</v>
      </c>
      <c r="N66" s="3">
        <v>21.79</v>
      </c>
      <c r="O66" s="3">
        <f t="shared" si="0"/>
        <v>100</v>
      </c>
      <c r="P66" s="3">
        <v>0</v>
      </c>
      <c r="Q66" s="3">
        <v>0</v>
      </c>
      <c r="R66" s="3"/>
      <c r="S66" s="3"/>
      <c r="T66" s="3"/>
      <c r="U66" s="3"/>
      <c r="V66" s="2">
        <f t="shared" si="4"/>
        <v>100</v>
      </c>
    </row>
    <row r="67" spans="1:22" x14ac:dyDescent="0.35">
      <c r="A67" s="1" t="s">
        <v>87</v>
      </c>
      <c r="B67" s="3">
        <v>1466.06</v>
      </c>
      <c r="C67" s="3">
        <v>157</v>
      </c>
      <c r="D67" s="3">
        <v>153</v>
      </c>
      <c r="E67" s="3">
        <v>147</v>
      </c>
      <c r="F67" s="3">
        <v>7.4399999999999995</v>
      </c>
      <c r="G67" s="12">
        <v>0.05</v>
      </c>
      <c r="H67" s="12">
        <f t="shared" si="1"/>
        <v>7.65</v>
      </c>
      <c r="I67" s="4">
        <v>2.3999999999999998E-3</v>
      </c>
      <c r="J67" s="3">
        <f t="shared" si="3"/>
        <v>7.4375999999999998</v>
      </c>
      <c r="K67" s="3">
        <v>18.38</v>
      </c>
      <c r="L67" s="3">
        <v>40.61</v>
      </c>
      <c r="M67" s="3">
        <v>11.32</v>
      </c>
      <c r="N67" s="3">
        <v>11.15</v>
      </c>
      <c r="O67" s="3">
        <f t="shared" ref="O67:O78" si="5">SUM(K67:N67)</f>
        <v>81.460000000000008</v>
      </c>
      <c r="P67" s="3">
        <v>16.010000000000002</v>
      </c>
      <c r="Q67" s="3">
        <v>2.5299999999999998</v>
      </c>
      <c r="R67" s="3"/>
      <c r="S67" s="3"/>
      <c r="T67" s="3"/>
      <c r="U67" s="3"/>
      <c r="V67" s="2">
        <f t="shared" si="4"/>
        <v>100.00000000000001</v>
      </c>
    </row>
    <row r="68" spans="1:22" x14ac:dyDescent="0.35">
      <c r="A68" s="1" t="s">
        <v>88</v>
      </c>
      <c r="B68" s="3">
        <v>5142.5200000000004</v>
      </c>
      <c r="C68" s="3">
        <v>190</v>
      </c>
      <c r="D68" s="3">
        <v>190</v>
      </c>
      <c r="E68" s="3">
        <v>189</v>
      </c>
      <c r="F68" s="3">
        <v>7.3400000000000007</v>
      </c>
      <c r="G68" s="12">
        <v>0.05</v>
      </c>
      <c r="H68" s="12">
        <f t="shared" ref="H68:H78" si="6">D68*G68</f>
        <v>9.5</v>
      </c>
      <c r="I68" s="4">
        <v>2.2000000000000001E-3</v>
      </c>
      <c r="J68" s="3">
        <f t="shared" si="3"/>
        <v>7.3378000000000005</v>
      </c>
      <c r="K68" s="3">
        <v>0</v>
      </c>
      <c r="L68" s="3">
        <v>79.42</v>
      </c>
      <c r="M68" s="3">
        <v>3.94</v>
      </c>
      <c r="N68" s="3">
        <v>16.64</v>
      </c>
      <c r="O68" s="3">
        <f t="shared" si="5"/>
        <v>100</v>
      </c>
      <c r="P68" s="3">
        <v>0</v>
      </c>
      <c r="Q68" s="3">
        <v>0</v>
      </c>
      <c r="R68" s="3"/>
      <c r="S68" s="3"/>
      <c r="T68" s="3"/>
      <c r="U68" s="3"/>
      <c r="V68" s="2">
        <f t="shared" si="4"/>
        <v>100</v>
      </c>
    </row>
    <row r="69" spans="1:22" x14ac:dyDescent="0.35">
      <c r="A69" s="1" t="s">
        <v>89</v>
      </c>
      <c r="B69" s="3">
        <v>1477.52</v>
      </c>
      <c r="C69" s="3">
        <v>375</v>
      </c>
      <c r="D69" s="3">
        <v>344</v>
      </c>
      <c r="E69" s="3">
        <v>325</v>
      </c>
      <c r="F69" s="3">
        <v>7.55</v>
      </c>
      <c r="G69" s="12">
        <v>0.05</v>
      </c>
      <c r="H69" s="12">
        <f t="shared" si="6"/>
        <v>17.2</v>
      </c>
      <c r="I69" s="4">
        <v>3.2000000000000002E-3</v>
      </c>
      <c r="J69" s="3">
        <f t="shared" si="3"/>
        <v>7.5468000000000002</v>
      </c>
      <c r="K69" s="3">
        <v>39.47</v>
      </c>
      <c r="L69" s="3">
        <v>20.37</v>
      </c>
      <c r="M69" s="3">
        <v>8.1300000000000008</v>
      </c>
      <c r="N69" s="3">
        <v>14.08</v>
      </c>
      <c r="O69" s="3">
        <f t="shared" si="5"/>
        <v>82.05</v>
      </c>
      <c r="P69" s="3">
        <v>16.600000000000001</v>
      </c>
      <c r="Q69" s="3">
        <v>1.35</v>
      </c>
      <c r="R69" s="3"/>
      <c r="S69" s="3"/>
      <c r="T69" s="3"/>
      <c r="U69" s="3"/>
      <c r="V69" s="2">
        <f t="shared" si="4"/>
        <v>100</v>
      </c>
    </row>
    <row r="70" spans="1:22" x14ac:dyDescent="0.35">
      <c r="A70" s="1" t="s">
        <v>90</v>
      </c>
      <c r="B70" s="3">
        <v>488.53</v>
      </c>
      <c r="C70" s="3">
        <v>1244.6500000000001</v>
      </c>
      <c r="D70" s="3">
        <v>1029.3</v>
      </c>
      <c r="E70" s="3">
        <v>981.85</v>
      </c>
      <c r="F70" s="3">
        <v>7.4899999999999993</v>
      </c>
      <c r="G70" s="12">
        <v>0.05</v>
      </c>
      <c r="H70" s="12">
        <f t="shared" si="6"/>
        <v>51.465000000000003</v>
      </c>
      <c r="I70" s="4">
        <v>3.5000000000000001E-3</v>
      </c>
      <c r="J70" s="3">
        <f t="shared" si="3"/>
        <v>7.4864999999999995</v>
      </c>
      <c r="K70" s="3">
        <v>57.33</v>
      </c>
      <c r="L70" s="3">
        <v>0</v>
      </c>
      <c r="M70" s="3">
        <v>9.16</v>
      </c>
      <c r="N70" s="3">
        <v>28.17</v>
      </c>
      <c r="O70" s="3">
        <f t="shared" si="5"/>
        <v>94.66</v>
      </c>
      <c r="P70" s="3">
        <v>4.3099999999999996</v>
      </c>
      <c r="Q70" s="3">
        <v>1.03</v>
      </c>
      <c r="R70" s="3"/>
      <c r="S70" s="3"/>
      <c r="T70" s="3"/>
      <c r="U70" s="3"/>
      <c r="V70" s="2">
        <f t="shared" si="4"/>
        <v>100</v>
      </c>
    </row>
    <row r="71" spans="1:22" x14ac:dyDescent="0.35">
      <c r="A71" s="1" t="s">
        <v>91</v>
      </c>
      <c r="B71" s="3">
        <v>5820.21</v>
      </c>
      <c r="C71" s="3">
        <v>1901.65</v>
      </c>
      <c r="D71" s="3">
        <v>1456.35</v>
      </c>
      <c r="E71" s="3">
        <v>1387</v>
      </c>
      <c r="F71" s="3">
        <v>7.3999999999999995</v>
      </c>
      <c r="G71" s="12">
        <v>0.05</v>
      </c>
      <c r="H71" s="12">
        <f t="shared" si="6"/>
        <v>72.817499999999995</v>
      </c>
      <c r="I71" s="4">
        <v>2.8E-3</v>
      </c>
      <c r="J71" s="3">
        <f t="shared" si="3"/>
        <v>7.3971999999999998</v>
      </c>
      <c r="K71" s="3">
        <v>66.260000000000005</v>
      </c>
      <c r="L71" s="3">
        <v>0</v>
      </c>
      <c r="M71" s="3">
        <v>5.81</v>
      </c>
      <c r="N71" s="3">
        <v>27.93</v>
      </c>
      <c r="O71" s="3">
        <f t="shared" si="5"/>
        <v>100</v>
      </c>
      <c r="P71" s="3">
        <v>0</v>
      </c>
      <c r="Q71" s="3">
        <v>0</v>
      </c>
      <c r="R71" s="3"/>
      <c r="S71" s="3"/>
      <c r="T71" s="3"/>
      <c r="U71" s="3"/>
      <c r="V71" s="2">
        <f t="shared" si="4"/>
        <v>100</v>
      </c>
    </row>
    <row r="72" spans="1:22" x14ac:dyDescent="0.35">
      <c r="A72" s="1" t="s">
        <v>92</v>
      </c>
      <c r="B72" s="3">
        <v>102.29</v>
      </c>
      <c r="C72" s="3">
        <v>1992.9</v>
      </c>
      <c r="D72" s="3">
        <v>1478.25</v>
      </c>
      <c r="E72" s="3">
        <v>1397.95</v>
      </c>
      <c r="F72" s="3">
        <v>7.28</v>
      </c>
      <c r="G72" s="12">
        <v>0.05</v>
      </c>
      <c r="H72" s="12">
        <f t="shared" si="6"/>
        <v>73.912500000000009</v>
      </c>
      <c r="I72" s="4">
        <v>2.5000000000000001E-3</v>
      </c>
      <c r="J72" s="3">
        <f t="shared" si="3"/>
        <v>7.2774999999999999</v>
      </c>
      <c r="K72" s="3">
        <v>71.599999999999994</v>
      </c>
      <c r="L72" s="3">
        <v>0</v>
      </c>
      <c r="M72" s="3">
        <v>8.59</v>
      </c>
      <c r="N72" s="3">
        <v>19.809999999999999</v>
      </c>
      <c r="O72" s="3">
        <f t="shared" si="5"/>
        <v>100</v>
      </c>
      <c r="P72" s="3">
        <v>0</v>
      </c>
      <c r="Q72" s="3">
        <v>0</v>
      </c>
      <c r="R72" s="3"/>
      <c r="S72" s="3"/>
      <c r="T72" s="3"/>
      <c r="U72" s="3"/>
      <c r="V72" s="3">
        <f t="shared" si="4"/>
        <v>100</v>
      </c>
    </row>
    <row r="73" spans="1:22" x14ac:dyDescent="0.35">
      <c r="A73" s="1" t="s">
        <v>93</v>
      </c>
      <c r="B73" s="3">
        <v>5523.6963391110012</v>
      </c>
      <c r="C73" s="3">
        <v>1844.8361889881226</v>
      </c>
      <c r="D73" s="3">
        <v>1364.9944947685756</v>
      </c>
      <c r="E73" s="3">
        <v>1443.9398481555982</v>
      </c>
      <c r="F73" s="3">
        <v>7.3667554655325898</v>
      </c>
      <c r="G73" s="12">
        <v>0.05</v>
      </c>
      <c r="H73" s="12">
        <f t="shared" si="6"/>
        <v>68.249724738428782</v>
      </c>
      <c r="I73" s="4">
        <v>3.8E-3</v>
      </c>
      <c r="J73" s="3">
        <f t="shared" si="3"/>
        <v>7.3629554655325897</v>
      </c>
      <c r="K73" s="3">
        <f>0.73371801*100</f>
        <v>73.371801000000005</v>
      </c>
      <c r="L73" s="3">
        <f>0.01291585*100</f>
        <v>1.291585</v>
      </c>
      <c r="M73" s="3">
        <f>0.0353369013296293*100</f>
        <v>3.53369013296293</v>
      </c>
      <c r="N73" s="3">
        <f>0.21544853*100</f>
        <v>21.544853</v>
      </c>
      <c r="O73" s="3">
        <f t="shared" si="5"/>
        <v>99.741929132962937</v>
      </c>
      <c r="P73" s="3"/>
      <c r="Q73" s="3"/>
      <c r="R73" s="3"/>
      <c r="S73" s="3"/>
      <c r="T73" s="3"/>
      <c r="U73" s="3">
        <v>0.25806700000000005</v>
      </c>
      <c r="V73" s="3">
        <f t="shared" si="4"/>
        <v>99.999996132962934</v>
      </c>
    </row>
    <row r="74" spans="1:22" x14ac:dyDescent="0.35">
      <c r="A74" s="1" t="s">
        <v>94</v>
      </c>
      <c r="B74" s="3">
        <v>6270.4672670900027</v>
      </c>
      <c r="C74" s="3">
        <v>1912.7441592226562</v>
      </c>
      <c r="D74" s="3">
        <v>1442.9659083895751</v>
      </c>
      <c r="E74" s="3">
        <v>1518.6399835349321</v>
      </c>
      <c r="F74" s="3">
        <v>7.463577966002342</v>
      </c>
      <c r="G74" s="12">
        <v>0.05</v>
      </c>
      <c r="H74" s="12">
        <f t="shared" si="6"/>
        <v>72.148295419478757</v>
      </c>
      <c r="I74" s="4">
        <v>3.5000000000000001E-3</v>
      </c>
      <c r="J74" s="3">
        <f t="shared" si="3"/>
        <v>7.4600779660023422</v>
      </c>
      <c r="K74" s="3">
        <f>0.69736247*100</f>
        <v>69.736246999999992</v>
      </c>
      <c r="L74" s="3"/>
      <c r="M74" s="3">
        <f>0.014609406030998*100</f>
        <v>1.4609406030998</v>
      </c>
      <c r="N74" s="3">
        <f>0.28668805*100</f>
        <v>28.668805000000003</v>
      </c>
      <c r="O74" s="3">
        <f t="shared" si="5"/>
        <v>99.865992603099798</v>
      </c>
      <c r="P74" s="3"/>
      <c r="Q74" s="3"/>
      <c r="R74" s="3"/>
      <c r="S74" s="3"/>
      <c r="T74" s="3"/>
      <c r="U74" s="3">
        <v>0.13400499999999999</v>
      </c>
      <c r="V74" s="3">
        <f t="shared" si="4"/>
        <v>99.9999976030998</v>
      </c>
    </row>
    <row r="75" spans="1:22" x14ac:dyDescent="0.35">
      <c r="A75" s="1" t="s">
        <v>95</v>
      </c>
      <c r="B75" s="3">
        <v>35401.968549937992</v>
      </c>
      <c r="C75" s="3">
        <v>48.846903787236265</v>
      </c>
      <c r="D75" s="3">
        <v>43.964163594589152</v>
      </c>
      <c r="E75" s="3">
        <v>48.751391079452631</v>
      </c>
      <c r="F75" s="3">
        <v>7.0384305778313951</v>
      </c>
      <c r="G75" s="12">
        <v>0.05</v>
      </c>
      <c r="H75" s="12">
        <f t="shared" si="6"/>
        <v>2.1982081797294577</v>
      </c>
      <c r="I75" s="4">
        <v>2E-3</v>
      </c>
      <c r="J75" s="3">
        <f t="shared" si="3"/>
        <v>7.0364305778313954</v>
      </c>
      <c r="K75" s="3">
        <f>0.01608021*100</f>
        <v>1.6080210000000001</v>
      </c>
      <c r="L75" s="3">
        <f>0.75817322*100</f>
        <v>75.817322000000004</v>
      </c>
      <c r="M75" s="3">
        <f>-0.00215369037722998*100</f>
        <v>-0.21536903772299801</v>
      </c>
      <c r="N75" s="3">
        <f>0.21568907*100</f>
        <v>21.568906999999999</v>
      </c>
      <c r="O75" s="3">
        <f t="shared" si="5"/>
        <v>98.778880962277</v>
      </c>
      <c r="P75" s="3"/>
      <c r="Q75" s="3"/>
      <c r="R75" s="3"/>
      <c r="S75" s="3"/>
      <c r="T75" s="3"/>
      <c r="U75" s="3">
        <v>0.204455</v>
      </c>
      <c r="V75" s="3">
        <f t="shared" si="4"/>
        <v>98.983335962276996</v>
      </c>
    </row>
    <row r="76" spans="1:22" x14ac:dyDescent="0.35">
      <c r="A76" s="1" t="s">
        <v>96</v>
      </c>
      <c r="B76" s="3">
        <v>8331.0246091189965</v>
      </c>
      <c r="C76" s="3">
        <v>456.17298711240829</v>
      </c>
      <c r="D76" s="3">
        <v>336.18519887296964</v>
      </c>
      <c r="E76" s="3">
        <v>359.39512838801807</v>
      </c>
      <c r="F76" s="3">
        <v>7.6046760424796567</v>
      </c>
      <c r="G76" s="12">
        <v>0.05</v>
      </c>
      <c r="H76" s="12">
        <f t="shared" si="6"/>
        <v>16.809259943648481</v>
      </c>
      <c r="I76" s="4">
        <v>3.8E-3</v>
      </c>
      <c r="J76" s="3">
        <f t="shared" si="3"/>
        <v>7.6008760424796566</v>
      </c>
      <c r="K76" s="3">
        <f>0.41531729*100</f>
        <v>41.531728999999999</v>
      </c>
      <c r="L76" s="3">
        <f>0.26061315*100</f>
        <v>26.061315</v>
      </c>
      <c r="M76" s="3">
        <f>0.0176002251630014*100</f>
        <v>1.7600225163001402</v>
      </c>
      <c r="N76" s="3">
        <f>0.16402689*100</f>
        <v>16.402689000000002</v>
      </c>
      <c r="O76" s="3">
        <f t="shared" si="5"/>
        <v>85.755755516300127</v>
      </c>
      <c r="P76" s="3"/>
      <c r="Q76" s="3"/>
      <c r="R76" s="3"/>
      <c r="S76" s="3"/>
      <c r="T76" s="3"/>
      <c r="U76" s="3">
        <v>0.2163369999999997</v>
      </c>
      <c r="V76" s="3">
        <f t="shared" si="4"/>
        <v>85.972092516300123</v>
      </c>
    </row>
    <row r="77" spans="1:22" x14ac:dyDescent="0.35">
      <c r="A77" s="1" t="s">
        <v>97</v>
      </c>
      <c r="B77" s="3">
        <v>19069.539109441994</v>
      </c>
      <c r="C77" s="3">
        <v>182.06543519787047</v>
      </c>
      <c r="D77" s="3">
        <v>169.32337749549129</v>
      </c>
      <c r="E77" s="3">
        <v>181.93600148987929</v>
      </c>
      <c r="F77" s="3">
        <v>7.4028730562892715</v>
      </c>
      <c r="G77" s="12">
        <v>0.05</v>
      </c>
      <c r="H77" s="12">
        <f t="shared" si="6"/>
        <v>8.4661688747745654</v>
      </c>
      <c r="I77" s="4">
        <v>2.5999999999999999E-3</v>
      </c>
      <c r="J77" s="3">
        <f t="shared" si="3"/>
        <v>7.4002730562892713</v>
      </c>
      <c r="L77" s="3">
        <f>0.84145141*100</f>
        <v>84.145140999999995</v>
      </c>
      <c r="M77" s="3">
        <f>0.000790950651635458*100</f>
        <v>7.9095065163545794E-2</v>
      </c>
      <c r="N77" s="3">
        <f>0.15556894*100</f>
        <v>15.556894</v>
      </c>
      <c r="O77" s="3">
        <f t="shared" si="5"/>
        <v>99.781130065163538</v>
      </c>
      <c r="P77" s="3"/>
      <c r="Q77" s="3"/>
      <c r="R77" s="3"/>
      <c r="S77" s="3"/>
      <c r="T77" s="3"/>
      <c r="U77" s="3">
        <v>0.21887400000000001</v>
      </c>
      <c r="V77" s="3">
        <f t="shared" si="4"/>
        <v>100.00000406516354</v>
      </c>
    </row>
    <row r="78" spans="1:22" x14ac:dyDescent="0.35">
      <c r="A78" s="1" t="s">
        <v>98</v>
      </c>
      <c r="B78" s="3">
        <v>7662.8405256839978</v>
      </c>
      <c r="C78" s="3">
        <v>1320.1985446743897</v>
      </c>
      <c r="D78" s="3">
        <v>1029.1491651060335</v>
      </c>
      <c r="E78" s="3">
        <v>1083.3497718342032</v>
      </c>
      <c r="F78" s="3">
        <v>7.5770609108084406</v>
      </c>
      <c r="G78" s="12">
        <v>0.05</v>
      </c>
      <c r="H78" s="12">
        <f t="shared" si="6"/>
        <v>51.457458255301674</v>
      </c>
      <c r="I78" s="4">
        <v>3.8E-3</v>
      </c>
      <c r="J78" s="3">
        <f t="shared" si="3"/>
        <v>7.5732609108084405</v>
      </c>
      <c r="K78" s="3">
        <f>0.44584287*100</f>
        <v>44.584287000000003</v>
      </c>
      <c r="L78" s="3">
        <f>0.06413252*100</f>
        <v>6.413252</v>
      </c>
      <c r="M78" s="3">
        <f>0.019836535710422*100</f>
        <v>1.9836535710422001</v>
      </c>
      <c r="N78" s="3">
        <f>0.31980822*100</f>
        <v>31.980821999999996</v>
      </c>
      <c r="O78" s="3">
        <f t="shared" si="5"/>
        <v>84.962014571042204</v>
      </c>
      <c r="P78" s="3"/>
      <c r="Q78" s="3"/>
      <c r="R78" s="3"/>
      <c r="S78" s="3"/>
      <c r="T78" s="3"/>
      <c r="U78" s="3">
        <v>0.23276199999999939</v>
      </c>
      <c r="V78" s="3">
        <f t="shared" si="4"/>
        <v>85.194776571042198</v>
      </c>
    </row>
    <row r="79" spans="1:22" x14ac:dyDescent="0.35">
      <c r="V79" s="3">
        <f t="shared" si="4"/>
        <v>0</v>
      </c>
    </row>
    <row r="80" spans="1:22" x14ac:dyDescent="0.35">
      <c r="V80" s="3">
        <f t="shared" si="4"/>
        <v>0</v>
      </c>
    </row>
    <row r="81" spans="22:22" x14ac:dyDescent="0.35">
      <c r="V81" s="3">
        <f t="shared" si="4"/>
        <v>0</v>
      </c>
    </row>
    <row r="82" spans="22:22" x14ac:dyDescent="0.35">
      <c r="V82" s="3">
        <f t="shared" si="4"/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BOND DETAIL EXAMPLE</vt:lpstr>
      <vt:lpstr>Bond Valuation</vt:lpstr>
      <vt:lpstr>Quants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Sudheer Tiwari</dc:creator>
  <cp:lastModifiedBy>Shubham Upadhyay</cp:lastModifiedBy>
  <dcterms:created xsi:type="dcterms:W3CDTF">2024-11-25T09:37:04Z</dcterms:created>
  <dcterms:modified xsi:type="dcterms:W3CDTF">2025-04-01T15:17:54Z</dcterms:modified>
</cp:coreProperties>
</file>