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82959e5542f302/Desktop/CV/"/>
    </mc:Choice>
  </mc:AlternateContent>
  <xr:revisionPtr revIDLastSave="0" documentId="8_{52F6AD37-2655-4748-A062-0A308910220D}" xr6:coauthVersionLast="47" xr6:coauthVersionMax="47" xr10:uidLastSave="{00000000-0000-0000-0000-000000000000}"/>
  <bookViews>
    <workbookView xWindow="-108" yWindow="-108" windowWidth="23256" windowHeight="12456" xr2:uid="{396067A7-1A0C-4CF3-B7E8-4CCF3DDEEB42}"/>
  </bookViews>
  <sheets>
    <sheet name="WACC" sheetId="1" r:id="rId1"/>
    <sheet name="BETA" sheetId="4" r:id="rId2"/>
    <sheet name="BETA - comps " sheetId="5" r:id="rId3"/>
    <sheet name="rm" sheetId="6" r:id="rId4"/>
  </sheets>
  <definedNames>
    <definedName name="_xlnm._FilterDatabase" localSheetId="1" hidden="1">BETA!$B$6:$D$6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K41" i="1"/>
  <c r="K40" i="1"/>
  <c r="K38" i="1"/>
  <c r="K37" i="1"/>
  <c r="E23" i="1"/>
  <c r="K22" i="1"/>
  <c r="F10" i="6"/>
  <c r="F7" i="6"/>
  <c r="D36" i="1"/>
  <c r="C32" i="1"/>
  <c r="C31" i="1"/>
  <c r="E31" i="1"/>
  <c r="K29" i="1"/>
  <c r="I16" i="1"/>
  <c r="J16" i="1"/>
  <c r="K16" i="1"/>
  <c r="H16" i="1"/>
  <c r="J15" i="1"/>
  <c r="I15" i="1"/>
  <c r="H15" i="1"/>
  <c r="G15" i="1"/>
  <c r="K9" i="1"/>
  <c r="J9" i="1"/>
  <c r="I10" i="1"/>
  <c r="I11" i="1"/>
  <c r="I12" i="1"/>
  <c r="I13" i="1"/>
  <c r="I9" i="1"/>
  <c r="H12" i="1"/>
  <c r="H13" i="1"/>
  <c r="H9" i="1"/>
  <c r="F10" i="1"/>
  <c r="F11" i="1"/>
  <c r="F12" i="1"/>
  <c r="F13" i="1"/>
  <c r="F9" i="1"/>
  <c r="E9" i="1"/>
  <c r="E10" i="1"/>
  <c r="E11" i="1"/>
  <c r="E12" i="1"/>
  <c r="E13" i="1"/>
  <c r="B10" i="1"/>
  <c r="B11" i="1"/>
  <c r="B12" i="1"/>
  <c r="B13" i="1"/>
  <c r="B9" i="1"/>
  <c r="J14" i="4"/>
  <c r="J8" i="4"/>
  <c r="M10" i="4"/>
  <c r="M8" i="4" l="1"/>
  <c r="M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8" i="4"/>
  <c r="K31" i="1"/>
  <c r="C33" i="1"/>
  <c r="D31" i="1" s="1"/>
  <c r="G16" i="1"/>
  <c r="H10" i="1"/>
  <c r="K10" i="1" s="1"/>
  <c r="H11" i="1"/>
  <c r="K11" i="1" s="1"/>
  <c r="K12" i="1"/>
  <c r="K13" i="1"/>
  <c r="D33" i="1" l="1"/>
  <c r="E33" i="1" s="1"/>
  <c r="E32" i="1" s="1"/>
  <c r="E36" i="1" s="1"/>
  <c r="K30" i="1" s="1"/>
  <c r="D32" i="1"/>
  <c r="K15" i="1"/>
  <c r="K32" i="1" l="1"/>
  <c r="K23" i="1" s="1"/>
  <c r="K24" i="1" s="1"/>
</calcChain>
</file>

<file path=xl/sharedStrings.xml><?xml version="1.0" encoding="utf-8"?>
<sst xmlns="http://schemas.openxmlformats.org/spreadsheetml/2006/main" count="181" uniqueCount="170">
  <si>
    <t xml:space="preserve">Weighted average cost of capital </t>
  </si>
  <si>
    <t xml:space="preserve">All fig in INR else stated otherwise  </t>
  </si>
  <si>
    <t>peer compeition</t>
  </si>
  <si>
    <t>Name of the company</t>
  </si>
  <si>
    <t>Country</t>
  </si>
  <si>
    <t xml:space="preserve">total debt </t>
  </si>
  <si>
    <t>equity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</si>
  <si>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</si>
  <si>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</si>
  <si>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debt/</t>
  </si>
  <si>
    <t xml:space="preserve">captial </t>
  </si>
  <si>
    <t xml:space="preserve">Levered </t>
  </si>
  <si>
    <t xml:space="preserve">Unlevered 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</si>
  <si>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</si>
  <si>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</si>
  <si>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</si>
  <si>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Avg</t>
  </si>
  <si>
    <t xml:space="preserve">median </t>
  </si>
  <si>
    <t>Cost of Debt</t>
  </si>
  <si>
    <t>Pre-Tax cost of debt</t>
  </si>
  <si>
    <t xml:space="preserve">Tax rate </t>
  </si>
  <si>
    <t>post tax cost of debt</t>
  </si>
  <si>
    <t xml:space="preserve">Cost of Equity </t>
  </si>
  <si>
    <t xml:space="preserve">risk free rate </t>
  </si>
  <si>
    <t xml:space="preserve">Equity risk premium </t>
  </si>
  <si>
    <r>
      <t>Levered beta</t>
    </r>
    <r>
      <rPr>
        <vertAlign val="superscript"/>
        <sz val="11"/>
        <color theme="1"/>
        <rFont val="Calibri"/>
        <family val="2"/>
      </rPr>
      <t xml:space="preserve"> 4</t>
    </r>
  </si>
  <si>
    <t xml:space="preserve">Capital Structure </t>
  </si>
  <si>
    <t xml:space="preserve">current </t>
  </si>
  <si>
    <t xml:space="preserve">target </t>
  </si>
  <si>
    <t>total debt</t>
  </si>
  <si>
    <t xml:space="preserve">market capitalisation </t>
  </si>
  <si>
    <t xml:space="preserve">total capital </t>
  </si>
  <si>
    <t xml:space="preserve">levered beta </t>
  </si>
  <si>
    <t xml:space="preserve">Comps median Unlevered beta </t>
  </si>
  <si>
    <t xml:space="preserve">Target debt/equity </t>
  </si>
  <si>
    <t>tax</t>
  </si>
  <si>
    <t xml:space="preserve">debt/equity </t>
  </si>
  <si>
    <t xml:space="preserve">weighted average cost of capital </t>
  </si>
  <si>
    <t>Notes:</t>
  </si>
  <si>
    <t xml:space="preserve">1. Tax rate is considered as marginal rate for country </t>
  </si>
  <si>
    <t xml:space="preserve">2. Levered beta is based on 5 yr monthly data  </t>
  </si>
  <si>
    <t>3. Unlevered = Levered beta/(1+(1-tax rate)*debt/equity)</t>
  </si>
  <si>
    <t>3. levered = Unlevered beta*(1+(1-tax rate)*debt/equity)</t>
  </si>
  <si>
    <t>Date</t>
  </si>
  <si>
    <t>Closing Price</t>
  </si>
  <si>
    <t>2/22/2021</t>
  </si>
  <si>
    <t>3/15/2021</t>
  </si>
  <si>
    <t>3/22/2021</t>
  </si>
  <si>
    <t>3/29/2021</t>
  </si>
  <si>
    <t>4/19/2021</t>
  </si>
  <si>
    <t>4/26/2021</t>
  </si>
  <si>
    <t>5/17/2021</t>
  </si>
  <si>
    <t>5/24/2021</t>
  </si>
  <si>
    <t>5/31/2021</t>
  </si>
  <si>
    <t>6/14/2021</t>
  </si>
  <si>
    <t>6/21/2021</t>
  </si>
  <si>
    <t>6/28/2021</t>
  </si>
  <si>
    <t>7/19/2021</t>
  </si>
  <si>
    <t>7/26/2021</t>
  </si>
  <si>
    <t>8/16/2021</t>
  </si>
  <si>
    <t>8/23/2021</t>
  </si>
  <si>
    <t>8/30/2021</t>
  </si>
  <si>
    <t>9/13/2021</t>
  </si>
  <si>
    <t>9/20/2021</t>
  </si>
  <si>
    <t>9/27/2021</t>
  </si>
  <si>
    <t>10/18/2021</t>
  </si>
  <si>
    <t>10/25/2021</t>
  </si>
  <si>
    <t>11/15/2021</t>
  </si>
  <si>
    <t>11/22/2021</t>
  </si>
  <si>
    <t>11/29/2021</t>
  </si>
  <si>
    <t>12/13/2021</t>
  </si>
  <si>
    <t>12/20/2021</t>
  </si>
  <si>
    <t>12/27/2021</t>
  </si>
  <si>
    <t>1/17/2022</t>
  </si>
  <si>
    <t>1/24/2022</t>
  </si>
  <si>
    <t>1/31/2022</t>
  </si>
  <si>
    <t>2/14/2022</t>
  </si>
  <si>
    <t>2/21/2022</t>
  </si>
  <si>
    <t>2/28/2022</t>
  </si>
  <si>
    <t>3/14/2022</t>
  </si>
  <si>
    <t>3/21/2022</t>
  </si>
  <si>
    <t>3/28/2022</t>
  </si>
  <si>
    <t>4/18/2022</t>
  </si>
  <si>
    <t>4/25/2022</t>
  </si>
  <si>
    <t>5/16/2022</t>
  </si>
  <si>
    <t>5/23/2022</t>
  </si>
  <si>
    <t>5/30/2022</t>
  </si>
  <si>
    <t>6/13/2022</t>
  </si>
  <si>
    <t>6/20/2022</t>
  </si>
  <si>
    <t>6/27/2022</t>
  </si>
  <si>
    <t>7/18/2022</t>
  </si>
  <si>
    <t>7/25/2022</t>
  </si>
  <si>
    <t>8/15/2022</t>
  </si>
  <si>
    <t>8/22/2022</t>
  </si>
  <si>
    <t>8/29/2022</t>
  </si>
  <si>
    <t>9/19/2022</t>
  </si>
  <si>
    <t>9/26/2022</t>
  </si>
  <si>
    <t>10/17/2022</t>
  </si>
  <si>
    <t>10/24/2022</t>
  </si>
  <si>
    <t>10/31/2022</t>
  </si>
  <si>
    <t>11/14/2022</t>
  </si>
  <si>
    <t>11/21/2022</t>
  </si>
  <si>
    <t>11/28/2022</t>
  </si>
  <si>
    <t>12/19/2022</t>
  </si>
  <si>
    <t>12/26/2022</t>
  </si>
  <si>
    <t>1/16/2023</t>
  </si>
  <si>
    <t>1/23/2023</t>
  </si>
  <si>
    <t>1/30/2023</t>
  </si>
  <si>
    <t>2/13/2023</t>
  </si>
  <si>
    <t>2/20/2023</t>
  </si>
  <si>
    <t xml:space="preserve">Avenue supermart </t>
  </si>
  <si>
    <t xml:space="preserve"> Return </t>
  </si>
  <si>
    <t xml:space="preserve">Nifty </t>
  </si>
  <si>
    <t xml:space="preserve">Return </t>
  </si>
  <si>
    <t>REGRESSION BETA - 2 year weekly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</si>
  <si>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</si>
  <si>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</si>
  <si>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</si>
  <si>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</si>
  <si>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</si>
  <si>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</si>
  <si>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</si>
  <si>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</si>
  <si>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</si>
  <si>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</si>
  <si>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</si>
  <si>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</si>
  <si>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</si>
  <si>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</si>
  <si>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</si>
  <si>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</si>
  <si>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</si>
  <si>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</si>
  <si>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</si>
  <si>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</si>
  <si>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</si>
  <si>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</si>
  <si>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</si>
  <si>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</si>
  <si>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</si>
  <si>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beta drifting </t>
  </si>
  <si>
    <t>Levered Raw Beta</t>
  </si>
  <si>
    <t>Raw Beta Weight</t>
  </si>
  <si>
    <t xml:space="preserve">Market Beta </t>
  </si>
  <si>
    <t>Market Beta Weight</t>
  </si>
  <si>
    <t>Adjusted Beta</t>
  </si>
  <si>
    <r>
      <t xml:space="preserve">beta </t>
    </r>
    <r>
      <rPr>
        <vertAlign val="superscript"/>
        <sz val="11"/>
        <color theme="1"/>
        <rFont val="Calibri"/>
        <family val="2"/>
      </rPr>
      <t>1</t>
    </r>
  </si>
  <si>
    <t>S.No.</t>
  </si>
  <si>
    <t>Name</t>
  </si>
  <si>
    <t>CMP Rs.</t>
  </si>
  <si>
    <t>Debt Rs.Cr.</t>
  </si>
  <si>
    <t>Eq Cap Rs.Cr.</t>
  </si>
  <si>
    <t>Eternal Ltd</t>
  </si>
  <si>
    <t>Avenue Super.</t>
  </si>
  <si>
    <t>Trent</t>
  </si>
  <si>
    <t>Swiggy</t>
  </si>
  <si>
    <t>Info Edg.(India)</t>
  </si>
  <si>
    <t>Vishal Mega Mart</t>
  </si>
  <si>
    <t xml:space="preserve">Mar Cap Rs.Cr. </t>
  </si>
  <si>
    <t>Year</t>
  </si>
  <si>
    <t>Annual</t>
  </si>
  <si>
    <t xml:space="preserve">Return on markets </t>
  </si>
  <si>
    <t xml:space="preserve">avg return </t>
  </si>
  <si>
    <t xml:space="preserve">divident yield  </t>
  </si>
  <si>
    <t>total market return</t>
  </si>
  <si>
    <t xml:space="preserve">cost of equity </t>
  </si>
  <si>
    <t xml:space="preserve">equity weight </t>
  </si>
  <si>
    <t xml:space="preserve">cost of debt </t>
  </si>
  <si>
    <t xml:space="preserve">debt weight 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</si>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</sst>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14009]yyyy/mm/dd;@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sz val="11"/>
      <color rgb="FF0000FF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10" fontId="0" fillId="0" borderId="0" xfId="0" applyNumberFormat="1"/>
    <xf numFmtId="10" fontId="6" fillId="0" borderId="0" xfId="0" applyNumberFormat="1" applyFont="1" applyAlignment="1">
      <alignment horizontal="right" vertical="top" wrapText="1"/>
    </xf>
    <xf numFmtId="10" fontId="0" fillId="0" borderId="0" xfId="1" applyNumberFormat="1" applyFont="1"/>
    <xf numFmtId="10" fontId="0" fillId="3" borderId="0" xfId="1" applyNumberFormat="1" applyFont="1" applyFill="1"/>
    <xf numFmtId="2" fontId="0" fillId="0" borderId="0" xfId="0" applyNumberFormat="1"/>
    <xf numFmtId="2" fontId="0" fillId="3" borderId="0" xfId="0" applyNumberFormat="1" applyFill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9" fontId="0" fillId="0" borderId="0" xfId="0" applyNumberFormat="1"/>
    <xf numFmtId="0" fontId="0" fillId="0" borderId="3" xfId="0" applyBorder="1"/>
    <xf numFmtId="10" fontId="0" fillId="3" borderId="3" xfId="0" applyNumberFormat="1" applyFill="1" applyBorder="1"/>
    <xf numFmtId="0" fontId="2" fillId="0" borderId="2" xfId="0" applyFont="1" applyBorder="1" applyAlignment="1">
      <alignment horizontal="right"/>
    </xf>
    <xf numFmtId="10" fontId="7" fillId="0" borderId="0" xfId="0" applyNumberFormat="1" applyFont="1"/>
    <xf numFmtId="9" fontId="7" fillId="0" borderId="0" xfId="0" applyNumberFormat="1" applyFont="1"/>
    <xf numFmtId="0" fontId="2" fillId="0" borderId="2" xfId="0" applyFont="1" applyBorder="1"/>
    <xf numFmtId="0" fontId="0" fillId="0" borderId="4" xfId="0" applyBorder="1"/>
    <xf numFmtId="10" fontId="0" fillId="0" borderId="4" xfId="1" applyNumberFormat="1" applyFont="1" applyBorder="1"/>
    <xf numFmtId="10" fontId="0" fillId="0" borderId="4" xfId="0" applyNumberFormat="1" applyBorder="1"/>
    <xf numFmtId="10" fontId="0" fillId="3" borderId="0" xfId="0" applyNumberFormat="1" applyFill="1"/>
    <xf numFmtId="2" fontId="0" fillId="0" borderId="3" xfId="0" applyNumberFormat="1" applyBorder="1"/>
    <xf numFmtId="10" fontId="0" fillId="0" borderId="3" xfId="1" applyNumberFormat="1" applyFont="1" applyBorder="1"/>
    <xf numFmtId="0" fontId="2" fillId="0" borderId="0" xfId="0" applyFont="1"/>
    <xf numFmtId="0" fontId="8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10" fillId="0" borderId="0" xfId="0" applyFont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2" fillId="4" borderId="7" xfId="0" applyFont="1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10" xfId="0" applyFill="1" applyBorder="1"/>
    <xf numFmtId="4" fontId="0" fillId="0" borderId="0" xfId="0" applyNumberFormat="1"/>
    <xf numFmtId="0" fontId="9" fillId="5" borderId="0" xfId="0" applyFont="1" applyFill="1"/>
    <xf numFmtId="0" fontId="0" fillId="0" borderId="11" xfId="0" applyBorder="1"/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Continuous"/>
    </xf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left"/>
    </xf>
    <xf numFmtId="2" fontId="0" fillId="0" borderId="2" xfId="0" applyNumberFormat="1" applyBorder="1"/>
    <xf numFmtId="4" fontId="13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right" wrapText="1"/>
    </xf>
    <xf numFmtId="0" fontId="13" fillId="0" borderId="3" xfId="0" applyFont="1" applyBorder="1" applyAlignment="1">
      <alignment horizontal="right" wrapText="1"/>
    </xf>
    <xf numFmtId="10" fontId="13" fillId="0" borderId="0" xfId="0" applyNumberFormat="1" applyFont="1"/>
    <xf numFmtId="0" fontId="2" fillId="0" borderId="0" xfId="0" applyFont="1" applyAlignment="1">
      <alignment horizontal="left"/>
    </xf>
    <xf numFmtId="0" fontId="9" fillId="7" borderId="0" xfId="0" applyFont="1" applyFill="1"/>
    <xf numFmtId="0" fontId="12" fillId="7" borderId="0" xfId="0" applyFont="1" applyFill="1"/>
    <xf numFmtId="10" fontId="0" fillId="0" borderId="0" xfId="1" applyNumberFormat="1" applyFont="1" applyAlignment="1">
      <alignment horizontal="center"/>
    </xf>
    <xf numFmtId="10" fontId="14" fillId="0" borderId="0" xfId="0" applyNumberFormat="1" applyFont="1" applyAlignment="1">
      <alignment horizontal="right"/>
    </xf>
    <xf numFmtId="10" fontId="7" fillId="0" borderId="0" xfId="1" applyNumberFormat="1" applyFont="1"/>
    <xf numFmtId="10" fontId="0" fillId="0" borderId="0" xfId="1" applyNumberFormat="1" applyFont="1" applyBorder="1"/>
    <xf numFmtId="0" fontId="2" fillId="8" borderId="0" xfId="0" applyFont="1" applyFill="1"/>
    <xf numFmtId="10" fontId="2" fillId="8" borderId="0" xfId="0" applyNumberFormat="1" applyFont="1" applyFill="1"/>
    <xf numFmtId="0" fontId="3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D349D4-D70E-4E5D-94E7-D402BEA1D8B3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BE2A-63D7-45E5-B7BB-48826077D40B}">
  <dimension ref="B2:O43"/>
  <sheetViews>
    <sheetView showGridLines="0" tabSelected="1" topLeftCell="A28" zoomScale="105" zoomScaleNormal="115" workbookViewId="0">
      <selection activeCell="K47" sqref="K47"/>
    </sheetView>
  </sheetViews>
  <sheetFormatPr defaultRowHeight="14.4" x14ac:dyDescent="0.3"/>
  <cols>
    <col min="1" max="1" width="1.88671875" customWidth="1"/>
    <col min="2" max="2" width="26.77734375" customWidth="1"/>
    <col min="3" max="3" width="10.88671875" bestFit="1" customWidth="1"/>
    <col min="4" max="4" width="8" bestFit="1" customWidth="1"/>
    <col min="5" max="5" width="9.44140625" bestFit="1" customWidth="1"/>
    <col min="6" max="6" width="10.33203125" customWidth="1"/>
    <col min="7" max="7" width="8.88671875" customWidth="1"/>
    <col min="8" max="8" width="6" bestFit="1" customWidth="1"/>
    <col min="9" max="9" width="6.88671875" bestFit="1" customWidth="1"/>
    <col min="10" max="10" width="7.88671875" bestFit="1" customWidth="1"/>
    <col min="11" max="11" width="9.77734375" bestFit="1" customWidth="1"/>
    <col min="12" max="12" width="21.109375" bestFit="1" customWidth="1"/>
  </cols>
  <sheetData>
    <row r="2" spans="2:15" ht="18" x14ac:dyDescent="0.35">
      <c r="B2" s="66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4" spans="2:15" x14ac:dyDescent="0.3">
      <c r="B4" s="1" t="s">
        <v>1</v>
      </c>
    </row>
    <row r="6" spans="2:15" x14ac:dyDescent="0.3">
      <c r="B6" t="s">
        <v>2</v>
      </c>
    </row>
    <row r="7" spans="2:15" x14ac:dyDescent="0.3">
      <c r="B7" s="2"/>
      <c r="C7" s="2"/>
      <c r="D7" s="2"/>
      <c r="E7" s="2"/>
      <c r="F7" s="2"/>
      <c r="G7" s="2"/>
      <c r="H7" s="2" t="s">
        <v>9</v>
      </c>
      <c r="I7" s="2" t="s">
        <v>9</v>
      </c>
      <c r="J7" s="2" t="s">
        <v>11</v>
      </c>
      <c r="K7" s="2" t="s">
        <v>12</v>
      </c>
    </row>
    <row r="8" spans="2:15" ht="16.2" x14ac:dyDescent="0.3">
      <c r="B8" s="3" t="s">
        <v>3</v>
      </c>
      <c r="C8" s="3"/>
      <c r="D8" s="3" t="s">
        <v>4</v>
      </c>
      <c r="E8" s="3" t="s">
        <v>5</v>
      </c>
      <c r="F8" s="3" t="s">
        <v>7</v>
      </c>
      <c r="G8" s="3" t="s">
        <v>8</v>
      </c>
      <c r="H8" s="3" t="s">
        <v>6</v>
      </c>
      <c r="I8" s="3" t="s">
        <v>10</v>
      </c>
      <c r="J8" s="3" t="s">
        <v>13</v>
      </c>
      <c r="K8" s="3" t="s">
        <v>14</v>
      </c>
    </row>
    <row r="9" spans="2:15" x14ac:dyDescent="0.3">
      <c r="B9" s="4" t="str">
        <f>'BETA - comps '!D6</f>
        <v>Eternal Ltd</v>
      </c>
      <c r="C9" s="4"/>
      <c r="D9" s="5" t="s">
        <v>15</v>
      </c>
      <c r="E9" s="54">
        <f>'BETA - comps '!G6</f>
        <v>2045</v>
      </c>
      <c r="F9" s="54">
        <f>'BETA - comps '!F6</f>
        <v>304034.21999999997</v>
      </c>
      <c r="G9" s="8">
        <v>0.3</v>
      </c>
      <c r="H9" s="10">
        <f>E9/F9</f>
        <v>6.726216542335268E-3</v>
      </c>
      <c r="I9" s="10">
        <f>E9/(E9+F9)</f>
        <v>6.6812768276134533E-3</v>
      </c>
      <c r="J9" s="53">
        <f>BETA!M10</f>
        <v>1.2421252296486511</v>
      </c>
      <c r="K9" s="12">
        <f>J9/(1+(1-G9)*H9)</f>
        <v>1.2363042744650645</v>
      </c>
    </row>
    <row r="10" spans="2:15" x14ac:dyDescent="0.3">
      <c r="B10" s="4" t="str">
        <f>'BETA - comps '!D7</f>
        <v>Avenue Super.</v>
      </c>
      <c r="C10" s="4"/>
      <c r="D10" s="5" t="s">
        <v>15</v>
      </c>
      <c r="E10" s="54">
        <f>'BETA - comps '!G7</f>
        <v>819.62</v>
      </c>
      <c r="F10" s="54">
        <f>'BETA - comps '!F7</f>
        <v>297645.37</v>
      </c>
      <c r="G10" s="8">
        <v>0.3</v>
      </c>
      <c r="H10" s="10">
        <f t="shared" ref="H10:H11" si="0">E10/F10</f>
        <v>2.7536796557594699E-3</v>
      </c>
      <c r="I10" s="10">
        <f t="shared" ref="I10:I13" si="1">E10/(E10+F10)</f>
        <v>2.7461177272416443E-3</v>
      </c>
      <c r="J10" s="6">
        <v>0.86699999999999999</v>
      </c>
      <c r="K10" s="12">
        <f t="shared" ref="K10:K13" si="2">J10/(1+(1-G10)*H10)</f>
        <v>0.86533200699979307</v>
      </c>
    </row>
    <row r="11" spans="2:15" x14ac:dyDescent="0.3">
      <c r="B11" s="4" t="str">
        <f>'BETA - comps '!D8</f>
        <v>Trent</v>
      </c>
      <c r="C11" s="4"/>
      <c r="D11" s="5" t="s">
        <v>15</v>
      </c>
      <c r="E11" s="54">
        <f>'BETA - comps '!G8</f>
        <v>2237.19</v>
      </c>
      <c r="F11" s="54">
        <f>'BETA - comps '!F8</f>
        <v>199384.11</v>
      </c>
      <c r="G11" s="8">
        <v>0.3</v>
      </c>
      <c r="H11" s="10">
        <f t="shared" si="0"/>
        <v>1.1220502977895281E-2</v>
      </c>
      <c r="I11" s="10">
        <f t="shared" si="1"/>
        <v>1.1096000273780599E-2</v>
      </c>
      <c r="J11" s="6">
        <v>1.33</v>
      </c>
      <c r="K11" s="12">
        <f t="shared" si="2"/>
        <v>1.3196351211354949</v>
      </c>
    </row>
    <row r="12" spans="2:15" x14ac:dyDescent="0.3">
      <c r="B12" s="4" t="str">
        <f>'BETA - comps '!D9</f>
        <v>Swiggy</v>
      </c>
      <c r="C12" s="4"/>
      <c r="D12" s="5" t="s">
        <v>15</v>
      </c>
      <c r="E12" s="54">
        <f>'BETA - comps '!G9</f>
        <v>1702.95</v>
      </c>
      <c r="F12" s="54">
        <f>'BETA - comps '!F9</f>
        <v>99783.28</v>
      </c>
      <c r="G12" s="8">
        <v>0.3</v>
      </c>
      <c r="H12" s="10">
        <f>E12/F12</f>
        <v>1.706648648952009E-2</v>
      </c>
      <c r="I12" s="10">
        <f t="shared" si="1"/>
        <v>1.6780108986214189E-2</v>
      </c>
      <c r="J12" s="6">
        <v>1.78</v>
      </c>
      <c r="K12" s="12">
        <f t="shared" si="2"/>
        <v>1.7589862000471503</v>
      </c>
    </row>
    <row r="13" spans="2:15" x14ac:dyDescent="0.3">
      <c r="B13" s="4" t="str">
        <f>'BETA - comps '!D10</f>
        <v>Info Edg.(India)</v>
      </c>
      <c r="C13" s="4"/>
      <c r="D13" s="5" t="s">
        <v>15</v>
      </c>
      <c r="E13" s="54">
        <f>'BETA - comps '!G10</f>
        <v>267.33999999999997</v>
      </c>
      <c r="F13" s="54">
        <f>'BETA - comps '!F10</f>
        <v>88172.26</v>
      </c>
      <c r="G13" s="8">
        <v>0.3</v>
      </c>
      <c r="H13" s="10">
        <f>E13/F13</f>
        <v>3.032019367542581E-3</v>
      </c>
      <c r="I13" s="10">
        <f t="shared" si="1"/>
        <v>3.0228540156219614E-3</v>
      </c>
      <c r="J13" s="6">
        <v>1.4</v>
      </c>
      <c r="K13" s="12">
        <f t="shared" si="2"/>
        <v>1.3970349141581975</v>
      </c>
    </row>
    <row r="15" spans="2:15" x14ac:dyDescent="0.3">
      <c r="F15" s="2" t="s">
        <v>16</v>
      </c>
      <c r="G15" s="13">
        <f>AVERAGE(G9:G13)</f>
        <v>0.3</v>
      </c>
      <c r="H15" s="13">
        <f>AVERAGE(H9:H13)</f>
        <v>8.1597810066105381E-3</v>
      </c>
      <c r="I15" s="13">
        <f>AVERAGE(I9:I13)</f>
        <v>8.0652715660943682E-3</v>
      </c>
      <c r="J15" s="15">
        <f>AVERAGE(J9:J13)</f>
        <v>1.32382504592973</v>
      </c>
      <c r="K15" s="15">
        <f>AVERAGE(K9:K13)</f>
        <v>1.3154585033611401</v>
      </c>
    </row>
    <row r="16" spans="2:15" x14ac:dyDescent="0.3">
      <c r="F16" s="3" t="s">
        <v>17</v>
      </c>
      <c r="G16" s="14">
        <f>MEDIAN(G9:G13)</f>
        <v>0.3</v>
      </c>
      <c r="H16" s="14">
        <f>MEDIAN(H9:H13)</f>
        <v>6.726216542335268E-3</v>
      </c>
      <c r="I16" s="14">
        <f t="shared" ref="I16:K16" si="3">MEDIAN(I9:I13)</f>
        <v>6.6812768276134533E-3</v>
      </c>
      <c r="J16" s="52">
        <f t="shared" si="3"/>
        <v>1.33</v>
      </c>
      <c r="K16" s="52">
        <f t="shared" si="3"/>
        <v>1.3196351211354949</v>
      </c>
    </row>
    <row r="19" spans="2:11" x14ac:dyDescent="0.3">
      <c r="B19" s="3" t="s">
        <v>18</v>
      </c>
      <c r="C19" s="3"/>
      <c r="D19" s="3"/>
      <c r="E19" s="3"/>
      <c r="G19" s="22" t="s">
        <v>22</v>
      </c>
      <c r="H19" s="3"/>
      <c r="I19" s="3"/>
      <c r="J19" s="3"/>
      <c r="K19" s="3"/>
    </row>
    <row r="21" spans="2:11" x14ac:dyDescent="0.3">
      <c r="B21" t="s">
        <v>19</v>
      </c>
      <c r="E21" s="62">
        <v>2.31990231990232E-2</v>
      </c>
      <c r="G21" t="s">
        <v>23</v>
      </c>
      <c r="K21" s="20">
        <v>6.4299999999999996E-2</v>
      </c>
    </row>
    <row r="22" spans="2:11" x14ac:dyDescent="0.3">
      <c r="B22" t="s">
        <v>20</v>
      </c>
      <c r="E22" s="21">
        <v>0.3</v>
      </c>
      <c r="G22" t="s">
        <v>24</v>
      </c>
      <c r="K22" s="56">
        <f>rm!F10-WACC!K21</f>
        <v>0.10284799999999999</v>
      </c>
    </row>
    <row r="23" spans="2:11" ht="16.2" x14ac:dyDescent="0.3">
      <c r="B23" s="17" t="s">
        <v>21</v>
      </c>
      <c r="C23" s="17"/>
      <c r="D23" s="17"/>
      <c r="E23" s="18">
        <f>E21*(1-E22)</f>
        <v>1.6239316239316241E-2</v>
      </c>
      <c r="G23" t="s">
        <v>25</v>
      </c>
      <c r="K23" s="11">
        <f>K32</f>
        <v>1.3271459489354673</v>
      </c>
    </row>
    <row r="24" spans="2:11" x14ac:dyDescent="0.3">
      <c r="G24" s="17" t="s">
        <v>22</v>
      </c>
      <c r="H24" s="17"/>
      <c r="I24" s="17"/>
      <c r="J24" s="17"/>
      <c r="K24" s="28">
        <f>K21+K22*K23</f>
        <v>0.20079430655611494</v>
      </c>
    </row>
    <row r="27" spans="2:11" x14ac:dyDescent="0.3">
      <c r="B27" s="22" t="s">
        <v>26</v>
      </c>
      <c r="C27" s="3"/>
      <c r="D27" s="3"/>
      <c r="E27" s="3"/>
      <c r="G27" s="22" t="s">
        <v>32</v>
      </c>
      <c r="H27" s="3"/>
      <c r="I27" s="3"/>
      <c r="J27" s="3"/>
      <c r="K27" s="3"/>
    </row>
    <row r="29" spans="2:11" x14ac:dyDescent="0.3">
      <c r="D29" s="19" t="s">
        <v>27</v>
      </c>
      <c r="E29" s="19" t="s">
        <v>28</v>
      </c>
      <c r="G29" t="s">
        <v>33</v>
      </c>
      <c r="K29" s="11">
        <f>K16</f>
        <v>1.3196351211354949</v>
      </c>
    </row>
    <row r="30" spans="2:11" x14ac:dyDescent="0.3">
      <c r="G30" t="s">
        <v>34</v>
      </c>
      <c r="K30" s="7">
        <f>E36</f>
        <v>8.130849071922349E-3</v>
      </c>
    </row>
    <row r="31" spans="2:11" x14ac:dyDescent="0.3">
      <c r="B31" t="s">
        <v>29</v>
      </c>
      <c r="C31" s="54">
        <f>E10</f>
        <v>819.62</v>
      </c>
      <c r="D31" s="9">
        <f>C31/$C$33</f>
        <v>2.7461177272416443E-3</v>
      </c>
      <c r="E31" s="56">
        <f>I15</f>
        <v>8.0652715660943682E-3</v>
      </c>
      <c r="G31" t="s">
        <v>35</v>
      </c>
      <c r="K31" s="16">
        <f>E22</f>
        <v>0.3</v>
      </c>
    </row>
    <row r="32" spans="2:11" x14ac:dyDescent="0.3">
      <c r="B32" t="s">
        <v>30</v>
      </c>
      <c r="C32" s="54">
        <f>F10</f>
        <v>297645.37</v>
      </c>
      <c r="D32" s="9">
        <f t="shared" ref="D32:D33" si="4">C32/$C$33</f>
        <v>0.99725388227275835</v>
      </c>
      <c r="E32" s="7">
        <f>E33-E31</f>
        <v>0.99193472843390562</v>
      </c>
      <c r="G32" s="17" t="s">
        <v>32</v>
      </c>
      <c r="H32" s="17"/>
      <c r="I32" s="17"/>
      <c r="J32" s="17"/>
      <c r="K32" s="27">
        <f>K29*(1+(1-K31)*K30)</f>
        <v>1.3271459489354673</v>
      </c>
    </row>
    <row r="33" spans="2:11" x14ac:dyDescent="0.3">
      <c r="B33" s="23" t="s">
        <v>31</v>
      </c>
      <c r="C33" s="55">
        <f>SUM(C31:C32)</f>
        <v>298464.99</v>
      </c>
      <c r="D33" s="24">
        <f t="shared" si="4"/>
        <v>1</v>
      </c>
      <c r="E33" s="25">
        <f>D33</f>
        <v>1</v>
      </c>
    </row>
    <row r="35" spans="2:11" x14ac:dyDescent="0.3">
      <c r="G35" s="22" t="s">
        <v>37</v>
      </c>
      <c r="H35" s="3"/>
      <c r="I35" s="3"/>
      <c r="J35" s="3"/>
      <c r="K35" s="3"/>
    </row>
    <row r="36" spans="2:11" x14ac:dyDescent="0.3">
      <c r="C36" t="s">
        <v>36</v>
      </c>
      <c r="D36" s="26">
        <f>D31/D32</f>
        <v>2.7536796557594699E-3</v>
      </c>
      <c r="E36" s="26">
        <f>E31/E32</f>
        <v>8.130849071922349E-3</v>
      </c>
    </row>
    <row r="37" spans="2:11" x14ac:dyDescent="0.3">
      <c r="G37" t="s">
        <v>165</v>
      </c>
      <c r="J37" s="29"/>
      <c r="K37" s="7">
        <f>K24</f>
        <v>0.20079430655611494</v>
      </c>
    </row>
    <row r="38" spans="2:11" x14ac:dyDescent="0.3">
      <c r="G38" t="s">
        <v>166</v>
      </c>
      <c r="J38" s="7"/>
      <c r="K38" s="56">
        <f>E32</f>
        <v>0.99193472843390562</v>
      </c>
    </row>
    <row r="39" spans="2:11" x14ac:dyDescent="0.3">
      <c r="B39" s="30" t="s">
        <v>38</v>
      </c>
      <c r="J39" s="7"/>
      <c r="K39" s="20"/>
    </row>
    <row r="40" spans="2:11" x14ac:dyDescent="0.3">
      <c r="B40" s="30" t="s">
        <v>39</v>
      </c>
      <c r="G40" t="s">
        <v>167</v>
      </c>
      <c r="K40" s="63">
        <f>E23</f>
        <v>1.6239316239316241E-2</v>
      </c>
    </row>
    <row r="41" spans="2:11" x14ac:dyDescent="0.3">
      <c r="B41" s="30" t="s">
        <v>40</v>
      </c>
      <c r="G41" t="s">
        <v>168</v>
      </c>
      <c r="K41" s="7">
        <f>E31</f>
        <v>8.0652715660943682E-3</v>
      </c>
    </row>
    <row r="42" spans="2:11" x14ac:dyDescent="0.3">
      <c r="B42" s="30" t="s">
        <v>41</v>
      </c>
    </row>
    <row r="43" spans="2:11" x14ac:dyDescent="0.3">
      <c r="B43" s="30" t="s">
        <v>42</v>
      </c>
      <c r="G43" s="64" t="s">
        <v>169</v>
      </c>
      <c r="H43" s="64"/>
      <c r="I43" s="64"/>
      <c r="J43" s="64"/>
      <c r="K43" s="65">
        <f>(K37*K38)+(K40*K41)</f>
        <v>0.19930582044033204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8471-D04F-408F-8E70-9A01E7934043}">
  <dimension ref="B1:T111"/>
  <sheetViews>
    <sheetView showGridLines="0" topLeftCell="E1" zoomScale="119" workbookViewId="0">
      <selection activeCell="Q14" sqref="Q13:Q14"/>
    </sheetView>
  </sheetViews>
  <sheetFormatPr defaultRowHeight="14.4" x14ac:dyDescent="0.3"/>
  <cols>
    <col min="1" max="1" width="1.88671875" customWidth="1"/>
    <col min="2" max="2" width="16.88671875" bestFit="1" customWidth="1"/>
    <col min="3" max="3" width="11.33203125" bestFit="1" customWidth="1"/>
    <col min="4" max="4" width="9" bestFit="1" customWidth="1"/>
    <col min="6" max="6" width="11.77734375" bestFit="1" customWidth="1"/>
    <col min="7" max="7" width="9" bestFit="1" customWidth="1"/>
    <col min="9" max="9" width="19.44140625" customWidth="1"/>
    <col min="10" max="10" width="9" bestFit="1" customWidth="1"/>
    <col min="13" max="13" width="21.33203125" bestFit="1" customWidth="1"/>
    <col min="14" max="15" width="9" bestFit="1" customWidth="1"/>
    <col min="16" max="17" width="12.109375" bestFit="1" customWidth="1"/>
    <col min="18" max="20" width="9" bestFit="1" customWidth="1"/>
  </cols>
  <sheetData>
    <row r="1" spans="2:13" x14ac:dyDescent="0.3">
      <c r="B1" s="35"/>
      <c r="C1" s="36"/>
      <c r="D1" s="36"/>
      <c r="E1" s="36"/>
      <c r="F1" s="36"/>
      <c r="G1" s="36"/>
      <c r="H1" s="36"/>
      <c r="I1" s="37"/>
    </row>
    <row r="2" spans="2:13" x14ac:dyDescent="0.3">
      <c r="B2" s="38" t="s">
        <v>114</v>
      </c>
      <c r="C2" s="39"/>
      <c r="D2" s="39"/>
      <c r="E2" s="39"/>
      <c r="F2" s="39"/>
      <c r="G2" s="39"/>
      <c r="H2" s="39"/>
      <c r="I2" s="40"/>
    </row>
    <row r="3" spans="2:13" x14ac:dyDescent="0.3">
      <c r="B3" s="41"/>
      <c r="C3" s="42"/>
      <c r="D3" s="42"/>
      <c r="E3" s="42"/>
      <c r="F3" s="42"/>
      <c r="G3" s="42"/>
      <c r="H3" s="42"/>
      <c r="I3" s="43"/>
    </row>
    <row r="5" spans="2:13" s="29" customFormat="1" ht="15.6" x14ac:dyDescent="0.3">
      <c r="B5" s="34" t="s">
        <v>110</v>
      </c>
      <c r="F5" s="29" t="s">
        <v>112</v>
      </c>
    </row>
    <row r="6" spans="2:13" s="29" customFormat="1" x14ac:dyDescent="0.3">
      <c r="B6" s="45" t="s">
        <v>43</v>
      </c>
      <c r="C6" s="45" t="s">
        <v>44</v>
      </c>
      <c r="D6" s="45" t="s">
        <v>111</v>
      </c>
      <c r="F6" s="45" t="s">
        <v>44</v>
      </c>
      <c r="G6" s="45" t="s">
        <v>113</v>
      </c>
      <c r="I6" s="45" t="s">
        <v>140</v>
      </c>
      <c r="J6" s="45"/>
    </row>
    <row r="7" spans="2:13" ht="16.2" x14ac:dyDescent="0.3">
      <c r="B7" s="33" t="s">
        <v>45</v>
      </c>
      <c r="C7" s="32">
        <v>2994.2</v>
      </c>
      <c r="F7" s="44">
        <v>14529.2</v>
      </c>
      <c r="L7" t="s">
        <v>146</v>
      </c>
      <c r="M7" s="11">
        <f>SLOPE(D8:D111,G8:G111)</f>
        <v>1.2421252296486509</v>
      </c>
    </row>
    <row r="8" spans="2:13" ht="16.2" x14ac:dyDescent="0.3">
      <c r="B8" s="31">
        <v>44199</v>
      </c>
      <c r="C8" s="32">
        <v>3286.1</v>
      </c>
      <c r="D8" s="7">
        <f>C8/C7-1</f>
        <v>9.7488477723598921E-2</v>
      </c>
      <c r="F8" s="44">
        <v>14938.1</v>
      </c>
      <c r="G8" s="7">
        <f>F8/F7-1</f>
        <v>2.8143325165872923E-2</v>
      </c>
      <c r="I8" t="s">
        <v>141</v>
      </c>
      <c r="J8" s="11">
        <f>M10</f>
        <v>1.2421252296486511</v>
      </c>
      <c r="L8" t="s">
        <v>13</v>
      </c>
      <c r="M8" s="11">
        <f>_xlfn.COVARIANCE.S(D8:D111,G8:G111)/_xlfn.VAR.S(G8:G111)</f>
        <v>1.2421252296486505</v>
      </c>
    </row>
    <row r="9" spans="2:13" x14ac:dyDescent="0.3">
      <c r="B9" s="31">
        <v>44411</v>
      </c>
      <c r="C9" s="32">
        <v>3129.4</v>
      </c>
      <c r="D9" s="7">
        <f t="shared" ref="D9:D72" si="0">C9/C8-1</f>
        <v>-4.7685706460545929E-2</v>
      </c>
      <c r="F9" s="44">
        <v>15031</v>
      </c>
      <c r="G9" s="7">
        <f t="shared" ref="G9:G72" si="1">F9/F8-1</f>
        <v>6.2189970612058776E-3</v>
      </c>
      <c r="I9" t="s">
        <v>142</v>
      </c>
      <c r="J9" s="16">
        <v>0.75</v>
      </c>
    </row>
    <row r="10" spans="2:13" ht="16.2" x14ac:dyDescent="0.3">
      <c r="B10" s="31" t="s">
        <v>46</v>
      </c>
      <c r="C10" s="32">
        <v>2960.3</v>
      </c>
      <c r="D10" s="7">
        <f t="shared" si="0"/>
        <v>-5.4035917428260971E-2</v>
      </c>
      <c r="F10" s="44">
        <v>14744</v>
      </c>
      <c r="G10" s="7">
        <f t="shared" si="1"/>
        <v>-1.9093872663162759E-2</v>
      </c>
      <c r="L10" t="s">
        <v>14</v>
      </c>
      <c r="M10" s="11">
        <f>M30</f>
        <v>1.2421252296486511</v>
      </c>
    </row>
    <row r="11" spans="2:13" x14ac:dyDescent="0.3">
      <c r="B11" s="31" t="s">
        <v>47</v>
      </c>
      <c r="C11" s="32">
        <v>2855.2</v>
      </c>
      <c r="D11" s="7">
        <f t="shared" si="0"/>
        <v>-3.550315846366936E-2</v>
      </c>
      <c r="F11" s="44">
        <v>14507.3</v>
      </c>
      <c r="G11" s="7">
        <f t="shared" si="1"/>
        <v>-1.6053988062940894E-2</v>
      </c>
      <c r="I11" t="s">
        <v>143</v>
      </c>
      <c r="J11">
        <v>1</v>
      </c>
    </row>
    <row r="12" spans="2:13" x14ac:dyDescent="0.3">
      <c r="B12" s="31" t="s">
        <v>48</v>
      </c>
      <c r="C12" s="32">
        <v>2912.7</v>
      </c>
      <c r="D12" s="7">
        <f t="shared" si="0"/>
        <v>2.0138694312132221E-2</v>
      </c>
      <c r="F12" s="44">
        <v>14867.3</v>
      </c>
      <c r="G12" s="7">
        <f t="shared" si="1"/>
        <v>2.4815093091064444E-2</v>
      </c>
      <c r="I12" t="s">
        <v>144</v>
      </c>
      <c r="J12" s="16">
        <v>0.25</v>
      </c>
    </row>
    <row r="13" spans="2:13" x14ac:dyDescent="0.3">
      <c r="B13" s="31">
        <v>44320</v>
      </c>
      <c r="C13" s="32">
        <v>2947.8</v>
      </c>
      <c r="D13" s="7">
        <f t="shared" si="0"/>
        <v>1.2050674631784997E-2</v>
      </c>
      <c r="F13" s="44">
        <v>14834.8</v>
      </c>
      <c r="G13" s="7">
        <f t="shared" si="1"/>
        <v>-2.1860055289124602E-3</v>
      </c>
      <c r="L13" t="s">
        <v>115</v>
      </c>
    </row>
    <row r="14" spans="2:13" ht="15" thickBot="1" x14ac:dyDescent="0.35">
      <c r="B14" s="31">
        <v>44534</v>
      </c>
      <c r="C14" s="32">
        <v>2919.9</v>
      </c>
      <c r="D14" s="7">
        <f t="shared" si="0"/>
        <v>-9.4646855281905751E-3</v>
      </c>
      <c r="F14" s="44">
        <v>14617.8</v>
      </c>
      <c r="G14" s="7">
        <f t="shared" si="1"/>
        <v>-1.4627767142125325E-2</v>
      </c>
      <c r="I14" s="49" t="s">
        <v>145</v>
      </c>
      <c r="J14" s="50">
        <f>J8*J9+J11*J12</f>
        <v>1.1815939222364884</v>
      </c>
    </row>
    <row r="15" spans="2:13" x14ac:dyDescent="0.3">
      <c r="B15" s="31" t="s">
        <v>49</v>
      </c>
      <c r="C15" s="32">
        <v>2713.7</v>
      </c>
      <c r="D15" s="7">
        <f t="shared" si="0"/>
        <v>-7.0618856810164776E-2</v>
      </c>
      <c r="F15" s="44">
        <v>14341.3</v>
      </c>
      <c r="G15" s="7">
        <f t="shared" si="1"/>
        <v>-1.8915295051238901E-2</v>
      </c>
      <c r="L15" s="48" t="s">
        <v>116</v>
      </c>
      <c r="M15" s="48"/>
    </row>
    <row r="16" spans="2:13" x14ac:dyDescent="0.3">
      <c r="B16" s="31" t="s">
        <v>50</v>
      </c>
      <c r="C16" s="32">
        <v>2852.9</v>
      </c>
      <c r="D16" s="7">
        <f t="shared" si="0"/>
        <v>5.1295279507683311E-2</v>
      </c>
      <c r="F16" s="44">
        <v>14631.1</v>
      </c>
      <c r="G16" s="7">
        <f t="shared" si="1"/>
        <v>2.0207373111224225E-2</v>
      </c>
      <c r="L16" t="s">
        <v>117</v>
      </c>
      <c r="M16">
        <v>0.51109437804243274</v>
      </c>
    </row>
    <row r="17" spans="2:20" x14ac:dyDescent="0.3">
      <c r="B17" s="31">
        <v>44260</v>
      </c>
      <c r="C17" s="32">
        <v>2895.5</v>
      </c>
      <c r="D17" s="7">
        <f t="shared" si="0"/>
        <v>1.4932174278804E-2</v>
      </c>
      <c r="F17" s="44">
        <v>14823.2</v>
      </c>
      <c r="G17" s="7">
        <f t="shared" si="1"/>
        <v>1.3129566471420384E-2</v>
      </c>
      <c r="L17" t="s">
        <v>118</v>
      </c>
      <c r="M17">
        <v>0.26121746326658118</v>
      </c>
    </row>
    <row r="18" spans="2:20" x14ac:dyDescent="0.3">
      <c r="B18" s="31">
        <v>44474</v>
      </c>
      <c r="C18" s="32">
        <v>2844.6</v>
      </c>
      <c r="D18" s="7">
        <f t="shared" si="0"/>
        <v>-1.7579001899499236E-2</v>
      </c>
      <c r="F18" s="44">
        <v>14677.8</v>
      </c>
      <c r="G18" s="7">
        <f t="shared" si="1"/>
        <v>-9.8089481353554886E-3</v>
      </c>
      <c r="L18" t="s">
        <v>119</v>
      </c>
      <c r="M18">
        <v>0.25397449722017512</v>
      </c>
    </row>
    <row r="19" spans="2:20" x14ac:dyDescent="0.3">
      <c r="B19" s="31" t="s">
        <v>51</v>
      </c>
      <c r="C19" s="32">
        <v>3034.1</v>
      </c>
      <c r="D19" s="7">
        <f t="shared" si="0"/>
        <v>6.6617450608169815E-2</v>
      </c>
      <c r="F19" s="44">
        <v>15175.3</v>
      </c>
      <c r="G19" s="7">
        <f t="shared" si="1"/>
        <v>3.3894725367561884E-2</v>
      </c>
      <c r="L19" t="s">
        <v>120</v>
      </c>
      <c r="M19">
        <v>4.2284959614115471E-2</v>
      </c>
    </row>
    <row r="20" spans="2:20" ht="15" thickBot="1" x14ac:dyDescent="0.35">
      <c r="B20" s="31" t="s">
        <v>52</v>
      </c>
      <c r="C20" s="32">
        <v>3022.1</v>
      </c>
      <c r="D20" s="7">
        <f t="shared" si="0"/>
        <v>-3.9550443294551485E-3</v>
      </c>
      <c r="F20" s="44">
        <v>15435.7</v>
      </c>
      <c r="G20" s="7">
        <f t="shared" si="1"/>
        <v>1.7159463074865267E-2</v>
      </c>
      <c r="L20" s="46" t="s">
        <v>121</v>
      </c>
      <c r="M20" s="46">
        <v>104</v>
      </c>
    </row>
    <row r="21" spans="2:20" x14ac:dyDescent="0.3">
      <c r="B21" s="31" t="s">
        <v>53</v>
      </c>
      <c r="C21" s="32">
        <v>3197</v>
      </c>
      <c r="D21" s="7">
        <f t="shared" si="0"/>
        <v>5.7873664008470938E-2</v>
      </c>
      <c r="F21" s="44">
        <v>15670.3</v>
      </c>
      <c r="G21" s="7">
        <f t="shared" si="1"/>
        <v>1.5198533270275982E-2</v>
      </c>
    </row>
    <row r="22" spans="2:20" ht="15" thickBot="1" x14ac:dyDescent="0.35">
      <c r="B22" s="31">
        <v>44383</v>
      </c>
      <c r="C22" s="32">
        <v>3175.6</v>
      </c>
      <c r="D22" s="7">
        <f t="shared" si="0"/>
        <v>-6.693775414451042E-3</v>
      </c>
      <c r="F22" s="44">
        <v>15799.3</v>
      </c>
      <c r="G22" s="7">
        <f t="shared" si="1"/>
        <v>8.2321333988499834E-3</v>
      </c>
      <c r="L22" t="s">
        <v>122</v>
      </c>
    </row>
    <row r="23" spans="2:20" x14ac:dyDescent="0.3">
      <c r="B23" s="31" t="s">
        <v>54</v>
      </c>
      <c r="C23" s="32">
        <v>3317.7</v>
      </c>
      <c r="D23" s="7">
        <f t="shared" si="0"/>
        <v>4.4747449300919451E-2</v>
      </c>
      <c r="F23" s="44">
        <v>15683.3</v>
      </c>
      <c r="G23" s="7">
        <f t="shared" si="1"/>
        <v>-7.3420974346964929E-3</v>
      </c>
      <c r="L23" s="47"/>
      <c r="M23" s="47" t="s">
        <v>127</v>
      </c>
      <c r="N23" s="47" t="s">
        <v>128</v>
      </c>
      <c r="O23" s="47" t="s">
        <v>129</v>
      </c>
      <c r="P23" s="47" t="s">
        <v>130</v>
      </c>
      <c r="Q23" s="47" t="s">
        <v>131</v>
      </c>
    </row>
    <row r="24" spans="2:20" x14ac:dyDescent="0.3">
      <c r="B24" s="31" t="s">
        <v>55</v>
      </c>
      <c r="C24" s="32">
        <v>3315.4</v>
      </c>
      <c r="D24" s="7">
        <f t="shared" si="0"/>
        <v>-6.9325134882591843E-4</v>
      </c>
      <c r="F24" s="44">
        <v>15860.3</v>
      </c>
      <c r="G24" s="7">
        <f t="shared" si="1"/>
        <v>1.1285890086907724E-2</v>
      </c>
      <c r="L24" t="s">
        <v>123</v>
      </c>
      <c r="M24">
        <v>1</v>
      </c>
      <c r="N24">
        <v>6.4484835839098448E-2</v>
      </c>
      <c r="O24">
        <v>6.4484835839098448E-2</v>
      </c>
      <c r="P24">
        <v>36.064985199840379</v>
      </c>
      <c r="Q24">
        <v>2.9601287490140681E-8</v>
      </c>
    </row>
    <row r="25" spans="2:20" x14ac:dyDescent="0.3">
      <c r="B25" s="31" t="s">
        <v>56</v>
      </c>
      <c r="C25" s="32">
        <v>3314.3</v>
      </c>
      <c r="D25" s="7">
        <f t="shared" si="0"/>
        <v>-3.3178500331787486E-4</v>
      </c>
      <c r="F25" s="44">
        <v>15722.2</v>
      </c>
      <c r="G25" s="7">
        <f t="shared" si="1"/>
        <v>-8.7072753983215012E-3</v>
      </c>
      <c r="L25" t="s">
        <v>124</v>
      </c>
      <c r="M25">
        <v>102</v>
      </c>
      <c r="N25">
        <v>0.1823778165758724</v>
      </c>
      <c r="O25">
        <v>1.7880178095673765E-3</v>
      </c>
    </row>
    <row r="26" spans="2:20" ht="15" thickBot="1" x14ac:dyDescent="0.35">
      <c r="B26" s="31">
        <v>44323</v>
      </c>
      <c r="C26" s="32">
        <v>3377.6</v>
      </c>
      <c r="D26" s="7">
        <f t="shared" si="0"/>
        <v>1.9099055607518789E-2</v>
      </c>
      <c r="F26" s="44">
        <v>15689.8</v>
      </c>
      <c r="G26" s="7">
        <f t="shared" si="1"/>
        <v>-2.0607802979227818E-3</v>
      </c>
      <c r="L26" s="46" t="s">
        <v>125</v>
      </c>
      <c r="M26" s="46">
        <v>103</v>
      </c>
      <c r="N26" s="46">
        <v>0.24686265241497085</v>
      </c>
      <c r="O26" s="46"/>
      <c r="P26" s="46"/>
      <c r="Q26" s="46"/>
    </row>
    <row r="27" spans="2:20" ht="15" thickBot="1" x14ac:dyDescent="0.35">
      <c r="B27" s="31">
        <v>44537</v>
      </c>
      <c r="C27" s="32">
        <v>3349.2</v>
      </c>
      <c r="D27" s="7">
        <f t="shared" si="0"/>
        <v>-8.4083372809095058E-3</v>
      </c>
      <c r="F27" s="44">
        <v>15923.4</v>
      </c>
      <c r="G27" s="7">
        <f t="shared" si="1"/>
        <v>1.4888653775064098E-2</v>
      </c>
    </row>
    <row r="28" spans="2:20" x14ac:dyDescent="0.3">
      <c r="B28" s="31" t="s">
        <v>57</v>
      </c>
      <c r="C28" s="32">
        <v>3413.2</v>
      </c>
      <c r="D28" s="7">
        <f t="shared" si="0"/>
        <v>1.9109040965006541E-2</v>
      </c>
      <c r="F28" s="44">
        <v>15856</v>
      </c>
      <c r="G28" s="7">
        <f t="shared" si="1"/>
        <v>-4.2327643593704778E-3</v>
      </c>
      <c r="L28" s="47"/>
      <c r="M28" s="47" t="s">
        <v>132</v>
      </c>
      <c r="N28" s="47" t="s">
        <v>120</v>
      </c>
      <c r="O28" s="47" t="s">
        <v>133</v>
      </c>
      <c r="P28" s="47" t="s">
        <v>134</v>
      </c>
      <c r="Q28" s="47" t="s">
        <v>135</v>
      </c>
      <c r="R28" s="47" t="s">
        <v>136</v>
      </c>
      <c r="S28" s="47" t="s">
        <v>137</v>
      </c>
      <c r="T28" s="47" t="s">
        <v>138</v>
      </c>
    </row>
    <row r="29" spans="2:20" x14ac:dyDescent="0.3">
      <c r="B29" s="31" t="s">
        <v>58</v>
      </c>
      <c r="C29" s="32">
        <v>3500.8</v>
      </c>
      <c r="D29" s="7">
        <f t="shared" si="0"/>
        <v>2.5665065041603263E-2</v>
      </c>
      <c r="F29" s="44">
        <v>15763</v>
      </c>
      <c r="G29" s="7">
        <f t="shared" si="1"/>
        <v>-5.865287588294632E-3</v>
      </c>
      <c r="L29" t="s">
        <v>126</v>
      </c>
      <c r="M29">
        <v>1.0685559992921296E-4</v>
      </c>
      <c r="N29">
        <v>4.1708240440153583E-3</v>
      </c>
      <c r="O29">
        <v>2.5619781319362579E-2</v>
      </c>
      <c r="P29">
        <v>0.97961066430393151</v>
      </c>
      <c r="Q29">
        <v>-8.1659541156753109E-3</v>
      </c>
      <c r="R29">
        <v>8.3796653155337377E-3</v>
      </c>
      <c r="S29">
        <v>-8.1659541156753109E-3</v>
      </c>
      <c r="T29">
        <v>8.3796653155337377E-3</v>
      </c>
    </row>
    <row r="30" spans="2:20" ht="15" thickBot="1" x14ac:dyDescent="0.35">
      <c r="B30" s="31">
        <v>44235</v>
      </c>
      <c r="C30" s="32">
        <v>3529.2</v>
      </c>
      <c r="D30" s="7">
        <f t="shared" si="0"/>
        <v>8.1124314442411194E-3</v>
      </c>
      <c r="F30" s="44">
        <v>16238.2</v>
      </c>
      <c r="G30" s="7">
        <f t="shared" si="1"/>
        <v>3.0146545708304329E-2</v>
      </c>
      <c r="L30" s="46" t="s">
        <v>139</v>
      </c>
      <c r="M30" s="46">
        <v>1.2421252296486511</v>
      </c>
      <c r="N30" s="46">
        <v>0.20683427291066647</v>
      </c>
      <c r="O30" s="46">
        <v>6.0054129916135119</v>
      </c>
      <c r="P30" s="46">
        <v>2.9601287490141068E-8</v>
      </c>
      <c r="Q30" s="46">
        <v>0.83187043002204319</v>
      </c>
      <c r="R30" s="46">
        <v>1.6523800292752591</v>
      </c>
      <c r="S30" s="46">
        <v>0.83187043002204319</v>
      </c>
      <c r="T30" s="46">
        <v>1.6523800292752591</v>
      </c>
    </row>
    <row r="31" spans="2:20" x14ac:dyDescent="0.3">
      <c r="B31" s="31">
        <v>44447</v>
      </c>
      <c r="C31" s="32">
        <v>3594.6</v>
      </c>
      <c r="D31" s="7">
        <f t="shared" si="0"/>
        <v>1.8531111866711969E-2</v>
      </c>
      <c r="F31" s="44">
        <v>16529.099999999999</v>
      </c>
      <c r="G31" s="7">
        <f t="shared" si="1"/>
        <v>1.7914547178874418E-2</v>
      </c>
    </row>
    <row r="32" spans="2:20" x14ac:dyDescent="0.3">
      <c r="B32" s="31" t="s">
        <v>59</v>
      </c>
      <c r="C32" s="32">
        <v>3643.1</v>
      </c>
      <c r="D32" s="7">
        <f t="shared" si="0"/>
        <v>1.3492460913592685E-2</v>
      </c>
      <c r="F32" s="44">
        <v>16450.5</v>
      </c>
      <c r="G32" s="7">
        <f t="shared" si="1"/>
        <v>-4.7552498321141723E-3</v>
      </c>
    </row>
    <row r="33" spans="2:7" x14ac:dyDescent="0.3">
      <c r="B33" s="31" t="s">
        <v>60</v>
      </c>
      <c r="C33" s="32">
        <v>3833.1</v>
      </c>
      <c r="D33" s="7">
        <f t="shared" si="0"/>
        <v>5.2153385852707901E-2</v>
      </c>
      <c r="F33" s="44">
        <v>16705.2</v>
      </c>
      <c r="G33" s="7">
        <f t="shared" si="1"/>
        <v>1.5482812072581398E-2</v>
      </c>
    </row>
    <row r="34" spans="2:7" x14ac:dyDescent="0.3">
      <c r="B34" s="31" t="s">
        <v>61</v>
      </c>
      <c r="C34" s="32">
        <v>3938.9</v>
      </c>
      <c r="D34" s="7">
        <f t="shared" si="0"/>
        <v>2.7601680102267157E-2</v>
      </c>
      <c r="F34" s="44">
        <v>17323.599999999999</v>
      </c>
      <c r="G34" s="7">
        <f t="shared" si="1"/>
        <v>3.7018413428153929E-2</v>
      </c>
    </row>
    <row r="35" spans="2:7" x14ac:dyDescent="0.3">
      <c r="B35" s="31">
        <v>44356</v>
      </c>
      <c r="C35" s="32">
        <v>3950.5</v>
      </c>
      <c r="D35" s="7">
        <f t="shared" si="0"/>
        <v>2.9449846403817315E-3</v>
      </c>
      <c r="F35" s="44">
        <v>17369.3</v>
      </c>
      <c r="G35" s="7">
        <f t="shared" si="1"/>
        <v>2.6380198111246589E-3</v>
      </c>
    </row>
    <row r="36" spans="2:7" x14ac:dyDescent="0.3">
      <c r="B36" s="31" t="s">
        <v>62</v>
      </c>
      <c r="C36" s="32">
        <v>4239.6000000000004</v>
      </c>
      <c r="D36" s="7">
        <f t="shared" si="0"/>
        <v>7.3180610049360828E-2</v>
      </c>
      <c r="F36" s="44">
        <v>17585.2</v>
      </c>
      <c r="G36" s="7">
        <f t="shared" si="1"/>
        <v>1.2429977028435291E-2</v>
      </c>
    </row>
    <row r="37" spans="2:7" x14ac:dyDescent="0.3">
      <c r="B37" s="31" t="s">
        <v>63</v>
      </c>
      <c r="C37" s="32">
        <v>4422.3999999999996</v>
      </c>
      <c r="D37" s="7">
        <f t="shared" si="0"/>
        <v>4.3117275214642703E-2</v>
      </c>
      <c r="F37" s="44">
        <v>17853.2</v>
      </c>
      <c r="G37" s="7">
        <f t="shared" si="1"/>
        <v>1.5240088256033513E-2</v>
      </c>
    </row>
    <row r="38" spans="2:7" x14ac:dyDescent="0.3">
      <c r="B38" s="31" t="s">
        <v>64</v>
      </c>
      <c r="C38" s="32">
        <v>4235.6000000000004</v>
      </c>
      <c r="D38" s="7">
        <f t="shared" si="0"/>
        <v>-4.2239507959478839E-2</v>
      </c>
      <c r="F38" s="44">
        <v>17532.099999999999</v>
      </c>
      <c r="G38" s="7">
        <f t="shared" si="1"/>
        <v>-1.7985571214124252E-2</v>
      </c>
    </row>
    <row r="39" spans="2:7" x14ac:dyDescent="0.3">
      <c r="B39" s="31">
        <v>44296</v>
      </c>
      <c r="C39" s="32">
        <v>4408</v>
      </c>
      <c r="D39" s="7">
        <f t="shared" si="0"/>
        <v>4.0702615922183272E-2</v>
      </c>
      <c r="F39" s="44">
        <v>17895.2</v>
      </c>
      <c r="G39" s="7">
        <f t="shared" si="1"/>
        <v>2.0710582303318015E-2</v>
      </c>
    </row>
    <row r="40" spans="2:7" x14ac:dyDescent="0.3">
      <c r="B40" s="31">
        <v>44510</v>
      </c>
      <c r="C40" s="32">
        <v>5323.8</v>
      </c>
      <c r="D40" s="7">
        <f t="shared" si="0"/>
        <v>0.20775862068965512</v>
      </c>
      <c r="F40" s="44">
        <v>18338.599999999999</v>
      </c>
      <c r="G40" s="7">
        <f t="shared" si="1"/>
        <v>2.4777593991684776E-2</v>
      </c>
    </row>
    <row r="41" spans="2:7" x14ac:dyDescent="0.3">
      <c r="B41" s="31" t="s">
        <v>65</v>
      </c>
      <c r="C41" s="32">
        <v>4521.5</v>
      </c>
      <c r="D41" s="7">
        <f t="shared" si="0"/>
        <v>-0.15070062737142642</v>
      </c>
      <c r="F41" s="44">
        <v>18114.900000000001</v>
      </c>
      <c r="G41" s="7">
        <f t="shared" si="1"/>
        <v>-1.2198313938904692E-2</v>
      </c>
    </row>
    <row r="42" spans="2:7" x14ac:dyDescent="0.3">
      <c r="B42" s="31" t="s">
        <v>66</v>
      </c>
      <c r="C42" s="32">
        <v>4635.5</v>
      </c>
      <c r="D42" s="7">
        <f t="shared" si="0"/>
        <v>2.5212871834568107E-2</v>
      </c>
      <c r="F42" s="44">
        <v>17671.7</v>
      </c>
      <c r="G42" s="7">
        <f t="shared" si="1"/>
        <v>-2.4466047287039938E-2</v>
      </c>
    </row>
    <row r="43" spans="2:7" x14ac:dyDescent="0.3">
      <c r="B43" s="31">
        <v>44207</v>
      </c>
      <c r="C43" s="32">
        <v>4783.7</v>
      </c>
      <c r="D43" s="7">
        <f t="shared" si="0"/>
        <v>3.1970661201596418E-2</v>
      </c>
      <c r="F43" s="44">
        <v>17916.8</v>
      </c>
      <c r="G43" s="7">
        <f t="shared" si="1"/>
        <v>1.3869633368606138E-2</v>
      </c>
    </row>
    <row r="44" spans="2:7" x14ac:dyDescent="0.3">
      <c r="B44" s="31">
        <v>44419</v>
      </c>
      <c r="C44" s="32">
        <v>5078.5</v>
      </c>
      <c r="D44" s="7">
        <f t="shared" si="0"/>
        <v>6.1625938081401488E-2</v>
      </c>
      <c r="F44" s="44">
        <v>18102.8</v>
      </c>
      <c r="G44" s="7">
        <f t="shared" si="1"/>
        <v>1.0381318092516523E-2</v>
      </c>
    </row>
    <row r="45" spans="2:7" x14ac:dyDescent="0.3">
      <c r="B45" s="31" t="s">
        <v>67</v>
      </c>
      <c r="C45" s="32">
        <v>5080.8999999999996</v>
      </c>
      <c r="D45" s="7">
        <f t="shared" si="0"/>
        <v>4.7258048636411587E-4</v>
      </c>
      <c r="F45" s="44">
        <v>17764.8</v>
      </c>
      <c r="G45" s="7">
        <f t="shared" si="1"/>
        <v>-1.8671144795280314E-2</v>
      </c>
    </row>
    <row r="46" spans="2:7" x14ac:dyDescent="0.3">
      <c r="B46" s="31" t="s">
        <v>68</v>
      </c>
      <c r="C46" s="32">
        <v>4718.8</v>
      </c>
      <c r="D46" s="7">
        <f t="shared" si="0"/>
        <v>-7.1266901533192817E-2</v>
      </c>
      <c r="F46" s="44">
        <v>17026.400000000001</v>
      </c>
      <c r="G46" s="7">
        <f t="shared" si="1"/>
        <v>-4.1565342700170982E-2</v>
      </c>
    </row>
    <row r="47" spans="2:7" x14ac:dyDescent="0.3">
      <c r="B47" s="31" t="s">
        <v>69</v>
      </c>
      <c r="C47" s="32">
        <v>4799</v>
      </c>
      <c r="D47" s="7">
        <f t="shared" si="0"/>
        <v>1.6995846401627546E-2</v>
      </c>
      <c r="F47" s="44">
        <v>17196.7</v>
      </c>
      <c r="G47" s="7">
        <f t="shared" si="1"/>
        <v>1.0002114363576453E-2</v>
      </c>
    </row>
    <row r="48" spans="2:7" x14ac:dyDescent="0.3">
      <c r="B48" s="31">
        <v>44359</v>
      </c>
      <c r="C48" s="32">
        <v>4796.6000000000004</v>
      </c>
      <c r="D48" s="7">
        <f t="shared" si="0"/>
        <v>-5.00104188372541E-4</v>
      </c>
      <c r="F48" s="44">
        <v>17511.3</v>
      </c>
      <c r="G48" s="7">
        <f t="shared" si="1"/>
        <v>1.8294207609599322E-2</v>
      </c>
    </row>
    <row r="49" spans="2:7" x14ac:dyDescent="0.3">
      <c r="B49" s="31" t="s">
        <v>70</v>
      </c>
      <c r="C49" s="32">
        <v>4697.8</v>
      </c>
      <c r="D49" s="7">
        <f t="shared" si="0"/>
        <v>-2.0597923529166562E-2</v>
      </c>
      <c r="F49" s="44">
        <v>16985.2</v>
      </c>
      <c r="G49" s="7">
        <f t="shared" si="1"/>
        <v>-3.004345765305827E-2</v>
      </c>
    </row>
    <row r="50" spans="2:7" x14ac:dyDescent="0.3">
      <c r="B50" s="31" t="s">
        <v>71</v>
      </c>
      <c r="C50" s="32">
        <v>4628.8999999999996</v>
      </c>
      <c r="D50" s="7">
        <f t="shared" si="0"/>
        <v>-1.4666439610030335E-2</v>
      </c>
      <c r="F50" s="44">
        <v>17003.8</v>
      </c>
      <c r="G50" s="7">
        <f t="shared" si="1"/>
        <v>1.0950710029906663E-3</v>
      </c>
    </row>
    <row r="51" spans="2:7" x14ac:dyDescent="0.3">
      <c r="B51" s="31" t="s">
        <v>72</v>
      </c>
      <c r="C51" s="32">
        <v>4671.5</v>
      </c>
      <c r="D51" s="7">
        <f t="shared" si="0"/>
        <v>9.2030504007432068E-3</v>
      </c>
      <c r="F51" s="44">
        <v>17354.099999999999</v>
      </c>
      <c r="G51" s="7">
        <f t="shared" si="1"/>
        <v>2.0601277361530945E-2</v>
      </c>
    </row>
    <row r="52" spans="2:7" x14ac:dyDescent="0.3">
      <c r="B52" s="31">
        <v>44621</v>
      </c>
      <c r="C52" s="32">
        <v>4731.3999999999996</v>
      </c>
      <c r="D52" s="7">
        <f t="shared" si="0"/>
        <v>1.2822433907738295E-2</v>
      </c>
      <c r="F52" s="44">
        <v>17812.7</v>
      </c>
      <c r="G52" s="7">
        <f t="shared" si="1"/>
        <v>2.6426031888718171E-2</v>
      </c>
    </row>
    <row r="53" spans="2:7" x14ac:dyDescent="0.3">
      <c r="B53" s="31">
        <v>44835</v>
      </c>
      <c r="C53" s="32">
        <v>4322.7</v>
      </c>
      <c r="D53" s="7">
        <f t="shared" si="0"/>
        <v>-8.6380352538360738E-2</v>
      </c>
      <c r="F53" s="44">
        <v>18255.8</v>
      </c>
      <c r="G53" s="7">
        <f t="shared" si="1"/>
        <v>2.4875510169710235E-2</v>
      </c>
    </row>
    <row r="54" spans="2:7" x14ac:dyDescent="0.3">
      <c r="B54" s="31" t="s">
        <v>73</v>
      </c>
      <c r="C54" s="32">
        <v>4299.8</v>
      </c>
      <c r="D54" s="7">
        <f t="shared" si="0"/>
        <v>-5.2976149166029662E-3</v>
      </c>
      <c r="F54" s="44">
        <v>17617.2</v>
      </c>
      <c r="G54" s="7">
        <f t="shared" si="1"/>
        <v>-3.4980663679488044E-2</v>
      </c>
    </row>
    <row r="55" spans="2:7" x14ac:dyDescent="0.3">
      <c r="B55" s="31" t="s">
        <v>74</v>
      </c>
      <c r="C55" s="32">
        <v>4076</v>
      </c>
      <c r="D55" s="7">
        <f t="shared" si="0"/>
        <v>-5.2048932508488854E-2</v>
      </c>
      <c r="F55" s="44">
        <v>17101.900000000001</v>
      </c>
      <c r="G55" s="7">
        <f t="shared" si="1"/>
        <v>-2.9249824035601502E-2</v>
      </c>
    </row>
    <row r="56" spans="2:7" x14ac:dyDescent="0.3">
      <c r="B56" s="31" t="s">
        <v>75</v>
      </c>
      <c r="C56" s="32">
        <v>4081.9</v>
      </c>
      <c r="D56" s="7">
        <f t="shared" si="0"/>
        <v>1.4474975466143292E-3</v>
      </c>
      <c r="F56" s="44">
        <v>17516.3</v>
      </c>
      <c r="G56" s="7">
        <f t="shared" si="1"/>
        <v>2.4231225770235953E-2</v>
      </c>
    </row>
    <row r="57" spans="2:7" x14ac:dyDescent="0.3">
      <c r="B57" s="31">
        <v>44744</v>
      </c>
      <c r="C57" s="32">
        <v>4142.3</v>
      </c>
      <c r="D57" s="7">
        <f t="shared" si="0"/>
        <v>1.4797030794482913E-2</v>
      </c>
      <c r="F57" s="44">
        <v>17374.8</v>
      </c>
      <c r="G57" s="7">
        <f t="shared" si="1"/>
        <v>-8.0781900287161257E-3</v>
      </c>
    </row>
    <row r="58" spans="2:7" x14ac:dyDescent="0.3">
      <c r="B58" s="31" t="s">
        <v>76</v>
      </c>
      <c r="C58" s="32">
        <v>4073.1</v>
      </c>
      <c r="D58" s="7">
        <f t="shared" si="0"/>
        <v>-1.6705694903797474E-2</v>
      </c>
      <c r="F58" s="44">
        <v>17276.3</v>
      </c>
      <c r="G58" s="7">
        <f t="shared" si="1"/>
        <v>-5.6691300043741899E-3</v>
      </c>
    </row>
    <row r="59" spans="2:7" x14ac:dyDescent="0.3">
      <c r="B59" s="31" t="s">
        <v>77</v>
      </c>
      <c r="C59" s="32">
        <v>4190.8</v>
      </c>
      <c r="D59" s="7">
        <f t="shared" si="0"/>
        <v>2.8896908988240044E-2</v>
      </c>
      <c r="F59" s="44">
        <v>16658.400000000001</v>
      </c>
      <c r="G59" s="7">
        <f t="shared" si="1"/>
        <v>-3.5765760029635829E-2</v>
      </c>
    </row>
    <row r="60" spans="2:7" x14ac:dyDescent="0.3">
      <c r="B60" s="31" t="s">
        <v>78</v>
      </c>
      <c r="C60" s="32">
        <v>4110.2</v>
      </c>
      <c r="D60" s="7">
        <f t="shared" si="0"/>
        <v>-1.9232604753269156E-2</v>
      </c>
      <c r="F60" s="44">
        <v>16245.3</v>
      </c>
      <c r="G60" s="7">
        <f t="shared" si="1"/>
        <v>-2.4798299956778735E-2</v>
      </c>
    </row>
    <row r="61" spans="2:7" x14ac:dyDescent="0.3">
      <c r="B61" s="31">
        <v>44745</v>
      </c>
      <c r="C61" s="32">
        <v>4199</v>
      </c>
      <c r="D61" s="7">
        <f t="shared" si="0"/>
        <v>2.1604788088170901E-2</v>
      </c>
      <c r="F61" s="44">
        <v>16630.400000000001</v>
      </c>
      <c r="G61" s="7">
        <f t="shared" si="1"/>
        <v>2.3705317845777119E-2</v>
      </c>
    </row>
    <row r="62" spans="2:7" x14ac:dyDescent="0.3">
      <c r="B62" s="31" t="s">
        <v>79</v>
      </c>
      <c r="C62" s="32">
        <v>4192.8</v>
      </c>
      <c r="D62" s="7">
        <f t="shared" si="0"/>
        <v>-1.4765420338175295E-3</v>
      </c>
      <c r="F62" s="44">
        <v>17287.099999999999</v>
      </c>
      <c r="G62" s="7">
        <f t="shared" si="1"/>
        <v>3.9487925726380491E-2</v>
      </c>
    </row>
    <row r="63" spans="2:7" x14ac:dyDescent="0.3">
      <c r="B63" s="31" t="s">
        <v>80</v>
      </c>
      <c r="C63" s="32">
        <v>4001.3</v>
      </c>
      <c r="D63" s="7">
        <f t="shared" si="0"/>
        <v>-4.5673535584812019E-2</v>
      </c>
      <c r="F63" s="44">
        <v>17153</v>
      </c>
      <c r="G63" s="7">
        <f t="shared" si="1"/>
        <v>-7.7572293791323688E-3</v>
      </c>
    </row>
    <row r="64" spans="2:7" x14ac:dyDescent="0.3">
      <c r="B64" s="31" t="s">
        <v>81</v>
      </c>
      <c r="C64" s="32">
        <v>4082.2</v>
      </c>
      <c r="D64" s="7">
        <f t="shared" si="0"/>
        <v>2.0218429010571581E-2</v>
      </c>
      <c r="F64" s="44">
        <v>17670.400000000001</v>
      </c>
      <c r="G64" s="7">
        <f t="shared" si="1"/>
        <v>3.0163819739987163E-2</v>
      </c>
    </row>
    <row r="65" spans="2:7" x14ac:dyDescent="0.3">
      <c r="B65" s="31">
        <v>44655</v>
      </c>
      <c r="C65" s="32">
        <v>4146.3</v>
      </c>
      <c r="D65" s="7">
        <f t="shared" si="0"/>
        <v>1.5702317377884523E-2</v>
      </c>
      <c r="F65" s="44">
        <v>17784.3</v>
      </c>
      <c r="G65" s="7">
        <f t="shared" si="1"/>
        <v>6.4458076783773244E-3</v>
      </c>
    </row>
    <row r="66" spans="2:7" x14ac:dyDescent="0.3">
      <c r="B66" s="31">
        <v>44869</v>
      </c>
      <c r="C66" s="32">
        <v>4090.9</v>
      </c>
      <c r="D66" s="7">
        <f t="shared" si="0"/>
        <v>-1.3361310083689126E-2</v>
      </c>
      <c r="F66" s="44">
        <v>17475.7</v>
      </c>
      <c r="G66" s="7">
        <f t="shared" si="1"/>
        <v>-1.7352383844177033E-2</v>
      </c>
    </row>
    <row r="67" spans="2:7" x14ac:dyDescent="0.3">
      <c r="B67" s="31" t="s">
        <v>82</v>
      </c>
      <c r="C67" s="32">
        <v>4028.9</v>
      </c>
      <c r="D67" s="7">
        <f t="shared" si="0"/>
        <v>-1.5155589234642775E-2</v>
      </c>
      <c r="F67" s="44">
        <v>17171.900000000001</v>
      </c>
      <c r="G67" s="7">
        <f t="shared" si="1"/>
        <v>-1.7384139118890807E-2</v>
      </c>
    </row>
    <row r="68" spans="2:7" x14ac:dyDescent="0.3">
      <c r="B68" s="31" t="s">
        <v>83</v>
      </c>
      <c r="C68" s="32">
        <v>3944.3</v>
      </c>
      <c r="D68" s="7">
        <f t="shared" si="0"/>
        <v>-2.0998287373724778E-2</v>
      </c>
      <c r="F68" s="44">
        <v>17102.599999999999</v>
      </c>
      <c r="G68" s="7">
        <f t="shared" si="1"/>
        <v>-4.0356629144127076E-3</v>
      </c>
    </row>
    <row r="69" spans="2:7" x14ac:dyDescent="0.3">
      <c r="B69" s="31">
        <v>44597</v>
      </c>
      <c r="C69" s="32">
        <v>3666.2</v>
      </c>
      <c r="D69" s="7">
        <f t="shared" si="0"/>
        <v>-7.050680729153469E-2</v>
      </c>
      <c r="F69" s="44">
        <v>16411.3</v>
      </c>
      <c r="G69" s="7">
        <f t="shared" si="1"/>
        <v>-4.0420754739045495E-2</v>
      </c>
    </row>
    <row r="70" spans="2:7" x14ac:dyDescent="0.3">
      <c r="B70" s="31">
        <v>44809</v>
      </c>
      <c r="C70" s="32">
        <v>3230.6</v>
      </c>
      <c r="D70" s="7">
        <f t="shared" si="0"/>
        <v>-0.11881512192460852</v>
      </c>
      <c r="F70" s="44">
        <v>15782.2</v>
      </c>
      <c r="G70" s="7">
        <f t="shared" si="1"/>
        <v>-3.8333343488937466E-2</v>
      </c>
    </row>
    <row r="71" spans="2:7" x14ac:dyDescent="0.3">
      <c r="B71" s="31" t="s">
        <v>84</v>
      </c>
      <c r="C71" s="32">
        <v>3630.4</v>
      </c>
      <c r="D71" s="7">
        <f t="shared" si="0"/>
        <v>0.12375410140531184</v>
      </c>
      <c r="F71" s="44">
        <v>16266.2</v>
      </c>
      <c r="G71" s="7">
        <f t="shared" si="1"/>
        <v>3.0667460810279934E-2</v>
      </c>
    </row>
    <row r="72" spans="2:7" x14ac:dyDescent="0.3">
      <c r="B72" s="31" t="s">
        <v>85</v>
      </c>
      <c r="C72" s="32">
        <v>3613.9</v>
      </c>
      <c r="D72" s="7">
        <f t="shared" si="0"/>
        <v>-4.5449537241075699E-3</v>
      </c>
      <c r="F72" s="44">
        <v>16352.5</v>
      </c>
      <c r="G72" s="7">
        <f t="shared" si="1"/>
        <v>5.3054800752481146E-3</v>
      </c>
    </row>
    <row r="73" spans="2:7" x14ac:dyDescent="0.3">
      <c r="B73" s="31" t="s">
        <v>86</v>
      </c>
      <c r="C73" s="32">
        <v>3820.1</v>
      </c>
      <c r="D73" s="7">
        <f t="shared" ref="D73:D111" si="2">C73/C72-1</f>
        <v>5.7057472536594656E-2</v>
      </c>
      <c r="F73" s="44">
        <v>16584.3</v>
      </c>
      <c r="G73" s="7">
        <f t="shared" ref="G73:G111" si="3">F73/F72-1</f>
        <v>1.4175202568414536E-2</v>
      </c>
    </row>
    <row r="74" spans="2:7" x14ac:dyDescent="0.3">
      <c r="B74" s="31">
        <v>44718</v>
      </c>
      <c r="C74" s="32">
        <v>3755.6</v>
      </c>
      <c r="D74" s="7">
        <f t="shared" si="2"/>
        <v>-1.6884374754587594E-2</v>
      </c>
      <c r="F74" s="44">
        <v>16201.8</v>
      </c>
      <c r="G74" s="7">
        <f t="shared" si="3"/>
        <v>-2.3063982200032584E-2</v>
      </c>
    </row>
    <row r="75" spans="2:7" x14ac:dyDescent="0.3">
      <c r="B75" s="31" t="s">
        <v>87</v>
      </c>
      <c r="C75" s="32">
        <v>3460.6</v>
      </c>
      <c r="D75" s="7">
        <f t="shared" si="2"/>
        <v>-7.8549366279689004E-2</v>
      </c>
      <c r="F75" s="44">
        <v>15293.5</v>
      </c>
      <c r="G75" s="7">
        <f t="shared" si="3"/>
        <v>-5.6061672159883447E-2</v>
      </c>
    </row>
    <row r="76" spans="2:7" x14ac:dyDescent="0.3">
      <c r="B76" s="31" t="s">
        <v>88</v>
      </c>
      <c r="C76" s="32">
        <v>3412</v>
      </c>
      <c r="D76" s="7">
        <f t="shared" si="2"/>
        <v>-1.404380743223721E-2</v>
      </c>
      <c r="F76" s="44">
        <v>15699.3</v>
      </c>
      <c r="G76" s="7">
        <f t="shared" si="3"/>
        <v>2.6534148494458343E-2</v>
      </c>
    </row>
    <row r="77" spans="2:7" x14ac:dyDescent="0.3">
      <c r="B77" s="31" t="s">
        <v>89</v>
      </c>
      <c r="C77" s="32">
        <v>3388.8</v>
      </c>
      <c r="D77" s="7">
        <f t="shared" si="2"/>
        <v>-6.7995310668229614E-3</v>
      </c>
      <c r="F77" s="44">
        <v>15752</v>
      </c>
      <c r="G77" s="7">
        <f t="shared" si="3"/>
        <v>3.3568375660062433E-3</v>
      </c>
    </row>
    <row r="78" spans="2:7" x14ac:dyDescent="0.3">
      <c r="B78" s="31">
        <v>44658</v>
      </c>
      <c r="C78" s="32">
        <v>3941.7</v>
      </c>
      <c r="D78" s="7">
        <f t="shared" si="2"/>
        <v>0.16315509915014159</v>
      </c>
      <c r="F78" s="44">
        <v>16220.6</v>
      </c>
      <c r="G78" s="7">
        <f t="shared" si="3"/>
        <v>2.9748603351955394E-2</v>
      </c>
    </row>
    <row r="79" spans="2:7" x14ac:dyDescent="0.3">
      <c r="B79" s="31">
        <v>44872</v>
      </c>
      <c r="C79" s="32">
        <v>3926.8</v>
      </c>
      <c r="D79" s="7">
        <f t="shared" si="2"/>
        <v>-3.7800948829184167E-3</v>
      </c>
      <c r="F79" s="44">
        <v>16049.2</v>
      </c>
      <c r="G79" s="7">
        <f t="shared" si="3"/>
        <v>-1.0566810105668067E-2</v>
      </c>
    </row>
    <row r="80" spans="2:7" x14ac:dyDescent="0.3">
      <c r="B80" s="31" t="s">
        <v>90</v>
      </c>
      <c r="C80" s="32">
        <v>3963.4</v>
      </c>
      <c r="D80" s="7">
        <f t="shared" si="2"/>
        <v>9.3205663644697623E-3</v>
      </c>
      <c r="F80" s="44">
        <v>16719.400000000001</v>
      </c>
      <c r="G80" s="7">
        <f t="shared" si="3"/>
        <v>4.1759090795802978E-2</v>
      </c>
    </row>
    <row r="81" spans="2:7" x14ac:dyDescent="0.3">
      <c r="B81" s="31" t="s">
        <v>91</v>
      </c>
      <c r="C81" s="32">
        <v>4243.8999999999996</v>
      </c>
      <c r="D81" s="7">
        <f t="shared" si="2"/>
        <v>7.0772569006408492E-2</v>
      </c>
      <c r="F81" s="44">
        <v>17158.3</v>
      </c>
      <c r="G81" s="7">
        <f t="shared" si="3"/>
        <v>2.625094201945033E-2</v>
      </c>
    </row>
    <row r="82" spans="2:7" x14ac:dyDescent="0.3">
      <c r="B82" s="31">
        <v>44569</v>
      </c>
      <c r="C82" s="32">
        <v>4232.3</v>
      </c>
      <c r="D82" s="7">
        <f t="shared" si="2"/>
        <v>-2.7333349042153454E-3</v>
      </c>
      <c r="F82" s="44">
        <v>17397.5</v>
      </c>
      <c r="G82" s="7">
        <f t="shared" si="3"/>
        <v>1.3940775018504103E-2</v>
      </c>
    </row>
    <row r="83" spans="2:7" x14ac:dyDescent="0.3">
      <c r="B83" s="31">
        <v>44781</v>
      </c>
      <c r="C83" s="32">
        <v>4336.7</v>
      </c>
      <c r="D83" s="7">
        <f t="shared" si="2"/>
        <v>2.4667438508612305E-2</v>
      </c>
      <c r="F83" s="44">
        <v>17698.2</v>
      </c>
      <c r="G83" s="7">
        <f t="shared" si="3"/>
        <v>1.7284092542031892E-2</v>
      </c>
    </row>
    <row r="84" spans="2:7" x14ac:dyDescent="0.3">
      <c r="B84" s="31" t="s">
        <v>92</v>
      </c>
      <c r="C84" s="32">
        <v>4382</v>
      </c>
      <c r="D84" s="7">
        <f t="shared" si="2"/>
        <v>1.0445730624668581E-2</v>
      </c>
      <c r="F84" s="44">
        <v>17758.400000000001</v>
      </c>
      <c r="G84" s="7">
        <f t="shared" si="3"/>
        <v>3.4014758563019054E-3</v>
      </c>
    </row>
    <row r="85" spans="2:7" x14ac:dyDescent="0.3">
      <c r="B85" s="31" t="s">
        <v>93</v>
      </c>
      <c r="C85" s="32">
        <v>4409.6000000000004</v>
      </c>
      <c r="D85" s="7">
        <f t="shared" si="2"/>
        <v>6.2984938384300637E-3</v>
      </c>
      <c r="F85" s="44">
        <v>17558.900000000001</v>
      </c>
      <c r="G85" s="7">
        <f t="shared" si="3"/>
        <v>-1.1234120191008223E-2</v>
      </c>
    </row>
    <row r="86" spans="2:7" x14ac:dyDescent="0.3">
      <c r="B86" s="31" t="s">
        <v>94</v>
      </c>
      <c r="C86" s="32">
        <v>4576.8</v>
      </c>
      <c r="D86" s="7">
        <f t="shared" si="2"/>
        <v>3.7917271407837294E-2</v>
      </c>
      <c r="F86" s="44">
        <v>17539.400000000001</v>
      </c>
      <c r="G86" s="7">
        <f t="shared" si="3"/>
        <v>-1.1105479272619512E-3</v>
      </c>
    </row>
    <row r="87" spans="2:7" x14ac:dyDescent="0.3">
      <c r="B87" s="31">
        <v>44690</v>
      </c>
      <c r="C87" s="32">
        <v>4386.1000000000004</v>
      </c>
      <c r="D87" s="7">
        <f t="shared" si="2"/>
        <v>-4.166666666666663E-2</v>
      </c>
      <c r="F87" s="44">
        <v>17833.3</v>
      </c>
      <c r="G87" s="7">
        <f t="shared" si="3"/>
        <v>1.675655951742927E-2</v>
      </c>
    </row>
    <row r="88" spans="2:7" x14ac:dyDescent="0.3">
      <c r="B88" s="31">
        <v>44904</v>
      </c>
      <c r="C88" s="32">
        <v>4327.5</v>
      </c>
      <c r="D88" s="7">
        <f t="shared" si="2"/>
        <v>-1.3360388500034293E-2</v>
      </c>
      <c r="F88" s="44">
        <v>17530.8</v>
      </c>
      <c r="G88" s="7">
        <f t="shared" si="3"/>
        <v>-1.6962648528314972E-2</v>
      </c>
    </row>
    <row r="89" spans="2:7" x14ac:dyDescent="0.3">
      <c r="B89" s="31" t="s">
        <v>95</v>
      </c>
      <c r="C89" s="32">
        <v>4367</v>
      </c>
      <c r="D89" s="7">
        <f t="shared" si="2"/>
        <v>9.127671865973408E-3</v>
      </c>
      <c r="F89" s="44">
        <v>17327.3</v>
      </c>
      <c r="G89" s="7">
        <f t="shared" si="3"/>
        <v>-1.1608141100235003E-2</v>
      </c>
    </row>
    <row r="90" spans="2:7" x14ac:dyDescent="0.3">
      <c r="B90" s="31" t="s">
        <v>96</v>
      </c>
      <c r="C90" s="32">
        <v>4386.5</v>
      </c>
      <c r="D90" s="7">
        <f t="shared" si="2"/>
        <v>4.4653079917562621E-3</v>
      </c>
      <c r="F90" s="44">
        <v>17094.3</v>
      </c>
      <c r="G90" s="7">
        <f t="shared" si="3"/>
        <v>-1.3446988278612348E-2</v>
      </c>
    </row>
    <row r="91" spans="2:7" x14ac:dyDescent="0.3">
      <c r="B91" s="31">
        <v>44630</v>
      </c>
      <c r="C91" s="32">
        <v>4471.5</v>
      </c>
      <c r="D91" s="7">
        <f t="shared" si="2"/>
        <v>1.9377635928416792E-2</v>
      </c>
      <c r="F91" s="44">
        <v>17314.7</v>
      </c>
      <c r="G91" s="7">
        <f t="shared" si="3"/>
        <v>1.289318661776151E-2</v>
      </c>
    </row>
    <row r="92" spans="2:7" x14ac:dyDescent="0.3">
      <c r="B92" s="31">
        <v>44844</v>
      </c>
      <c r="C92" s="32">
        <v>4306.1000000000004</v>
      </c>
      <c r="D92" s="7">
        <f t="shared" si="2"/>
        <v>-3.6989824443698915E-2</v>
      </c>
      <c r="F92" s="44">
        <v>17185.7</v>
      </c>
      <c r="G92" s="7">
        <f t="shared" si="3"/>
        <v>-7.4503167828492423E-3</v>
      </c>
    </row>
    <row r="93" spans="2:7" x14ac:dyDescent="0.3">
      <c r="B93" s="31" t="s">
        <v>97</v>
      </c>
      <c r="C93" s="32">
        <v>4215.5</v>
      </c>
      <c r="D93" s="7">
        <f t="shared" si="2"/>
        <v>-2.103992011332767E-2</v>
      </c>
      <c r="F93" s="44">
        <v>17576.3</v>
      </c>
      <c r="G93" s="7">
        <f t="shared" si="3"/>
        <v>2.2728198444055048E-2</v>
      </c>
    </row>
    <row r="94" spans="2:7" x14ac:dyDescent="0.3">
      <c r="B94" s="31" t="s">
        <v>98</v>
      </c>
      <c r="C94" s="32">
        <v>4307.3999999999996</v>
      </c>
      <c r="D94" s="7">
        <f t="shared" si="2"/>
        <v>2.18004981615465E-2</v>
      </c>
      <c r="F94" s="44">
        <v>17786.8</v>
      </c>
      <c r="G94" s="7">
        <f t="shared" si="3"/>
        <v>1.1976354522851729E-2</v>
      </c>
    </row>
    <row r="95" spans="2:7" x14ac:dyDescent="0.3">
      <c r="B95" s="31" t="s">
        <v>99</v>
      </c>
      <c r="C95" s="32">
        <v>4167.3999999999996</v>
      </c>
      <c r="D95" s="7">
        <f t="shared" si="2"/>
        <v>-3.2502205506802273E-2</v>
      </c>
      <c r="F95" s="44">
        <v>18117.2</v>
      </c>
      <c r="G95" s="7">
        <f t="shared" si="3"/>
        <v>1.8575572896754933E-2</v>
      </c>
    </row>
    <row r="96" spans="2:7" x14ac:dyDescent="0.3">
      <c r="B96" s="31">
        <v>44753</v>
      </c>
      <c r="C96" s="32">
        <v>4128.3999999999996</v>
      </c>
      <c r="D96" s="7">
        <f t="shared" si="2"/>
        <v>-9.3583529298842949E-3</v>
      </c>
      <c r="F96" s="44">
        <v>18349.7</v>
      </c>
      <c r="G96" s="7">
        <f t="shared" si="3"/>
        <v>1.2833108868920196E-2</v>
      </c>
    </row>
    <row r="97" spans="2:7" x14ac:dyDescent="0.3">
      <c r="B97" s="31" t="s">
        <v>100</v>
      </c>
      <c r="C97" s="32">
        <v>3910.6</v>
      </c>
      <c r="D97" s="7">
        <f t="shared" si="2"/>
        <v>-5.2756515841488216E-2</v>
      </c>
      <c r="F97" s="44">
        <v>18307.7</v>
      </c>
      <c r="G97" s="7">
        <f t="shared" si="3"/>
        <v>-2.2888657580233396E-3</v>
      </c>
    </row>
    <row r="98" spans="2:7" x14ac:dyDescent="0.3">
      <c r="B98" s="31" t="s">
        <v>101</v>
      </c>
      <c r="C98" s="32">
        <v>3904.4</v>
      </c>
      <c r="D98" s="7">
        <f t="shared" si="2"/>
        <v>-1.5854344601851089E-3</v>
      </c>
      <c r="F98" s="44">
        <v>18512.8</v>
      </c>
      <c r="G98" s="7">
        <f t="shared" si="3"/>
        <v>1.1202936469354441E-2</v>
      </c>
    </row>
    <row r="99" spans="2:7" x14ac:dyDescent="0.3">
      <c r="B99" s="31" t="s">
        <v>102</v>
      </c>
      <c r="C99" s="32">
        <v>4005.8</v>
      </c>
      <c r="D99" s="7">
        <f t="shared" si="2"/>
        <v>2.5970699723389057E-2</v>
      </c>
      <c r="F99" s="44">
        <v>18696.099999999999</v>
      </c>
      <c r="G99" s="7">
        <f t="shared" si="3"/>
        <v>9.9012575083186061E-3</v>
      </c>
    </row>
    <row r="100" spans="2:7" x14ac:dyDescent="0.3">
      <c r="B100" s="31">
        <v>44693</v>
      </c>
      <c r="C100" s="32">
        <v>4002.4</v>
      </c>
      <c r="D100" s="7">
        <f t="shared" si="2"/>
        <v>-8.4876928453747613E-4</v>
      </c>
      <c r="F100" s="44">
        <v>18496.599999999999</v>
      </c>
      <c r="G100" s="7">
        <f t="shared" si="3"/>
        <v>-1.0670674632677457E-2</v>
      </c>
    </row>
    <row r="101" spans="2:7" x14ac:dyDescent="0.3">
      <c r="B101" s="31">
        <v>44907</v>
      </c>
      <c r="C101" s="32">
        <v>3990</v>
      </c>
      <c r="D101" s="7">
        <f t="shared" si="2"/>
        <v>-3.0981411153307992E-3</v>
      </c>
      <c r="F101" s="44">
        <v>18269</v>
      </c>
      <c r="G101" s="7">
        <f t="shared" si="3"/>
        <v>-1.2304964155574472E-2</v>
      </c>
    </row>
    <row r="102" spans="2:7" x14ac:dyDescent="0.3">
      <c r="B102" s="31" t="s">
        <v>103</v>
      </c>
      <c r="C102" s="32">
        <v>3875.6</v>
      </c>
      <c r="D102" s="7">
        <f t="shared" si="2"/>
        <v>-2.8671679197994959E-2</v>
      </c>
      <c r="F102" s="44">
        <v>17806.8</v>
      </c>
      <c r="G102" s="7">
        <f t="shared" si="3"/>
        <v>-2.5299687996058973E-2</v>
      </c>
    </row>
    <row r="103" spans="2:7" x14ac:dyDescent="0.3">
      <c r="B103" s="31" t="s">
        <v>104</v>
      </c>
      <c r="C103" s="32">
        <v>4068.8</v>
      </c>
      <c r="D103" s="7">
        <f t="shared" si="2"/>
        <v>4.9850345752915803E-2</v>
      </c>
      <c r="F103" s="44">
        <v>18105.3</v>
      </c>
      <c r="G103" s="7">
        <f t="shared" si="3"/>
        <v>1.6763258979715534E-2</v>
      </c>
    </row>
    <row r="104" spans="2:7" x14ac:dyDescent="0.3">
      <c r="B104" s="31">
        <v>44958</v>
      </c>
      <c r="C104" s="32">
        <v>3842.5</v>
      </c>
      <c r="D104" s="7">
        <f t="shared" si="2"/>
        <v>-5.5618364136846288E-2</v>
      </c>
      <c r="F104" s="44">
        <v>17859.400000000001</v>
      </c>
      <c r="G104" s="7">
        <f t="shared" si="3"/>
        <v>-1.3581658409415942E-2</v>
      </c>
    </row>
    <row r="105" spans="2:7" x14ac:dyDescent="0.3">
      <c r="B105" s="31">
        <v>45170</v>
      </c>
      <c r="C105" s="32">
        <v>3863.7</v>
      </c>
      <c r="D105" s="7">
        <f t="shared" si="2"/>
        <v>5.5172413793103114E-3</v>
      </c>
      <c r="F105" s="44">
        <v>17956.599999999999</v>
      </c>
      <c r="G105" s="7">
        <f t="shared" si="3"/>
        <v>5.4425120664747251E-3</v>
      </c>
    </row>
    <row r="106" spans="2:7" x14ac:dyDescent="0.3">
      <c r="B106" s="31" t="s">
        <v>105</v>
      </c>
      <c r="C106" s="32">
        <v>3513.8</v>
      </c>
      <c r="D106" s="7">
        <f t="shared" si="2"/>
        <v>-9.0560861350518884E-2</v>
      </c>
      <c r="F106" s="44">
        <v>18027.7</v>
      </c>
      <c r="G106" s="7">
        <f t="shared" si="3"/>
        <v>3.9595469075439649E-3</v>
      </c>
    </row>
    <row r="107" spans="2:7" x14ac:dyDescent="0.3">
      <c r="B107" s="31" t="s">
        <v>106</v>
      </c>
      <c r="C107" s="32">
        <v>3562.4</v>
      </c>
      <c r="D107" s="7">
        <f t="shared" si="2"/>
        <v>1.3831179919175707E-2</v>
      </c>
      <c r="F107" s="44">
        <v>17604.3</v>
      </c>
      <c r="G107" s="7">
        <f t="shared" si="3"/>
        <v>-2.3486079755043687E-2</v>
      </c>
    </row>
    <row r="108" spans="2:7" x14ac:dyDescent="0.3">
      <c r="B108" s="31" t="s">
        <v>107</v>
      </c>
      <c r="C108" s="32">
        <v>3470.4</v>
      </c>
      <c r="D108" s="7">
        <f t="shared" si="2"/>
        <v>-2.5825286323826635E-2</v>
      </c>
      <c r="F108" s="44">
        <v>17854.099999999999</v>
      </c>
      <c r="G108" s="7">
        <f t="shared" si="3"/>
        <v>1.4189715012809412E-2</v>
      </c>
    </row>
    <row r="109" spans="2:7" x14ac:dyDescent="0.3">
      <c r="B109" s="31">
        <v>45079</v>
      </c>
      <c r="C109" s="32">
        <v>3498.9</v>
      </c>
      <c r="D109" s="7">
        <f t="shared" si="2"/>
        <v>8.2123098201936084E-3</v>
      </c>
      <c r="F109" s="44">
        <v>17856.5</v>
      </c>
      <c r="G109" s="7">
        <f t="shared" si="3"/>
        <v>1.34422905663234E-4</v>
      </c>
    </row>
    <row r="110" spans="2:7" x14ac:dyDescent="0.3">
      <c r="B110" s="31" t="s">
        <v>108</v>
      </c>
      <c r="C110" s="32">
        <v>3545</v>
      </c>
      <c r="D110" s="7">
        <f t="shared" si="2"/>
        <v>1.3175569464688897E-2</v>
      </c>
      <c r="F110" s="44">
        <v>17944.2</v>
      </c>
      <c r="G110" s="7">
        <f t="shared" si="3"/>
        <v>4.9113768095652155E-3</v>
      </c>
    </row>
    <row r="111" spans="2:7" x14ac:dyDescent="0.3">
      <c r="B111" s="31" t="s">
        <v>109</v>
      </c>
      <c r="C111" s="32">
        <v>3552.9</v>
      </c>
      <c r="D111" s="7">
        <f t="shared" si="2"/>
        <v>2.2284908321579255E-3</v>
      </c>
      <c r="F111" s="44">
        <v>17844.599999999999</v>
      </c>
      <c r="G111" s="7">
        <f t="shared" si="3"/>
        <v>-5.5505400073562194E-3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7AB6-10CC-4C8A-962E-C1AADC107CA6}">
  <dimension ref="C5:H12"/>
  <sheetViews>
    <sheetView showGridLines="0" zoomScale="117" workbookViewId="0">
      <selection activeCell="G17" sqref="G17"/>
    </sheetView>
  </sheetViews>
  <sheetFormatPr defaultRowHeight="14.4" x14ac:dyDescent="0.3"/>
  <cols>
    <col min="1" max="1" width="1.88671875" customWidth="1"/>
    <col min="4" max="4" width="14.88671875" bestFit="1" customWidth="1"/>
    <col min="6" max="6" width="13.21875" bestFit="1" customWidth="1"/>
    <col min="7" max="7" width="11" bestFit="1" customWidth="1"/>
    <col min="8" max="8" width="11.77734375" bestFit="1" customWidth="1"/>
  </cols>
  <sheetData>
    <row r="5" spans="3:8" x14ac:dyDescent="0.3">
      <c r="C5" t="s">
        <v>147</v>
      </c>
      <c r="D5" t="s">
        <v>148</v>
      </c>
      <c r="E5" t="s">
        <v>149</v>
      </c>
      <c r="F5" t="s">
        <v>158</v>
      </c>
      <c r="G5" t="s">
        <v>150</v>
      </c>
      <c r="H5" t="s">
        <v>151</v>
      </c>
    </row>
    <row r="6" spans="3:8" x14ac:dyDescent="0.3">
      <c r="C6" s="51">
        <v>1</v>
      </c>
      <c r="D6" t="s">
        <v>152</v>
      </c>
      <c r="E6">
        <v>315.05</v>
      </c>
      <c r="F6">
        <v>304034.21999999997</v>
      </c>
      <c r="G6">
        <v>2045</v>
      </c>
      <c r="H6">
        <v>908</v>
      </c>
    </row>
    <row r="7" spans="3:8" x14ac:dyDescent="0.3">
      <c r="C7" s="51">
        <v>2</v>
      </c>
      <c r="D7" t="s">
        <v>153</v>
      </c>
      <c r="E7">
        <v>4574</v>
      </c>
      <c r="F7">
        <v>297645.37</v>
      </c>
      <c r="G7">
        <v>819.62</v>
      </c>
      <c r="H7">
        <v>650.73</v>
      </c>
    </row>
    <row r="8" spans="3:8" x14ac:dyDescent="0.3">
      <c r="C8" s="51">
        <v>3</v>
      </c>
      <c r="D8" t="s">
        <v>154</v>
      </c>
      <c r="E8">
        <v>5608.75</v>
      </c>
      <c r="F8">
        <v>199384.11</v>
      </c>
      <c r="G8">
        <v>2237.19</v>
      </c>
      <c r="H8">
        <v>35.549999999999997</v>
      </c>
    </row>
    <row r="9" spans="3:8" x14ac:dyDescent="0.3">
      <c r="C9" s="51">
        <v>4</v>
      </c>
      <c r="D9" t="s">
        <v>155</v>
      </c>
      <c r="E9">
        <v>400.15</v>
      </c>
      <c r="F9">
        <v>99783.28</v>
      </c>
      <c r="G9">
        <v>1702.95</v>
      </c>
      <c r="H9">
        <v>230</v>
      </c>
    </row>
    <row r="10" spans="3:8" x14ac:dyDescent="0.3">
      <c r="C10" s="51">
        <v>5</v>
      </c>
      <c r="D10" t="s">
        <v>156</v>
      </c>
      <c r="E10">
        <v>1360.85</v>
      </c>
      <c r="F10">
        <v>88172.26</v>
      </c>
      <c r="G10">
        <v>267.33999999999997</v>
      </c>
      <c r="H10">
        <v>129.58000000000001</v>
      </c>
    </row>
    <row r="11" spans="3:8" x14ac:dyDescent="0.3">
      <c r="C11" s="51">
        <v>6</v>
      </c>
      <c r="D11" t="s">
        <v>157</v>
      </c>
      <c r="E11">
        <v>149.25</v>
      </c>
      <c r="F11">
        <v>69570.899999999994</v>
      </c>
      <c r="G11">
        <v>1729.38</v>
      </c>
      <c r="H11">
        <v>4661.37</v>
      </c>
    </row>
    <row r="12" spans="3:8" x14ac:dyDescent="0.3">
      <c r="C12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39A8-98E5-4A4B-A5E8-1A2980E56ED0}">
  <dimension ref="B3:F31"/>
  <sheetViews>
    <sheetView showGridLines="0" workbookViewId="0">
      <selection activeCell="F10" sqref="F10"/>
    </sheetView>
  </sheetViews>
  <sheetFormatPr defaultRowHeight="14.4" x14ac:dyDescent="0.3"/>
  <cols>
    <col min="1" max="1" width="1.88671875" customWidth="1"/>
    <col min="5" max="5" width="16.6640625" bestFit="1" customWidth="1"/>
  </cols>
  <sheetData>
    <row r="3" spans="2:6" x14ac:dyDescent="0.3">
      <c r="B3" s="58" t="s">
        <v>161</v>
      </c>
      <c r="C3" s="59"/>
    </row>
    <row r="5" spans="2:6" x14ac:dyDescent="0.3">
      <c r="B5" s="57" t="s">
        <v>159</v>
      </c>
      <c r="C5" s="29" t="s">
        <v>160</v>
      </c>
    </row>
    <row r="6" spans="2:6" x14ac:dyDescent="0.3">
      <c r="B6" s="51">
        <v>2000</v>
      </c>
      <c r="C6" s="60">
        <v>-0.14649999999999999</v>
      </c>
    </row>
    <row r="7" spans="2:6" x14ac:dyDescent="0.3">
      <c r="B7" s="51">
        <v>2001</v>
      </c>
      <c r="C7" s="60">
        <v>-0.1618</v>
      </c>
      <c r="E7" t="s">
        <v>162</v>
      </c>
      <c r="F7" s="7">
        <f>AVERAGE(C6:C30)</f>
        <v>0.15334799999999998</v>
      </c>
    </row>
    <row r="8" spans="2:6" x14ac:dyDescent="0.3">
      <c r="B8" s="51">
        <v>2002</v>
      </c>
      <c r="C8" s="60">
        <v>3.2500000000000001E-2</v>
      </c>
      <c r="E8" t="s">
        <v>163</v>
      </c>
      <c r="F8" s="61">
        <v>1.38E-2</v>
      </c>
    </row>
    <row r="9" spans="2:6" x14ac:dyDescent="0.3">
      <c r="B9" s="51">
        <v>2003</v>
      </c>
      <c r="C9" s="60">
        <v>0.71900000000000008</v>
      </c>
    </row>
    <row r="10" spans="2:6" x14ac:dyDescent="0.3">
      <c r="B10" s="51">
        <v>2004</v>
      </c>
      <c r="C10" s="60">
        <v>0.10679999999999999</v>
      </c>
      <c r="E10" t="s">
        <v>164</v>
      </c>
      <c r="F10" s="7">
        <f>SUM(F7:F8)</f>
        <v>0.16714799999999999</v>
      </c>
    </row>
    <row r="11" spans="2:6" x14ac:dyDescent="0.3">
      <c r="B11" s="51">
        <v>2005</v>
      </c>
      <c r="C11" s="60">
        <v>0.36340000000000006</v>
      </c>
    </row>
    <row r="12" spans="2:6" x14ac:dyDescent="0.3">
      <c r="B12" s="51">
        <v>2006</v>
      </c>
      <c r="C12" s="60">
        <v>0.39829999999999999</v>
      </c>
    </row>
    <row r="13" spans="2:6" x14ac:dyDescent="0.3">
      <c r="B13" s="51">
        <v>2007</v>
      </c>
      <c r="C13" s="60">
        <v>0.54770000000000008</v>
      </c>
    </row>
    <row r="14" spans="2:6" x14ac:dyDescent="0.3">
      <c r="B14" s="51">
        <v>2008</v>
      </c>
      <c r="C14" s="60">
        <v>-0.51790000000000003</v>
      </c>
    </row>
    <row r="15" spans="2:6" x14ac:dyDescent="0.3">
      <c r="B15" s="51">
        <v>2009</v>
      </c>
      <c r="C15" s="60">
        <v>0.75760000000000005</v>
      </c>
    </row>
    <row r="16" spans="2:6" x14ac:dyDescent="0.3">
      <c r="B16" s="51">
        <v>2010</v>
      </c>
      <c r="C16" s="60">
        <v>0.17949999999999999</v>
      </c>
    </row>
    <row r="17" spans="2:3" x14ac:dyDescent="0.3">
      <c r="B17" s="51">
        <v>2011</v>
      </c>
      <c r="C17" s="60">
        <v>-0.2462</v>
      </c>
    </row>
    <row r="18" spans="2:3" x14ac:dyDescent="0.3">
      <c r="B18" s="51">
        <v>2012</v>
      </c>
      <c r="C18" s="60">
        <v>0.27699999999999997</v>
      </c>
    </row>
    <row r="19" spans="2:3" x14ac:dyDescent="0.3">
      <c r="B19" s="51">
        <v>2013</v>
      </c>
      <c r="C19" s="60">
        <v>6.7599999999999993E-2</v>
      </c>
    </row>
    <row r="20" spans="2:3" x14ac:dyDescent="0.3">
      <c r="B20" s="51">
        <v>2014</v>
      </c>
      <c r="C20" s="60">
        <v>0.31390000000000001</v>
      </c>
    </row>
    <row r="21" spans="2:3" x14ac:dyDescent="0.3">
      <c r="B21" s="51">
        <v>2015</v>
      </c>
      <c r="C21" s="60">
        <v>-4.0599999999999997E-2</v>
      </c>
    </row>
    <row r="22" spans="2:3" x14ac:dyDescent="0.3">
      <c r="B22" s="51">
        <v>2016</v>
      </c>
      <c r="C22" s="60">
        <v>3.0099999999999998E-2</v>
      </c>
    </row>
    <row r="23" spans="2:3" x14ac:dyDescent="0.3">
      <c r="B23" s="51">
        <v>2017</v>
      </c>
      <c r="C23" s="60">
        <v>0.28649999999999998</v>
      </c>
    </row>
    <row r="24" spans="2:3" x14ac:dyDescent="0.3">
      <c r="B24" s="51">
        <v>2018</v>
      </c>
      <c r="C24" s="60">
        <v>3.15E-2</v>
      </c>
    </row>
    <row r="25" spans="2:3" x14ac:dyDescent="0.3">
      <c r="B25" s="51">
        <v>2019</v>
      </c>
      <c r="C25" s="60">
        <v>0.1202</v>
      </c>
    </row>
    <row r="26" spans="2:3" x14ac:dyDescent="0.3">
      <c r="B26" s="51">
        <v>2020</v>
      </c>
      <c r="C26" s="60">
        <v>0.14899999999999999</v>
      </c>
    </row>
    <row r="27" spans="2:3" x14ac:dyDescent="0.3">
      <c r="B27" s="51">
        <v>2021</v>
      </c>
      <c r="C27" s="60">
        <v>0.2412</v>
      </c>
    </row>
    <row r="28" spans="2:3" x14ac:dyDescent="0.3">
      <c r="B28" s="51">
        <v>2022</v>
      </c>
      <c r="C28" s="60">
        <v>4.3200000000000002E-2</v>
      </c>
    </row>
    <row r="29" spans="2:3" x14ac:dyDescent="0.3">
      <c r="B29" s="51">
        <v>2023</v>
      </c>
      <c r="C29" s="60">
        <v>0.19420000000000001</v>
      </c>
    </row>
    <row r="30" spans="2:3" x14ac:dyDescent="0.3">
      <c r="B30" s="51">
        <v>2024</v>
      </c>
      <c r="C30" s="60">
        <v>8.7499999999999994E-2</v>
      </c>
    </row>
    <row r="31" spans="2:3" x14ac:dyDescent="0.3">
      <c r="B31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WACC</vt:lpstr>
      <vt:lpstr>BETA</vt:lpstr>
      <vt:lpstr>BETA - comps 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.</dc:creator>
  <cp:lastModifiedBy>SHUBHAM .</cp:lastModifiedBy>
  <cp:lastPrinted>2025-08-18T09:16:29Z</cp:lastPrinted>
  <dcterms:created xsi:type="dcterms:W3CDTF">2025-07-29T09:28:34Z</dcterms:created>
  <dcterms:modified xsi:type="dcterms:W3CDTF">2025-08-21T13:49:24Z</dcterms:modified>
</cp:coreProperties>
</file>