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982959E5542F302/Документы/"/>
    </mc:Choice>
  </mc:AlternateContent>
  <xr:revisionPtr revIDLastSave="0" documentId="8_{2FDA0B61-C884-4B76-B9B3-72A967A57B3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Historical " sheetId="8" r:id="rId1"/>
    <sheet name="Ratio Analysis " sheetId="11" r:id="rId2"/>
    <sheet name="forcasting" sheetId="12" r:id="rId3"/>
    <sheet name="Cash flow data " sheetId="10" r:id="rId4"/>
    <sheet name="Data Sheet" sheetId="6" r:id="rId5"/>
    <sheet name="common size" sheetId="9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5" i="9" l="1"/>
  <c r="E35" i="9"/>
  <c r="F35" i="9"/>
  <c r="G35" i="9"/>
  <c r="H35" i="9"/>
  <c r="I35" i="9"/>
  <c r="J35" i="9"/>
  <c r="K35" i="9"/>
  <c r="L35" i="9"/>
  <c r="C35" i="9"/>
  <c r="D34" i="9"/>
  <c r="E34" i="9"/>
  <c r="F34" i="9"/>
  <c r="G34" i="9"/>
  <c r="H34" i="9"/>
  <c r="I34" i="9"/>
  <c r="J34" i="9"/>
  <c r="K34" i="9"/>
  <c r="L34" i="9"/>
  <c r="C34" i="9"/>
  <c r="D33" i="9"/>
  <c r="E33" i="9"/>
  <c r="F33" i="9"/>
  <c r="G33" i="9"/>
  <c r="H33" i="9"/>
  <c r="I33" i="9"/>
  <c r="J33" i="9"/>
  <c r="K33" i="9"/>
  <c r="L33" i="9"/>
  <c r="C33" i="9"/>
  <c r="D32" i="9"/>
  <c r="E32" i="9"/>
  <c r="F32" i="9"/>
  <c r="G32" i="9"/>
  <c r="H32" i="9"/>
  <c r="I32" i="9"/>
  <c r="J32" i="9"/>
  <c r="K32" i="9"/>
  <c r="L32" i="9"/>
  <c r="C32" i="9"/>
  <c r="G74" i="6"/>
  <c r="C74" i="6"/>
  <c r="D74" i="6"/>
  <c r="E74" i="6"/>
  <c r="F74" i="6"/>
  <c r="H74" i="6"/>
  <c r="I74" i="6"/>
  <c r="J74" i="6"/>
  <c r="K74" i="6"/>
  <c r="B74" i="6"/>
  <c r="C31" i="9"/>
  <c r="D31" i="9"/>
  <c r="E31" i="9"/>
  <c r="F31" i="9"/>
  <c r="G31" i="9"/>
  <c r="H31" i="9"/>
  <c r="I31" i="9"/>
  <c r="J31" i="9"/>
  <c r="K31" i="9"/>
  <c r="L31" i="9"/>
  <c r="C76" i="6"/>
  <c r="D76" i="6"/>
  <c r="E76" i="6"/>
  <c r="F76" i="6"/>
  <c r="G76" i="6"/>
  <c r="H76" i="6"/>
  <c r="I76" i="6"/>
  <c r="J76" i="6"/>
  <c r="K76" i="6"/>
  <c r="B76" i="6"/>
  <c r="C27" i="9"/>
  <c r="D27" i="9"/>
  <c r="E27" i="9"/>
  <c r="F27" i="9"/>
  <c r="G27" i="9"/>
  <c r="H27" i="9"/>
  <c r="I27" i="9"/>
  <c r="J27" i="9"/>
  <c r="K27" i="9"/>
  <c r="L27" i="9"/>
  <c r="C28" i="9"/>
  <c r="D28" i="9"/>
  <c r="E28" i="9"/>
  <c r="F28" i="9"/>
  <c r="G28" i="9"/>
  <c r="H28" i="9"/>
  <c r="I28" i="9"/>
  <c r="J28" i="9"/>
  <c r="K28" i="9"/>
  <c r="L28" i="9"/>
  <c r="C29" i="9"/>
  <c r="D29" i="9"/>
  <c r="E29" i="9"/>
  <c r="F29" i="9"/>
  <c r="G29" i="9"/>
  <c r="H29" i="9"/>
  <c r="I29" i="9"/>
  <c r="J29" i="9"/>
  <c r="K29" i="9"/>
  <c r="L29" i="9"/>
  <c r="D26" i="9"/>
  <c r="E26" i="9"/>
  <c r="F26" i="9"/>
  <c r="G26" i="9"/>
  <c r="H26" i="9"/>
  <c r="I26" i="9"/>
  <c r="J26" i="9"/>
  <c r="K26" i="9"/>
  <c r="L26" i="9"/>
  <c r="C26" i="9"/>
  <c r="D25" i="9"/>
  <c r="E25" i="9"/>
  <c r="F25" i="9"/>
  <c r="G25" i="9"/>
  <c r="H25" i="9"/>
  <c r="I25" i="9"/>
  <c r="J25" i="9"/>
  <c r="K25" i="9"/>
  <c r="L25" i="9"/>
  <c r="C25" i="9"/>
  <c r="B23" i="9" l="1"/>
  <c r="B27" i="9"/>
  <c r="B28" i="9"/>
  <c r="B29" i="9"/>
  <c r="B32" i="9"/>
  <c r="B33" i="9"/>
  <c r="B34" i="9"/>
  <c r="B35" i="9"/>
  <c r="B26" i="9"/>
  <c r="E18" i="9"/>
  <c r="F18" i="9"/>
  <c r="G18" i="9"/>
  <c r="H18" i="9"/>
  <c r="I18" i="9"/>
  <c r="J18" i="9"/>
  <c r="K18" i="9"/>
  <c r="L18" i="9"/>
  <c r="E19" i="9"/>
  <c r="F19" i="9"/>
  <c r="G19" i="9"/>
  <c r="H19" i="9"/>
  <c r="I19" i="9"/>
  <c r="J19" i="9"/>
  <c r="K19" i="9"/>
  <c r="L19" i="9"/>
  <c r="D18" i="9"/>
  <c r="D19" i="9"/>
  <c r="C18" i="9"/>
  <c r="C19" i="9"/>
  <c r="B19" i="9"/>
  <c r="J32" i="6"/>
  <c r="C32" i="6"/>
  <c r="D32" i="6"/>
  <c r="E32" i="6"/>
  <c r="F32" i="6"/>
  <c r="G32" i="6"/>
  <c r="H32" i="6"/>
  <c r="I32" i="6"/>
  <c r="K32" i="6"/>
  <c r="B32" i="6"/>
  <c r="F12" i="9"/>
  <c r="E9" i="9"/>
  <c r="D9" i="9"/>
  <c r="C8" i="9"/>
  <c r="D8" i="9"/>
  <c r="E8" i="9"/>
  <c r="F8" i="9"/>
  <c r="G8" i="9"/>
  <c r="H8" i="9"/>
  <c r="I8" i="9"/>
  <c r="J8" i="9"/>
  <c r="K8" i="9"/>
  <c r="L8" i="9"/>
  <c r="C9" i="9"/>
  <c r="F9" i="9"/>
  <c r="G9" i="9"/>
  <c r="H9" i="9"/>
  <c r="I9" i="9"/>
  <c r="J9" i="9"/>
  <c r="K9" i="9"/>
  <c r="L9" i="9"/>
  <c r="C10" i="9"/>
  <c r="D10" i="9"/>
  <c r="E10" i="9"/>
  <c r="F10" i="9"/>
  <c r="G10" i="9"/>
  <c r="H10" i="9"/>
  <c r="I10" i="9"/>
  <c r="J10" i="9"/>
  <c r="K10" i="9"/>
  <c r="L10" i="9"/>
  <c r="C11" i="9"/>
  <c r="D11" i="9"/>
  <c r="E11" i="9"/>
  <c r="F11" i="9"/>
  <c r="G11" i="9"/>
  <c r="H11" i="9"/>
  <c r="I11" i="9"/>
  <c r="J11" i="9"/>
  <c r="K11" i="9"/>
  <c r="L11" i="9"/>
  <c r="C12" i="9"/>
  <c r="D12" i="9"/>
  <c r="E12" i="9"/>
  <c r="G12" i="9"/>
  <c r="H12" i="9"/>
  <c r="I12" i="9"/>
  <c r="J12" i="9"/>
  <c r="K12" i="9"/>
  <c r="L12" i="9"/>
  <c r="C13" i="9"/>
  <c r="D13" i="9"/>
  <c r="E13" i="9"/>
  <c r="F13" i="9"/>
  <c r="G13" i="9"/>
  <c r="H13" i="9"/>
  <c r="I13" i="9"/>
  <c r="J13" i="9"/>
  <c r="K13" i="9"/>
  <c r="L13" i="9"/>
  <c r="C14" i="9"/>
  <c r="D14" i="9"/>
  <c r="E14" i="9"/>
  <c r="F14" i="9"/>
  <c r="G14" i="9"/>
  <c r="H14" i="9"/>
  <c r="I14" i="9"/>
  <c r="J14" i="9"/>
  <c r="K14" i="9"/>
  <c r="L14" i="9"/>
  <c r="C15" i="9"/>
  <c r="D15" i="9"/>
  <c r="E15" i="9"/>
  <c r="F15" i="9"/>
  <c r="G15" i="9"/>
  <c r="H15" i="9"/>
  <c r="I15" i="9"/>
  <c r="J15" i="9"/>
  <c r="K15" i="9"/>
  <c r="L15" i="9"/>
  <c r="C16" i="9"/>
  <c r="D16" i="9"/>
  <c r="E16" i="9"/>
  <c r="F16" i="9"/>
  <c r="G16" i="9"/>
  <c r="H16" i="9"/>
  <c r="I16" i="9"/>
  <c r="J16" i="9"/>
  <c r="K16" i="9"/>
  <c r="L16" i="9"/>
  <c r="C17" i="9"/>
  <c r="D17" i="9"/>
  <c r="E17" i="9"/>
  <c r="F17" i="9"/>
  <c r="G17" i="9"/>
  <c r="H17" i="9"/>
  <c r="I17" i="9"/>
  <c r="J17" i="9"/>
  <c r="K17" i="9"/>
  <c r="L17" i="9"/>
  <c r="D7" i="9"/>
  <c r="E7" i="9"/>
  <c r="F7" i="9"/>
  <c r="G7" i="9"/>
  <c r="H7" i="9"/>
  <c r="I7" i="9"/>
  <c r="J7" i="9"/>
  <c r="K7" i="9"/>
  <c r="L7" i="9"/>
  <c r="C7" i="9"/>
  <c r="B8" i="9"/>
  <c r="B9" i="9"/>
  <c r="B10" i="9"/>
  <c r="B11" i="9"/>
  <c r="B12" i="9"/>
  <c r="B13" i="9"/>
  <c r="B14" i="9"/>
  <c r="B15" i="9"/>
  <c r="B16" i="9"/>
  <c r="B17" i="9"/>
  <c r="B18" i="9"/>
  <c r="B7" i="9"/>
  <c r="D5" i="9"/>
  <c r="D23" i="9" s="1"/>
  <c r="E5" i="9"/>
  <c r="E23" i="9" s="1"/>
  <c r="F5" i="9"/>
  <c r="F23" i="9" s="1"/>
  <c r="G5" i="9"/>
  <c r="G23" i="9" s="1"/>
  <c r="H5" i="9"/>
  <c r="H23" i="9" s="1"/>
  <c r="I5" i="9"/>
  <c r="I23" i="9" s="1"/>
  <c r="J5" i="9"/>
  <c r="J23" i="9" s="1"/>
  <c r="K5" i="9"/>
  <c r="K23" i="9" s="1"/>
  <c r="L5" i="9"/>
  <c r="L23" i="9" s="1"/>
  <c r="C5" i="9"/>
  <c r="C23" i="9" s="1"/>
  <c r="M6" i="12"/>
  <c r="M7" i="12" s="1"/>
  <c r="M8" i="12" s="1"/>
  <c r="M9" i="12" s="1"/>
  <c r="M10" i="12" s="1"/>
  <c r="M11" i="12" s="1"/>
  <c r="M12" i="12" s="1"/>
  <c r="M13" i="12" s="1"/>
  <c r="M14" i="12" s="1"/>
  <c r="N5" i="12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M5" i="12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H5" i="12"/>
  <c r="H6" i="12" s="1"/>
  <c r="H7" i="12" s="1"/>
  <c r="H8" i="12" s="1"/>
  <c r="H9" i="12" s="1"/>
  <c r="H10" i="12" s="1"/>
  <c r="H11" i="12" s="1"/>
  <c r="H12" i="12" s="1"/>
  <c r="H13" i="12" s="1"/>
  <c r="H14" i="12" s="1"/>
  <c r="D4" i="12" a="1"/>
  <c r="D4" i="12" s="1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B5" i="12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M15" i="12" l="1"/>
  <c r="H15" i="12"/>
  <c r="D5" i="12"/>
  <c r="E5" i="12" s="1"/>
  <c r="D11" i="12"/>
  <c r="D7" i="12"/>
  <c r="D10" i="12"/>
  <c r="D6" i="12"/>
  <c r="E6" i="12" s="1"/>
  <c r="D13" i="12"/>
  <c r="D9" i="12"/>
  <c r="D12" i="12"/>
  <c r="D8" i="12"/>
  <c r="M16" i="12" l="1"/>
  <c r="E9" i="12"/>
  <c r="E7" i="12"/>
  <c r="E13" i="12"/>
  <c r="E11" i="12"/>
  <c r="D16" i="12"/>
  <c r="D17" i="12"/>
  <c r="E17" i="12" s="1"/>
  <c r="E8" i="12"/>
  <c r="D15" i="12"/>
  <c r="E15" i="12" s="1"/>
  <c r="E12" i="12"/>
  <c r="E10" i="12"/>
  <c r="D14" i="12"/>
  <c r="E14" i="12" s="1"/>
  <c r="D18" i="12"/>
  <c r="E18" i="12" s="1"/>
  <c r="H16" i="12"/>
  <c r="M17" i="12" l="1"/>
  <c r="E16" i="12"/>
  <c r="H17" i="12"/>
  <c r="F32" i="11"/>
  <c r="J32" i="11"/>
  <c r="F30" i="11"/>
  <c r="F36" i="11" s="1"/>
  <c r="J30" i="11"/>
  <c r="J36" i="11" s="1"/>
  <c r="F28" i="11"/>
  <c r="F34" i="11" s="1"/>
  <c r="J28" i="11"/>
  <c r="J34" i="11" s="1"/>
  <c r="H10" i="11"/>
  <c r="L10" i="11"/>
  <c r="L3" i="11"/>
  <c r="K3" i="11"/>
  <c r="J3" i="11"/>
  <c r="I3" i="11"/>
  <c r="H3" i="11"/>
  <c r="G3" i="11"/>
  <c r="F3" i="11"/>
  <c r="E3" i="11"/>
  <c r="D3" i="11"/>
  <c r="C3" i="11"/>
  <c r="C73" i="8"/>
  <c r="D73" i="8"/>
  <c r="D79" i="8" s="1"/>
  <c r="E73" i="8"/>
  <c r="E79" i="8" s="1"/>
  <c r="F73" i="8"/>
  <c r="F79" i="8" s="1"/>
  <c r="G73" i="8"/>
  <c r="H73" i="8"/>
  <c r="H79" i="8" s="1"/>
  <c r="I73" i="8"/>
  <c r="I79" i="8" s="1"/>
  <c r="J73" i="8"/>
  <c r="J79" i="8" s="1"/>
  <c r="K73" i="8"/>
  <c r="L73" i="8"/>
  <c r="L79" i="8" s="1"/>
  <c r="C74" i="8"/>
  <c r="C79" i="8" s="1"/>
  <c r="D74" i="8"/>
  <c r="E74" i="8"/>
  <c r="F74" i="8"/>
  <c r="G74" i="8"/>
  <c r="H74" i="8"/>
  <c r="I74" i="8"/>
  <c r="J74" i="8"/>
  <c r="K74" i="8"/>
  <c r="L74" i="8"/>
  <c r="C75" i="8"/>
  <c r="D75" i="8"/>
  <c r="E75" i="8"/>
  <c r="F75" i="8"/>
  <c r="G75" i="8"/>
  <c r="H75" i="8"/>
  <c r="I75" i="8"/>
  <c r="J75" i="8"/>
  <c r="K75" i="8"/>
  <c r="L75" i="8"/>
  <c r="C76" i="8"/>
  <c r="D76" i="8"/>
  <c r="E76" i="8"/>
  <c r="F76" i="8"/>
  <c r="G76" i="8"/>
  <c r="H76" i="8"/>
  <c r="I76" i="8"/>
  <c r="J76" i="8"/>
  <c r="K76" i="8"/>
  <c r="L76" i="8"/>
  <c r="C77" i="8"/>
  <c r="D77" i="8"/>
  <c r="E77" i="8"/>
  <c r="F77" i="8"/>
  <c r="G77" i="8"/>
  <c r="H77" i="8"/>
  <c r="I77" i="8"/>
  <c r="J77" i="8"/>
  <c r="K77" i="8"/>
  <c r="L77" i="8"/>
  <c r="C78" i="8"/>
  <c r="D78" i="8"/>
  <c r="E78" i="8"/>
  <c r="F78" i="8"/>
  <c r="G78" i="8"/>
  <c r="H78" i="8"/>
  <c r="I78" i="8"/>
  <c r="J78" i="8"/>
  <c r="K78" i="8"/>
  <c r="L78" i="8"/>
  <c r="D72" i="8"/>
  <c r="E72" i="8"/>
  <c r="F72" i="8"/>
  <c r="G72" i="8"/>
  <c r="H72" i="8"/>
  <c r="I72" i="8"/>
  <c r="J72" i="8"/>
  <c r="K72" i="8"/>
  <c r="L72" i="8"/>
  <c r="C72" i="8"/>
  <c r="D98" i="8"/>
  <c r="E98" i="8"/>
  <c r="F98" i="8"/>
  <c r="G98" i="8"/>
  <c r="H98" i="8"/>
  <c r="I98" i="8"/>
  <c r="J98" i="8"/>
  <c r="K98" i="8"/>
  <c r="L98" i="8"/>
  <c r="C98" i="8"/>
  <c r="D88" i="8"/>
  <c r="E88" i="8"/>
  <c r="F88" i="8"/>
  <c r="G88" i="8"/>
  <c r="H88" i="8"/>
  <c r="I88" i="8"/>
  <c r="J88" i="8"/>
  <c r="K88" i="8"/>
  <c r="L88" i="8"/>
  <c r="C88" i="8"/>
  <c r="C92" i="8"/>
  <c r="D92" i="8"/>
  <c r="E92" i="8"/>
  <c r="F92" i="8"/>
  <c r="G92" i="8"/>
  <c r="H92" i="8"/>
  <c r="I92" i="8"/>
  <c r="J92" i="8"/>
  <c r="K92" i="8"/>
  <c r="L92" i="8"/>
  <c r="C93" i="8"/>
  <c r="D93" i="8"/>
  <c r="E93" i="8"/>
  <c r="F93" i="8"/>
  <c r="G93" i="8"/>
  <c r="H93" i="8"/>
  <c r="I93" i="8"/>
  <c r="J93" i="8"/>
  <c r="K93" i="8"/>
  <c r="L93" i="8"/>
  <c r="C94" i="8"/>
  <c r="D94" i="8"/>
  <c r="E94" i="8"/>
  <c r="F94" i="8"/>
  <c r="G94" i="8"/>
  <c r="H94" i="8"/>
  <c r="I94" i="8"/>
  <c r="J94" i="8"/>
  <c r="K94" i="8"/>
  <c r="L94" i="8"/>
  <c r="C95" i="8"/>
  <c r="D95" i="8"/>
  <c r="E95" i="8"/>
  <c r="F95" i="8"/>
  <c r="G95" i="8"/>
  <c r="H95" i="8"/>
  <c r="I95" i="8"/>
  <c r="J95" i="8"/>
  <c r="K95" i="8"/>
  <c r="L95" i="8"/>
  <c r="C96" i="8"/>
  <c r="D96" i="8"/>
  <c r="E96" i="8"/>
  <c r="F96" i="8"/>
  <c r="G96" i="8"/>
  <c r="H96" i="8"/>
  <c r="I96" i="8"/>
  <c r="J96" i="8"/>
  <c r="K96" i="8"/>
  <c r="L96" i="8"/>
  <c r="C97" i="8"/>
  <c r="D97" i="8"/>
  <c r="E97" i="8"/>
  <c r="F97" i="8"/>
  <c r="G97" i="8"/>
  <c r="H97" i="8"/>
  <c r="I97" i="8"/>
  <c r="J97" i="8"/>
  <c r="K97" i="8"/>
  <c r="L97" i="8"/>
  <c r="D91" i="8"/>
  <c r="E91" i="8"/>
  <c r="F91" i="8"/>
  <c r="G91" i="8"/>
  <c r="H91" i="8"/>
  <c r="I91" i="8"/>
  <c r="J91" i="8"/>
  <c r="K91" i="8"/>
  <c r="L91" i="8"/>
  <c r="C91" i="8"/>
  <c r="D82" i="8"/>
  <c r="E82" i="8"/>
  <c r="F82" i="8"/>
  <c r="G82" i="8"/>
  <c r="H82" i="8"/>
  <c r="I82" i="8"/>
  <c r="J82" i="8"/>
  <c r="K82" i="8"/>
  <c r="L82" i="8"/>
  <c r="D83" i="8"/>
  <c r="E83" i="8"/>
  <c r="F83" i="8"/>
  <c r="G83" i="8"/>
  <c r="H83" i="8"/>
  <c r="I83" i="8"/>
  <c r="J83" i="8"/>
  <c r="K83" i="8"/>
  <c r="L83" i="8"/>
  <c r="D84" i="8"/>
  <c r="E84" i="8"/>
  <c r="F84" i="8"/>
  <c r="G84" i="8"/>
  <c r="H84" i="8"/>
  <c r="I84" i="8"/>
  <c r="J84" i="8"/>
  <c r="K84" i="8"/>
  <c r="L84" i="8"/>
  <c r="D85" i="8"/>
  <c r="E85" i="8"/>
  <c r="F85" i="8"/>
  <c r="G85" i="8"/>
  <c r="H85" i="8"/>
  <c r="I85" i="8"/>
  <c r="J85" i="8"/>
  <c r="K85" i="8"/>
  <c r="L85" i="8"/>
  <c r="D86" i="8"/>
  <c r="E86" i="8"/>
  <c r="F86" i="8"/>
  <c r="G86" i="8"/>
  <c r="H86" i="8"/>
  <c r="I86" i="8"/>
  <c r="J86" i="8"/>
  <c r="K86" i="8"/>
  <c r="L86" i="8"/>
  <c r="D87" i="8"/>
  <c r="E87" i="8"/>
  <c r="F87" i="8"/>
  <c r="G87" i="8"/>
  <c r="H87" i="8"/>
  <c r="I87" i="8"/>
  <c r="J87" i="8"/>
  <c r="K87" i="8"/>
  <c r="L87" i="8"/>
  <c r="C83" i="8"/>
  <c r="C84" i="8"/>
  <c r="C85" i="8"/>
  <c r="C86" i="8"/>
  <c r="C87" i="8"/>
  <c r="C82" i="8"/>
  <c r="G79" i="8"/>
  <c r="G41" i="11" s="1"/>
  <c r="K79" i="8"/>
  <c r="F58" i="8"/>
  <c r="D57" i="8"/>
  <c r="E57" i="8"/>
  <c r="F57" i="8"/>
  <c r="G57" i="8"/>
  <c r="H57" i="8"/>
  <c r="I57" i="8"/>
  <c r="J57" i="8"/>
  <c r="K57" i="8"/>
  <c r="L57" i="8"/>
  <c r="C57" i="8"/>
  <c r="F63" i="8"/>
  <c r="F65" i="8" s="1"/>
  <c r="F67" i="8" s="1"/>
  <c r="J63" i="8"/>
  <c r="C61" i="8"/>
  <c r="C63" i="8" s="1"/>
  <c r="D61" i="8"/>
  <c r="E61" i="8"/>
  <c r="F61" i="8"/>
  <c r="G61" i="8"/>
  <c r="H61" i="8"/>
  <c r="I61" i="8"/>
  <c r="J61" i="8"/>
  <c r="K61" i="8"/>
  <c r="L61" i="8"/>
  <c r="C62" i="8"/>
  <c r="D62" i="8"/>
  <c r="E62" i="8"/>
  <c r="E63" i="8" s="1"/>
  <c r="F62" i="8"/>
  <c r="G62" i="8"/>
  <c r="H62" i="8"/>
  <c r="I62" i="8"/>
  <c r="I63" i="8" s="1"/>
  <c r="J62" i="8"/>
  <c r="K62" i="8"/>
  <c r="L62" i="8"/>
  <c r="D60" i="8"/>
  <c r="D63" i="8" s="1"/>
  <c r="E60" i="8"/>
  <c r="F60" i="8"/>
  <c r="G60" i="8"/>
  <c r="H60" i="8"/>
  <c r="H63" i="8" s="1"/>
  <c r="I60" i="8"/>
  <c r="J60" i="8"/>
  <c r="K60" i="8"/>
  <c r="L60" i="8"/>
  <c r="L63" i="8" s="1"/>
  <c r="C60" i="8"/>
  <c r="C55" i="8"/>
  <c r="D55" i="8"/>
  <c r="E55" i="8"/>
  <c r="E58" i="8" s="1"/>
  <c r="F55" i="8"/>
  <c r="G55" i="8"/>
  <c r="H55" i="8"/>
  <c r="I55" i="8"/>
  <c r="J55" i="8"/>
  <c r="K55" i="8"/>
  <c r="L55" i="8"/>
  <c r="C56" i="8"/>
  <c r="D56" i="8"/>
  <c r="E56" i="8"/>
  <c r="F56" i="8"/>
  <c r="G56" i="8"/>
  <c r="H56" i="8"/>
  <c r="I56" i="8"/>
  <c r="J56" i="8"/>
  <c r="K56" i="8"/>
  <c r="L56" i="8"/>
  <c r="D54" i="8"/>
  <c r="D58" i="8" s="1"/>
  <c r="E54" i="8"/>
  <c r="F54" i="8"/>
  <c r="G54" i="8"/>
  <c r="G58" i="8" s="1"/>
  <c r="H54" i="8"/>
  <c r="H58" i="8" s="1"/>
  <c r="I54" i="8"/>
  <c r="J54" i="8"/>
  <c r="J58" i="8" s="1"/>
  <c r="K54" i="8"/>
  <c r="K58" i="8" s="1"/>
  <c r="L54" i="8"/>
  <c r="L58" i="8" s="1"/>
  <c r="C54" i="8"/>
  <c r="C49" i="8"/>
  <c r="D49" i="8"/>
  <c r="E49" i="8"/>
  <c r="F49" i="8"/>
  <c r="G49" i="8"/>
  <c r="H49" i="8"/>
  <c r="I49" i="8"/>
  <c r="J49" i="8"/>
  <c r="K49" i="8"/>
  <c r="L49" i="8"/>
  <c r="C50" i="8"/>
  <c r="D50" i="8"/>
  <c r="E50" i="8"/>
  <c r="F50" i="8"/>
  <c r="G50" i="8"/>
  <c r="H50" i="8"/>
  <c r="I50" i="8"/>
  <c r="J50" i="8"/>
  <c r="K50" i="8"/>
  <c r="L50" i="8"/>
  <c r="C51" i="8"/>
  <c r="D51" i="8"/>
  <c r="E51" i="8"/>
  <c r="F51" i="8"/>
  <c r="G51" i="8"/>
  <c r="H51" i="8"/>
  <c r="I51" i="8"/>
  <c r="J51" i="8"/>
  <c r="K51" i="8"/>
  <c r="L51" i="8"/>
  <c r="C52" i="8"/>
  <c r="D52" i="8"/>
  <c r="E52" i="8"/>
  <c r="F52" i="8"/>
  <c r="G52" i="8"/>
  <c r="H52" i="8"/>
  <c r="I52" i="8"/>
  <c r="J52" i="8"/>
  <c r="K52" i="8"/>
  <c r="L52" i="8"/>
  <c r="D48" i="8"/>
  <c r="E48" i="8"/>
  <c r="F48" i="8"/>
  <c r="G48" i="8"/>
  <c r="H48" i="8"/>
  <c r="I48" i="8"/>
  <c r="J48" i="8"/>
  <c r="K48" i="8"/>
  <c r="L48" i="8"/>
  <c r="C48" i="8"/>
  <c r="C36" i="8"/>
  <c r="M6" i="8"/>
  <c r="D6" i="8"/>
  <c r="E6" i="8"/>
  <c r="E31" i="11" s="1"/>
  <c r="F6" i="8"/>
  <c r="F31" i="11" s="1"/>
  <c r="G6" i="8"/>
  <c r="H6" i="8"/>
  <c r="I6" i="8"/>
  <c r="I31" i="11" s="1"/>
  <c r="J6" i="8"/>
  <c r="J31" i="11" s="1"/>
  <c r="K6" i="8"/>
  <c r="L6" i="8"/>
  <c r="C6" i="8"/>
  <c r="C31" i="11" s="1"/>
  <c r="M36" i="8"/>
  <c r="M41" i="8"/>
  <c r="M42" i="8" s="1"/>
  <c r="D41" i="8"/>
  <c r="D10" i="11" s="1"/>
  <c r="E41" i="8"/>
  <c r="E10" i="11" s="1"/>
  <c r="F41" i="8"/>
  <c r="F10" i="11" s="1"/>
  <c r="G41" i="8"/>
  <c r="G10" i="11" s="1"/>
  <c r="H41" i="8"/>
  <c r="I41" i="8"/>
  <c r="I10" i="11" s="1"/>
  <c r="J41" i="8"/>
  <c r="J10" i="11" s="1"/>
  <c r="K41" i="8"/>
  <c r="K10" i="11" s="1"/>
  <c r="L41" i="8"/>
  <c r="C41" i="8"/>
  <c r="D36" i="8"/>
  <c r="E36" i="8"/>
  <c r="F36" i="8"/>
  <c r="G36" i="8"/>
  <c r="H36" i="8"/>
  <c r="I36" i="8"/>
  <c r="J36" i="8"/>
  <c r="K36" i="8"/>
  <c r="L36" i="8"/>
  <c r="M30" i="8"/>
  <c r="D30" i="8"/>
  <c r="E30" i="8"/>
  <c r="F30" i="8"/>
  <c r="G30" i="8"/>
  <c r="H30" i="8"/>
  <c r="I30" i="8"/>
  <c r="J30" i="8"/>
  <c r="K30" i="8"/>
  <c r="L30" i="8"/>
  <c r="C30" i="8"/>
  <c r="M15" i="8"/>
  <c r="M16" i="8" s="1"/>
  <c r="D24" i="8"/>
  <c r="E24" i="8"/>
  <c r="F24" i="8"/>
  <c r="G24" i="8"/>
  <c r="H24" i="8"/>
  <c r="I24" i="8"/>
  <c r="J24" i="8"/>
  <c r="K24" i="8"/>
  <c r="L24" i="8"/>
  <c r="M24" i="8"/>
  <c r="C24" i="8"/>
  <c r="C25" i="8" s="1"/>
  <c r="C19" i="11" s="1"/>
  <c r="M21" i="8"/>
  <c r="M22" i="8" s="1"/>
  <c r="D21" i="8"/>
  <c r="E21" i="8"/>
  <c r="F21" i="8"/>
  <c r="G21" i="8"/>
  <c r="G22" i="8" s="1"/>
  <c r="H21" i="8"/>
  <c r="I21" i="8"/>
  <c r="J21" i="8"/>
  <c r="K21" i="8"/>
  <c r="K22" i="8" s="1"/>
  <c r="L21" i="8"/>
  <c r="C21" i="8"/>
  <c r="D15" i="8"/>
  <c r="E15" i="8"/>
  <c r="F15" i="8"/>
  <c r="G15" i="8"/>
  <c r="H15" i="8"/>
  <c r="I15" i="8"/>
  <c r="J15" i="8"/>
  <c r="K15" i="8"/>
  <c r="L15" i="8"/>
  <c r="C15" i="8"/>
  <c r="C16" i="8" s="1"/>
  <c r="C18" i="11" s="1"/>
  <c r="M9" i="8"/>
  <c r="M10" i="8" s="1"/>
  <c r="D9" i="8"/>
  <c r="E9" i="8"/>
  <c r="F9" i="8"/>
  <c r="G9" i="8"/>
  <c r="H9" i="8"/>
  <c r="I9" i="8"/>
  <c r="J9" i="8"/>
  <c r="K9" i="8"/>
  <c r="L9" i="8"/>
  <c r="C9" i="8"/>
  <c r="L3" i="8"/>
  <c r="K3" i="8"/>
  <c r="J3" i="8"/>
  <c r="I3" i="8"/>
  <c r="H3" i="8"/>
  <c r="G3" i="8"/>
  <c r="F3" i="8"/>
  <c r="E3" i="8"/>
  <c r="D3" i="8"/>
  <c r="C3" i="8"/>
  <c r="B6" i="6"/>
  <c r="N10" i="11" l="1"/>
  <c r="O10" i="11"/>
  <c r="L7" i="8"/>
  <c r="L5" i="11" s="1"/>
  <c r="L31" i="11"/>
  <c r="L29" i="11"/>
  <c r="L35" i="11" s="1"/>
  <c r="L32" i="11"/>
  <c r="L30" i="11"/>
  <c r="L36" i="11" s="1"/>
  <c r="L28" i="11"/>
  <c r="L34" i="11" s="1"/>
  <c r="L37" i="11" s="1"/>
  <c r="H12" i="8"/>
  <c r="H31" i="11"/>
  <c r="H29" i="11"/>
  <c r="H35" i="11" s="1"/>
  <c r="H32" i="11"/>
  <c r="H30" i="11"/>
  <c r="H36" i="11" s="1"/>
  <c r="H28" i="11"/>
  <c r="H34" i="11" s="1"/>
  <c r="D31" i="11"/>
  <c r="O31" i="11" s="1"/>
  <c r="D29" i="11"/>
  <c r="D35" i="11" s="1"/>
  <c r="D32" i="11"/>
  <c r="D30" i="11"/>
  <c r="D36" i="11" s="1"/>
  <c r="D28" i="11"/>
  <c r="D34" i="11" s="1"/>
  <c r="L65" i="8"/>
  <c r="L67" i="8" s="1"/>
  <c r="H65" i="8"/>
  <c r="H67" i="8" s="1"/>
  <c r="D65" i="8"/>
  <c r="D67" i="8" s="1"/>
  <c r="E65" i="8"/>
  <c r="E67" i="8" s="1"/>
  <c r="L22" i="8"/>
  <c r="H22" i="8"/>
  <c r="D22" i="8"/>
  <c r="L25" i="8"/>
  <c r="L19" i="11" s="1"/>
  <c r="H25" i="8"/>
  <c r="H19" i="11" s="1"/>
  <c r="D25" i="8"/>
  <c r="D19" i="11" s="1"/>
  <c r="O19" i="11" s="1"/>
  <c r="K32" i="11"/>
  <c r="G32" i="11"/>
  <c r="C58" i="8"/>
  <c r="C65" i="8" s="1"/>
  <c r="I58" i="8"/>
  <c r="I65" i="8" s="1"/>
  <c r="K63" i="8"/>
  <c r="K65" i="8" s="1"/>
  <c r="K67" i="8" s="1"/>
  <c r="G63" i="8"/>
  <c r="G65" i="8" s="1"/>
  <c r="G67" i="8" s="1"/>
  <c r="J65" i="8"/>
  <c r="J67" i="8" s="1"/>
  <c r="J37" i="11"/>
  <c r="J41" i="11"/>
  <c r="F41" i="11"/>
  <c r="C28" i="11"/>
  <c r="I28" i="11"/>
  <c r="I34" i="11" s="1"/>
  <c r="I37" i="11" s="1"/>
  <c r="E28" i="11"/>
  <c r="E34" i="11" s="1"/>
  <c r="K29" i="11"/>
  <c r="K35" i="11" s="1"/>
  <c r="G29" i="11"/>
  <c r="G35" i="11" s="1"/>
  <c r="C30" i="11"/>
  <c r="I30" i="11"/>
  <c r="I36" i="11" s="1"/>
  <c r="E30" i="11"/>
  <c r="E36" i="11" s="1"/>
  <c r="K31" i="11"/>
  <c r="G31" i="11"/>
  <c r="N31" i="11" s="1"/>
  <c r="C32" i="11"/>
  <c r="I32" i="11"/>
  <c r="E32" i="11"/>
  <c r="L16" i="8"/>
  <c r="L18" i="11" s="1"/>
  <c r="H16" i="8"/>
  <c r="H18" i="11" s="1"/>
  <c r="D16" i="8"/>
  <c r="D18" i="11" s="1"/>
  <c r="N18" i="11" s="1"/>
  <c r="J29" i="11"/>
  <c r="J35" i="11" s="1"/>
  <c r="F29" i="11"/>
  <c r="F35" i="11" s="1"/>
  <c r="F37" i="11" s="1"/>
  <c r="M25" i="8"/>
  <c r="K41" i="11"/>
  <c r="L40" i="11"/>
  <c r="H40" i="11"/>
  <c r="D40" i="11"/>
  <c r="K28" i="11"/>
  <c r="K34" i="11" s="1"/>
  <c r="G28" i="11"/>
  <c r="G34" i="11" s="1"/>
  <c r="G37" i="11" s="1"/>
  <c r="C29" i="11"/>
  <c r="I29" i="11"/>
  <c r="I35" i="11" s="1"/>
  <c r="E29" i="11"/>
  <c r="E35" i="11" s="1"/>
  <c r="K30" i="11"/>
  <c r="K36" i="11" s="1"/>
  <c r="G30" i="11"/>
  <c r="G36" i="11" s="1"/>
  <c r="M18" i="12"/>
  <c r="H18" i="12"/>
  <c r="C39" i="11"/>
  <c r="I39" i="11"/>
  <c r="E39" i="11"/>
  <c r="G40" i="11"/>
  <c r="C41" i="11"/>
  <c r="I41" i="11"/>
  <c r="E41" i="11"/>
  <c r="L39" i="11"/>
  <c r="H39" i="11"/>
  <c r="D39" i="11"/>
  <c r="F40" i="11"/>
  <c r="L41" i="11"/>
  <c r="H41" i="11"/>
  <c r="D41" i="11"/>
  <c r="K39" i="11"/>
  <c r="G39" i="11"/>
  <c r="J39" i="11"/>
  <c r="F39" i="11"/>
  <c r="E37" i="11"/>
  <c r="L100" i="8"/>
  <c r="H100" i="8"/>
  <c r="D100" i="8"/>
  <c r="J100" i="8"/>
  <c r="F100" i="8"/>
  <c r="K100" i="8"/>
  <c r="G100" i="8"/>
  <c r="C100" i="8"/>
  <c r="I100" i="8"/>
  <c r="E100" i="8"/>
  <c r="I16" i="8"/>
  <c r="I18" i="11" s="1"/>
  <c r="H7" i="8"/>
  <c r="H5" i="11" s="1"/>
  <c r="E16" i="8"/>
  <c r="E18" i="11" s="1"/>
  <c r="I25" i="8"/>
  <c r="I19" i="11" s="1"/>
  <c r="E25" i="8"/>
  <c r="E19" i="11" s="1"/>
  <c r="D7" i="8"/>
  <c r="D5" i="11" s="1"/>
  <c r="C10" i="8"/>
  <c r="I10" i="8"/>
  <c r="E10" i="8"/>
  <c r="H18" i="8"/>
  <c r="L12" i="8"/>
  <c r="H10" i="8"/>
  <c r="D12" i="8"/>
  <c r="C22" i="8"/>
  <c r="I22" i="8"/>
  <c r="E22" i="8"/>
  <c r="J25" i="8"/>
  <c r="J19" i="11" s="1"/>
  <c r="F25" i="8"/>
  <c r="F19" i="11" s="1"/>
  <c r="N19" i="11" s="1"/>
  <c r="D10" i="8"/>
  <c r="F22" i="8"/>
  <c r="C12" i="8"/>
  <c r="C18" i="8" s="1"/>
  <c r="L10" i="8"/>
  <c r="J22" i="8"/>
  <c r="K25" i="8"/>
  <c r="K19" i="11" s="1"/>
  <c r="G25" i="8"/>
  <c r="G19" i="11" s="1"/>
  <c r="K7" i="8"/>
  <c r="K5" i="11" s="1"/>
  <c r="K10" i="8"/>
  <c r="G7" i="8"/>
  <c r="G5" i="11" s="1"/>
  <c r="K12" i="8"/>
  <c r="G12" i="8"/>
  <c r="K16" i="8"/>
  <c r="K18" i="11" s="1"/>
  <c r="G16" i="8"/>
  <c r="G18" i="11" s="1"/>
  <c r="J7" i="8"/>
  <c r="J5" i="11" s="1"/>
  <c r="F7" i="8"/>
  <c r="F5" i="11" s="1"/>
  <c r="G10" i="8"/>
  <c r="J12" i="8"/>
  <c r="F12" i="8"/>
  <c r="J16" i="8"/>
  <c r="J18" i="11" s="1"/>
  <c r="O18" i="11" s="1"/>
  <c r="F16" i="8"/>
  <c r="F18" i="11" s="1"/>
  <c r="M7" i="8"/>
  <c r="I7" i="8"/>
  <c r="I5" i="11" s="1"/>
  <c r="E7" i="8"/>
  <c r="E5" i="11" s="1"/>
  <c r="J10" i="8"/>
  <c r="F10" i="8"/>
  <c r="M12" i="8"/>
  <c r="I12" i="8"/>
  <c r="I6" i="11" s="1"/>
  <c r="E12" i="8"/>
  <c r="H13" i="8"/>
  <c r="H12" i="11" s="1"/>
  <c r="D13" i="8"/>
  <c r="D12" i="11" s="1"/>
  <c r="C67" i="8" l="1"/>
  <c r="C40" i="11"/>
  <c r="I67" i="8"/>
  <c r="I40" i="11"/>
  <c r="N40" i="11" s="1"/>
  <c r="O5" i="11"/>
  <c r="N5" i="11"/>
  <c r="O30" i="11"/>
  <c r="N30" i="11"/>
  <c r="C36" i="11"/>
  <c r="H37" i="11"/>
  <c r="H26" i="11"/>
  <c r="H22" i="11"/>
  <c r="C26" i="11"/>
  <c r="C22" i="11"/>
  <c r="K37" i="11"/>
  <c r="C34" i="11"/>
  <c r="N28" i="11"/>
  <c r="O28" i="11"/>
  <c r="D37" i="11"/>
  <c r="J40" i="11"/>
  <c r="K40" i="11"/>
  <c r="C35" i="11"/>
  <c r="O29" i="11"/>
  <c r="N29" i="11"/>
  <c r="E40" i="11"/>
  <c r="O40" i="11" s="1"/>
  <c r="N32" i="11"/>
  <c r="O32" i="11"/>
  <c r="O41" i="11"/>
  <c r="N41" i="11"/>
  <c r="N39" i="11"/>
  <c r="O39" i="11"/>
  <c r="G18" i="8"/>
  <c r="H7" i="11" s="1"/>
  <c r="H6" i="11"/>
  <c r="G6" i="11"/>
  <c r="H19" i="8"/>
  <c r="H13" i="11" s="1"/>
  <c r="H14" i="11"/>
  <c r="H20" i="11" s="1"/>
  <c r="F18" i="8"/>
  <c r="F6" i="11"/>
  <c r="K18" i="8"/>
  <c r="K6" i="11"/>
  <c r="C27" i="8"/>
  <c r="C33" i="8" s="1"/>
  <c r="C14" i="11"/>
  <c r="D18" i="8"/>
  <c r="D6" i="11"/>
  <c r="C19" i="8"/>
  <c r="C13" i="11" s="1"/>
  <c r="J18" i="8"/>
  <c r="J6" i="11"/>
  <c r="C13" i="8"/>
  <c r="C12" i="11" s="1"/>
  <c r="E6" i="11"/>
  <c r="L18" i="8"/>
  <c r="L6" i="11"/>
  <c r="H27" i="8"/>
  <c r="F27" i="8"/>
  <c r="J19" i="8"/>
  <c r="J13" i="11" s="1"/>
  <c r="L13" i="8"/>
  <c r="L12" i="11" s="1"/>
  <c r="J13" i="8"/>
  <c r="J12" i="11" s="1"/>
  <c r="G13" i="8"/>
  <c r="G12" i="11" s="1"/>
  <c r="G27" i="8"/>
  <c r="F13" i="8"/>
  <c r="F12" i="11" s="1"/>
  <c r="K13" i="8"/>
  <c r="K12" i="11" s="1"/>
  <c r="M18" i="8"/>
  <c r="M13" i="8"/>
  <c r="E18" i="8"/>
  <c r="E13" i="8"/>
  <c r="E12" i="11" s="1"/>
  <c r="I18" i="8"/>
  <c r="I13" i="8"/>
  <c r="I12" i="11" s="1"/>
  <c r="H28" i="8"/>
  <c r="H15" i="11" s="1"/>
  <c r="C20" i="11" l="1"/>
  <c r="F22" i="11"/>
  <c r="F26" i="11"/>
  <c r="C38" i="8"/>
  <c r="C24" i="11"/>
  <c r="O12" i="11"/>
  <c r="N12" i="11"/>
  <c r="N6" i="11"/>
  <c r="O6" i="11"/>
  <c r="O34" i="11"/>
  <c r="N34" i="11"/>
  <c r="C37" i="11"/>
  <c r="L26" i="11"/>
  <c r="L7" i="11"/>
  <c r="L22" i="11"/>
  <c r="J22" i="11"/>
  <c r="J26" i="11"/>
  <c r="I26" i="11"/>
  <c r="I22" i="11"/>
  <c r="E26" i="11"/>
  <c r="E22" i="11"/>
  <c r="D26" i="11"/>
  <c r="O26" i="11" s="1"/>
  <c r="D22" i="11"/>
  <c r="N22" i="11" s="1"/>
  <c r="K22" i="11"/>
  <c r="O22" i="11" s="1"/>
  <c r="K26" i="11"/>
  <c r="G22" i="11"/>
  <c r="G26" i="11"/>
  <c r="O35" i="11"/>
  <c r="N35" i="11"/>
  <c r="J4" i="12" a="1"/>
  <c r="O36" i="11"/>
  <c r="N36" i="11"/>
  <c r="H8" i="11"/>
  <c r="H33" i="8"/>
  <c r="H31" i="8"/>
  <c r="L27" i="8"/>
  <c r="L14" i="11"/>
  <c r="L20" i="11" s="1"/>
  <c r="L19" i="8"/>
  <c r="L13" i="11" s="1"/>
  <c r="J27" i="8"/>
  <c r="J14" i="11"/>
  <c r="J20" i="11" s="1"/>
  <c r="J7" i="11"/>
  <c r="E14" i="11"/>
  <c r="E20" i="11" s="1"/>
  <c r="E7" i="11"/>
  <c r="F31" i="8"/>
  <c r="F19" i="8"/>
  <c r="F13" i="11" s="1"/>
  <c r="F7" i="11"/>
  <c r="F14" i="11"/>
  <c r="F20" i="11" s="1"/>
  <c r="C31" i="8"/>
  <c r="C28" i="8"/>
  <c r="C15" i="11" s="1"/>
  <c r="I14" i="11"/>
  <c r="I20" i="11" s="1"/>
  <c r="I7" i="11"/>
  <c r="G28" i="8"/>
  <c r="G15" i="11" s="1"/>
  <c r="G8" i="11"/>
  <c r="D14" i="11"/>
  <c r="D20" i="11" s="1"/>
  <c r="D7" i="11"/>
  <c r="D19" i="8"/>
  <c r="D13" i="11" s="1"/>
  <c r="N13" i="11" s="1"/>
  <c r="D27" i="8"/>
  <c r="K19" i="8"/>
  <c r="K13" i="11" s="1"/>
  <c r="K14" i="11"/>
  <c r="K20" i="11" s="1"/>
  <c r="K7" i="11"/>
  <c r="K27" i="8"/>
  <c r="G19" i="8"/>
  <c r="G13" i="11" s="1"/>
  <c r="G14" i="11"/>
  <c r="G20" i="11" s="1"/>
  <c r="G7" i="11"/>
  <c r="F33" i="8"/>
  <c r="F28" i="8"/>
  <c r="F15" i="11" s="1"/>
  <c r="G31" i="8"/>
  <c r="G33" i="8"/>
  <c r="G24" i="11" s="1"/>
  <c r="H34" i="8"/>
  <c r="H16" i="11" s="1"/>
  <c r="I19" i="8"/>
  <c r="I13" i="11" s="1"/>
  <c r="I27" i="8"/>
  <c r="I8" i="11" s="1"/>
  <c r="E27" i="8"/>
  <c r="E19" i="8"/>
  <c r="E13" i="11" s="1"/>
  <c r="M19" i="8"/>
  <c r="M27" i="8"/>
  <c r="C34" i="8"/>
  <c r="C16" i="11" s="1"/>
  <c r="N7" i="11" l="1"/>
  <c r="N37" i="11"/>
  <c r="O37" i="11"/>
  <c r="O7" i="11"/>
  <c r="O13" i="11"/>
  <c r="N14" i="11"/>
  <c r="H38" i="8"/>
  <c r="H24" i="11"/>
  <c r="J6" i="12"/>
  <c r="J5" i="12"/>
  <c r="J4" i="12"/>
  <c r="J13" i="12"/>
  <c r="K13" i="12" s="1"/>
  <c r="J12" i="12"/>
  <c r="J10" i="12"/>
  <c r="J8" i="12"/>
  <c r="J7" i="12"/>
  <c r="K7" i="12" s="1"/>
  <c r="J11" i="12"/>
  <c r="J9" i="12"/>
  <c r="K9" i="12" s="1"/>
  <c r="N26" i="11"/>
  <c r="C42" i="8"/>
  <c r="C44" i="8" s="1"/>
  <c r="C23" i="11" s="1"/>
  <c r="O14" i="11"/>
  <c r="F34" i="8"/>
  <c r="F16" i="11" s="1"/>
  <c r="F24" i="11"/>
  <c r="O20" i="11"/>
  <c r="N20" i="11"/>
  <c r="F38" i="8"/>
  <c r="E8" i="11"/>
  <c r="F8" i="11"/>
  <c r="G34" i="8"/>
  <c r="G16" i="11" s="1"/>
  <c r="G9" i="11"/>
  <c r="K31" i="8"/>
  <c r="K8" i="11"/>
  <c r="K28" i="8"/>
  <c r="K15" i="11" s="1"/>
  <c r="K33" i="8"/>
  <c r="K24" i="11" s="1"/>
  <c r="D28" i="8"/>
  <c r="D15" i="11" s="1"/>
  <c r="O15" i="11" s="1"/>
  <c r="D8" i="11"/>
  <c r="D31" i="8"/>
  <c r="D33" i="8"/>
  <c r="D24" i="11" s="1"/>
  <c r="J8" i="11"/>
  <c r="J28" i="8"/>
  <c r="J15" i="11" s="1"/>
  <c r="J33" i="8"/>
  <c r="J24" i="11" s="1"/>
  <c r="J31" i="8"/>
  <c r="L28" i="8"/>
  <c r="L15" i="11" s="1"/>
  <c r="L8" i="11"/>
  <c r="L33" i="8"/>
  <c r="L24" i="11" s="1"/>
  <c r="L31" i="8"/>
  <c r="H9" i="11"/>
  <c r="G38" i="8"/>
  <c r="G39" i="8" s="1"/>
  <c r="F42" i="8"/>
  <c r="F44" i="8" s="1"/>
  <c r="F23" i="11" s="1"/>
  <c r="F25" i="11" s="1"/>
  <c r="H42" i="8"/>
  <c r="H44" i="8" s="1"/>
  <c r="H23" i="11" s="1"/>
  <c r="I33" i="8"/>
  <c r="I31" i="8"/>
  <c r="I28" i="8"/>
  <c r="I15" i="11" s="1"/>
  <c r="E33" i="8"/>
  <c r="E28" i="8"/>
  <c r="E15" i="11" s="1"/>
  <c r="E31" i="8"/>
  <c r="M28" i="8"/>
  <c r="M31" i="8"/>
  <c r="M33" i="8"/>
  <c r="I9" i="11" l="1"/>
  <c r="I24" i="11"/>
  <c r="O8" i="11"/>
  <c r="N8" i="11"/>
  <c r="K8" i="12"/>
  <c r="J15" i="12"/>
  <c r="J14" i="12"/>
  <c r="K14" i="12" s="1"/>
  <c r="J16" i="12"/>
  <c r="J17" i="12"/>
  <c r="K17" i="12" s="1"/>
  <c r="J18" i="12"/>
  <c r="K18" i="12" s="1"/>
  <c r="N24" i="11"/>
  <c r="H25" i="11"/>
  <c r="N15" i="11"/>
  <c r="K10" i="12"/>
  <c r="K6" i="12"/>
  <c r="K5" i="12"/>
  <c r="C25" i="11"/>
  <c r="F9" i="11"/>
  <c r="E24" i="11"/>
  <c r="O24" i="11" s="1"/>
  <c r="H39" i="8"/>
  <c r="K11" i="12"/>
  <c r="K12" i="12"/>
  <c r="D9" i="11"/>
  <c r="D38" i="8"/>
  <c r="D34" i="8"/>
  <c r="D16" i="11" s="1"/>
  <c r="K38" i="8"/>
  <c r="K9" i="11"/>
  <c r="K34" i="8"/>
  <c r="K16" i="11" s="1"/>
  <c r="E9" i="11"/>
  <c r="L9" i="11"/>
  <c r="L38" i="8"/>
  <c r="L34" i="8"/>
  <c r="L16" i="11" s="1"/>
  <c r="J9" i="11"/>
  <c r="J38" i="8"/>
  <c r="J42" i="8" s="1"/>
  <c r="J44" i="8" s="1"/>
  <c r="J23" i="11" s="1"/>
  <c r="J25" i="11" s="1"/>
  <c r="J34" i="8"/>
  <c r="J16" i="11" s="1"/>
  <c r="G42" i="8"/>
  <c r="G44" i="8" s="1"/>
  <c r="G23" i="11" s="1"/>
  <c r="G25" i="11" s="1"/>
  <c r="I34" i="8"/>
  <c r="I16" i="11" s="1"/>
  <c r="I38" i="8"/>
  <c r="E34" i="8"/>
  <c r="E16" i="11" s="1"/>
  <c r="E38" i="8"/>
  <c r="M34" i="8"/>
  <c r="O4" i="12" l="1" a="1"/>
  <c r="N9" i="11"/>
  <c r="O9" i="11"/>
  <c r="K15" i="12"/>
  <c r="O16" i="11"/>
  <c r="N16" i="11"/>
  <c r="K16" i="12"/>
  <c r="K42" i="8"/>
  <c r="K44" i="8" s="1"/>
  <c r="K23" i="11" s="1"/>
  <c r="K25" i="11" s="1"/>
  <c r="K39" i="8"/>
  <c r="D42" i="8"/>
  <c r="D44" i="8" s="1"/>
  <c r="D23" i="11" s="1"/>
  <c r="D39" i="8"/>
  <c r="L39" i="8"/>
  <c r="L42" i="8"/>
  <c r="L44" i="8" s="1"/>
  <c r="L23" i="11" s="1"/>
  <c r="L25" i="11" s="1"/>
  <c r="E39" i="8"/>
  <c r="E42" i="8"/>
  <c r="E44" i="8" s="1"/>
  <c r="E23" i="11" s="1"/>
  <c r="E25" i="11" s="1"/>
  <c r="F39" i="8"/>
  <c r="I39" i="8"/>
  <c r="I42" i="8"/>
  <c r="I44" i="8" s="1"/>
  <c r="I23" i="11" s="1"/>
  <c r="I25" i="11" s="1"/>
  <c r="J39" i="8"/>
  <c r="O4" i="12" l="1"/>
  <c r="O11" i="12"/>
  <c r="O13" i="12"/>
  <c r="O8" i="12"/>
  <c r="P8" i="12" s="1"/>
  <c r="O7" i="12"/>
  <c r="O9" i="12"/>
  <c r="O10" i="12"/>
  <c r="P10" i="12" s="1"/>
  <c r="O5" i="12"/>
  <c r="P5" i="12" s="1"/>
  <c r="O6" i="12"/>
  <c r="O12" i="12"/>
  <c r="D25" i="11"/>
  <c r="O23" i="11"/>
  <c r="N23" i="11"/>
  <c r="P11" i="12" l="1"/>
  <c r="O25" i="11"/>
  <c r="N25" i="11"/>
  <c r="P13" i="12"/>
  <c r="P12" i="12"/>
  <c r="P9" i="12"/>
  <c r="P6" i="12"/>
  <c r="P7" i="12"/>
  <c r="O18" i="12"/>
  <c r="O15" i="12"/>
  <c r="O14" i="12"/>
  <c r="P14" i="12" s="1"/>
  <c r="O16" i="12"/>
  <c r="P16" i="12" s="1"/>
  <c r="O17" i="12"/>
  <c r="P15" i="12" l="1"/>
  <c r="P17" i="12"/>
  <c r="P18" i="12"/>
</calcChain>
</file>

<file path=xl/sharedStrings.xml><?xml version="1.0" encoding="utf-8"?>
<sst xmlns="http://schemas.openxmlformats.org/spreadsheetml/2006/main" count="230" uniqueCount="174">
  <si>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</si>
  <si>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</si>
  <si>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</si>
  <si>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</si>
  <si>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</si>
  <si>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</si>
  <si>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</si>
  <si>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</si>
  <si>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</si>
  <si>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</si>
  <si>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</si>
  <si>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</si>
  <si>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</si>
  <si>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</si>
  <si>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</si>
  <si>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</si>
  <si>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</si>
  <si>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</si>
  <si>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</si>
  <si>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</si>
  <si>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</si>
  <si>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</si>
  <si>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</si>
  <si>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</si>
  <si>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</si>
  <si>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</si>
  <si>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</si>
  <si>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</si>
  <si>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</si>
  <si>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</si>
  <si>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</si>
  <si>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</si>
  <si>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HDFC BANK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</si>
  <si>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</si>
  <si>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</si>
  <si>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</si>
  <si>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</si>
  <si>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</si>
  <si>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</si>
  <si>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</si>
  <si>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</si>
  <si>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</si>
  <si>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</si>
  <si>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</si>
  <si>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</si>
  <si>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</si>
  <si>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</si>
  <si>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</si>
  <si>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</si>
  <si>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</si>
  <si>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</si>
  <si>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</si>
  <si>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</si>
  <si>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</si>
  <si>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</t>
  </si>
  <si>
    <t>LTM</t>
  </si>
  <si>
    <t>Historical Financial Statement - HDFC</t>
  </si>
  <si>
    <t xml:space="preserve">Income Statement </t>
  </si>
  <si>
    <t xml:space="preserve">Sales </t>
  </si>
  <si>
    <t xml:space="preserve">Sales growth </t>
  </si>
  <si>
    <t>-</t>
  </si>
  <si>
    <t>COGS</t>
  </si>
  <si>
    <t xml:space="preserve">COGS % sales </t>
  </si>
  <si>
    <t xml:space="preserve">Gross Margins </t>
  </si>
  <si>
    <t xml:space="preserve">Gross Profit  </t>
  </si>
  <si>
    <t>Sales &amp; General expenses</t>
  </si>
  <si>
    <t xml:space="preserve">S&amp;G Exp % sales </t>
  </si>
  <si>
    <t>EBITDA</t>
  </si>
  <si>
    <t xml:space="preserve">EBITDA Margins </t>
  </si>
  <si>
    <t xml:space="preserve">Interest </t>
  </si>
  <si>
    <t xml:space="preserve">Interest % sales </t>
  </si>
  <si>
    <t xml:space="preserve">Depreciation </t>
  </si>
  <si>
    <t xml:space="preserve">Dep % sales </t>
  </si>
  <si>
    <t xml:space="preserve">EBT </t>
  </si>
  <si>
    <t xml:space="preserve">EBT % sales </t>
  </si>
  <si>
    <t xml:space="preserve">Effective Tax Rate </t>
  </si>
  <si>
    <t xml:space="preserve">Net Profit </t>
  </si>
  <si>
    <t xml:space="preserve">net margins </t>
  </si>
  <si>
    <t>#</t>
  </si>
  <si>
    <t>adjusted equity shares</t>
  </si>
  <si>
    <t>EPS</t>
  </si>
  <si>
    <t xml:space="preserve">Divident per share </t>
  </si>
  <si>
    <t xml:space="preserve">EPS growth </t>
  </si>
  <si>
    <t>Divid payout ratio</t>
  </si>
  <si>
    <t>Retain earnings</t>
  </si>
  <si>
    <t xml:space="preserve">Balance sheet </t>
  </si>
  <si>
    <t xml:space="preserve">Total Liabilities </t>
  </si>
  <si>
    <t>fixed assest (net block)</t>
  </si>
  <si>
    <t>Total non cuurent Assests</t>
  </si>
  <si>
    <t xml:space="preserve">Total current Assests </t>
  </si>
  <si>
    <t xml:space="preserve">Total Assests </t>
  </si>
  <si>
    <t xml:space="preserve">check </t>
  </si>
  <si>
    <t>Profit from operations</t>
  </si>
  <si>
    <t>Loans Advances</t>
  </si>
  <si>
    <t>Operating investments</t>
  </si>
  <si>
    <t>Operating Deposits</t>
  </si>
  <si>
    <t>Other WC items</t>
  </si>
  <si>
    <t>Working capital changes</t>
  </si>
  <si>
    <t>Direct taxes</t>
  </si>
  <si>
    <t>Fixed assets purchased</t>
  </si>
  <si>
    <t>Fixed assets sold</t>
  </si>
  <si>
    <t>Investments sold</t>
  </si>
  <si>
    <t>Invest in subsidiaries</t>
  </si>
  <si>
    <t>Acquisition of companies</t>
  </si>
  <si>
    <t>Other investing items</t>
  </si>
  <si>
    <t>Proceeds from shares</t>
  </si>
  <si>
    <t>Proceeds from debentures</t>
  </si>
  <si>
    <t>Redemption of debentures</t>
  </si>
  <si>
    <t>Proceeds from borrowings</t>
  </si>
  <si>
    <t>Repayment of borrowings</t>
  </si>
  <si>
    <t>Dividends paid</t>
  </si>
  <si>
    <t>Other financing items</t>
  </si>
  <si>
    <t>Cash from Operating Activity -</t>
  </si>
  <si>
    <t>Cash from Investing Activity -</t>
  </si>
  <si>
    <t>Cash from Financing Activity -</t>
  </si>
  <si>
    <t>Cash flow Statement</t>
  </si>
  <si>
    <t xml:space="preserve">Cash from Operating Activity </t>
  </si>
  <si>
    <t>Operating activity</t>
  </si>
  <si>
    <t xml:space="preserve">Invest activity </t>
  </si>
  <si>
    <t xml:space="preserve">Cash Flow from Investing Activity </t>
  </si>
  <si>
    <t xml:space="preserve">Financial Activity </t>
  </si>
  <si>
    <t>Cash flow From Financing activity</t>
  </si>
  <si>
    <t xml:space="preserve">Net Cash Flow </t>
  </si>
  <si>
    <t>Ratio analysis of - HDFC</t>
  </si>
  <si>
    <t>SalesGrowth</t>
  </si>
  <si>
    <t>GrossMargin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</si>
  <si>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</si>
  <si>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</si>
  <si>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</si>
  <si>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</si>
  <si>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</si>
  <si>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</si>
  <si>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</si>
  <si>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</si>
  <si>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</si>
  <si>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</si>
  <si>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</si>
  <si>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</si>
  <si>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</si>
  <si>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</si>
  <si>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</si>
  <si>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</si>
  <si>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</si>
  <si>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</si>
  <si>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</si>
  <si>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</si>
  <si>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</si>
  <si>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</si>
  <si>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</si>
  <si>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</si>
  <si>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</si>
  <si>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</si>
  <si>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</si>
  <si>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</si>
  <si>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</si>
  <si>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 xml:space="preserve">Return on Capital Employed =EBIT/EQ+DEBT </t>
  </si>
  <si>
    <t>Return on Equity% = earning avaliable for share holder/share holder fund</t>
  </si>
  <si>
    <t>Self Sustained Growth Rate(P) =  Retention earning(B) * Return on Equity</t>
  </si>
  <si>
    <t>Mean</t>
  </si>
  <si>
    <t>Median</t>
  </si>
  <si>
    <t xml:space="preserve">Year weigth </t>
  </si>
  <si>
    <t xml:space="preserve">year </t>
  </si>
  <si>
    <t>Sales Growth</t>
  </si>
  <si>
    <t>HDFC Sales Forecasting</t>
  </si>
  <si>
    <t>HDFC EBIITDA Forecasting</t>
  </si>
  <si>
    <t>EPS Growth</t>
  </si>
  <si>
    <t>HDFC EPS Forecasting</t>
  </si>
  <si>
    <t xml:space="preserve">Particular </t>
  </si>
  <si>
    <t>common size income statement - HDFC</t>
  </si>
  <si>
    <t>common size balance sheet statement - HDFC</t>
  </si>
  <si>
    <t>Total liability</t>
  </si>
  <si>
    <t>Total Assests</t>
  </si>
  <si>
    <t xml:space="preserve">total asset </t>
  </si>
  <si>
    <t xml:space="preserve">other Asset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</si>
</sst>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&quot;₹&quot;\ \(#,##0.0\)"/>
    <numFmt numFmtId="167" formatCode="&quot;₹&quot;\ #,##0.00"/>
    <numFmt numFmtId="168" formatCode="&quot;₹&quot;\ #,##0.0"/>
    <numFmt numFmtId="169" formatCode="0.0%"/>
    <numFmt numFmtId="170" formatCode="0.00&quot;x&quot;"/>
    <numFmt numFmtId="171" formatCode="#,##0&quot; Days&quot;"/>
    <numFmt numFmtId="172" formatCode="0&quot;A&quot;"/>
    <numFmt numFmtId="173" formatCode="0&quot;E&quot;"/>
    <numFmt numFmtId="17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</font>
    <font>
      <i/>
      <sz val="11"/>
      <color theme="3" tint="0.399975585192419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606F7B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BE4F0"/>
      </bottom>
      <diagonal/>
    </border>
    <border>
      <left/>
      <right/>
      <top style="medium">
        <color rgb="FFDBE4F0"/>
      </top>
      <bottom/>
      <diagonal/>
    </border>
    <border>
      <left/>
      <right/>
      <top style="dotted">
        <color theme="8" tint="-0.24994659260841701"/>
      </top>
      <bottom style="dotted">
        <color theme="8" tint="-0.2499465926084170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84">
    <xf numFmtId="0" fontId="0" fillId="0" borderId="0" xfId="0"/>
    <xf numFmtId="43" fontId="1" fillId="0" borderId="0" xfId="1" applyFont="1" applyBorder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164" fontId="0" fillId="0" borderId="0" xfId="1" applyNumberFormat="1" applyFont="1" applyBorder="1"/>
    <xf numFmtId="17" fontId="0" fillId="0" borderId="0" xfId="0" applyNumberFormat="1"/>
    <xf numFmtId="0" fontId="2" fillId="5" borderId="0" xfId="0" applyFont="1" applyFill="1"/>
    <xf numFmtId="17" fontId="2" fillId="5" borderId="0" xfId="0" applyNumberFormat="1" applyFont="1" applyFill="1"/>
    <xf numFmtId="17" fontId="2" fillId="5" borderId="0" xfId="0" applyNumberFormat="1" applyFont="1" applyFill="1" applyAlignment="1">
      <alignment horizontal="right"/>
    </xf>
    <xf numFmtId="0" fontId="0" fillId="6" borderId="0" xfId="0" applyFill="1"/>
    <xf numFmtId="0" fontId="8" fillId="0" borderId="0" xfId="0" applyFont="1"/>
    <xf numFmtId="0" fontId="8" fillId="0" borderId="0" xfId="0" applyFont="1" applyAlignment="1">
      <alignment horizontal="right"/>
    </xf>
    <xf numFmtId="10" fontId="8" fillId="0" borderId="0" xfId="4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0" fontId="8" fillId="0" borderId="0" xfId="4" applyNumberFormat="1" applyFont="1" applyAlignment="1">
      <alignment horizontal="right"/>
    </xf>
    <xf numFmtId="10" fontId="3" fillId="0" borderId="0" xfId="4" applyNumberFormat="1" applyFont="1"/>
    <xf numFmtId="0" fontId="1" fillId="6" borderId="0" xfId="0" applyFont="1" applyFill="1"/>
    <xf numFmtId="0" fontId="1" fillId="0" borderId="0" xfId="0" applyFont="1"/>
    <xf numFmtId="0" fontId="9" fillId="0" borderId="0" xfId="0" applyFont="1"/>
    <xf numFmtId="17" fontId="10" fillId="7" borderId="1" xfId="0" applyNumberFormat="1" applyFont="1" applyFill="1" applyBorder="1" applyAlignment="1">
      <alignment horizontal="right" vertical="center" wrapText="1"/>
    </xf>
    <xf numFmtId="0" fontId="11" fillId="8" borderId="2" xfId="0" applyFont="1" applyFill="1" applyBorder="1" applyAlignment="1">
      <alignment horizontal="left" vertical="center" indent="2"/>
    </xf>
    <xf numFmtId="3" fontId="11" fillId="8" borderId="2" xfId="0" applyNumberFormat="1" applyFont="1" applyFill="1" applyBorder="1" applyAlignment="1">
      <alignment horizontal="right" vertical="center" wrapText="1"/>
    </xf>
    <xf numFmtId="0" fontId="11" fillId="8" borderId="2" xfId="0" applyFont="1" applyFill="1" applyBorder="1" applyAlignment="1">
      <alignment horizontal="left" vertical="center"/>
    </xf>
    <xf numFmtId="0" fontId="12" fillId="8" borderId="0" xfId="0" applyFont="1" applyFill="1" applyAlignment="1">
      <alignment horizontal="left" vertical="center"/>
    </xf>
    <xf numFmtId="3" fontId="12" fillId="8" borderId="0" xfId="0" applyNumberFormat="1" applyFont="1" applyFill="1" applyAlignment="1">
      <alignment horizontal="right" vertical="center" wrapText="1"/>
    </xf>
    <xf numFmtId="0" fontId="12" fillId="8" borderId="0" xfId="0" applyFont="1" applyFill="1" applyAlignment="1">
      <alignment horizontal="right" vertical="center" wrapText="1"/>
    </xf>
    <xf numFmtId="0" fontId="11" fillId="7" borderId="2" xfId="0" applyFont="1" applyFill="1" applyBorder="1" applyAlignment="1">
      <alignment horizontal="left" vertical="center" indent="2"/>
    </xf>
    <xf numFmtId="3" fontId="11" fillId="7" borderId="2" xfId="0" applyNumberFormat="1" applyFont="1" applyFill="1" applyBorder="1" applyAlignment="1">
      <alignment horizontal="right" vertical="center" wrapText="1"/>
    </xf>
    <xf numFmtId="0" fontId="11" fillId="7" borderId="2" xfId="0" applyFont="1" applyFill="1" applyBorder="1" applyAlignment="1">
      <alignment horizontal="right" vertical="center" wrapText="1"/>
    </xf>
    <xf numFmtId="0" fontId="12" fillId="7" borderId="0" xfId="0" applyFont="1" applyFill="1" applyAlignment="1">
      <alignment horizontal="left" vertical="center"/>
    </xf>
    <xf numFmtId="0" fontId="12" fillId="7" borderId="0" xfId="0" applyFont="1" applyFill="1" applyAlignment="1">
      <alignment horizontal="right" vertical="center" wrapText="1"/>
    </xf>
    <xf numFmtId="3" fontId="12" fillId="7" borderId="0" xfId="0" applyNumberFormat="1" applyFont="1" applyFill="1" applyAlignment="1">
      <alignment horizontal="right" vertical="center" wrapText="1"/>
    </xf>
    <xf numFmtId="0" fontId="0" fillId="4" borderId="0" xfId="0" applyFill="1"/>
    <xf numFmtId="166" fontId="1" fillId="0" borderId="0" xfId="0" applyNumberFormat="1" applyFont="1"/>
    <xf numFmtId="0" fontId="0" fillId="0" borderId="3" xfId="0" applyBorder="1"/>
    <xf numFmtId="168" fontId="0" fillId="0" borderId="3" xfId="0" applyNumberFormat="1" applyBorder="1"/>
    <xf numFmtId="166" fontId="0" fillId="0" borderId="3" xfId="0" applyNumberFormat="1" applyBorder="1"/>
    <xf numFmtId="43" fontId="1" fillId="0" borderId="3" xfId="1" applyFont="1" applyBorder="1"/>
    <xf numFmtId="168" fontId="1" fillId="0" borderId="3" xfId="0" applyNumberFormat="1" applyFont="1" applyBorder="1"/>
    <xf numFmtId="43" fontId="1" fillId="0" borderId="3" xfId="1" applyFont="1" applyFill="1" applyBorder="1"/>
    <xf numFmtId="17" fontId="2" fillId="4" borderId="0" xfId="0" applyNumberFormat="1" applyFont="1" applyFill="1" applyAlignment="1">
      <alignment horizontal="right"/>
    </xf>
    <xf numFmtId="0" fontId="2" fillId="4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/>
    <xf numFmtId="10" fontId="0" fillId="0" borderId="4" xfId="4" applyNumberFormat="1" applyFont="1" applyBorder="1" applyAlignment="1">
      <alignment wrapText="1"/>
    </xf>
    <xf numFmtId="10" fontId="0" fillId="0" borderId="0" xfId="4" applyNumberFormat="1" applyFont="1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5" xfId="0" applyBorder="1"/>
    <xf numFmtId="10" fontId="0" fillId="0" borderId="5" xfId="4" applyNumberFormat="1" applyFont="1" applyBorder="1" applyAlignment="1">
      <alignment wrapText="1"/>
    </xf>
    <xf numFmtId="169" fontId="0" fillId="0" borderId="0" xfId="4" applyNumberFormat="1" applyFont="1" applyBorder="1" applyAlignment="1">
      <alignment wrapText="1"/>
    </xf>
    <xf numFmtId="170" fontId="0" fillId="0" borderId="5" xfId="0" applyNumberFormat="1" applyBorder="1" applyAlignment="1">
      <alignment wrapText="1"/>
    </xf>
    <xf numFmtId="0" fontId="0" fillId="0" borderId="4" xfId="0" applyBorder="1" applyAlignment="1">
      <alignment wrapText="1"/>
    </xf>
    <xf numFmtId="170" fontId="0" fillId="0" borderId="0" xfId="0" applyNumberFormat="1" applyAlignment="1">
      <alignment wrapText="1"/>
    </xf>
    <xf numFmtId="171" fontId="0" fillId="0" borderId="4" xfId="0" applyNumberFormat="1" applyBorder="1" applyAlignment="1">
      <alignment wrapText="1"/>
    </xf>
    <xf numFmtId="171" fontId="0" fillId="0" borderId="0" xfId="0" applyNumberFormat="1" applyAlignment="1">
      <alignment wrapText="1"/>
    </xf>
    <xf numFmtId="171" fontId="0" fillId="0" borderId="5" xfId="0" applyNumberFormat="1" applyBorder="1" applyAlignment="1">
      <alignment wrapText="1"/>
    </xf>
    <xf numFmtId="0" fontId="0" fillId="4" borderId="4" xfId="0" applyFill="1" applyBorder="1"/>
    <xf numFmtId="0" fontId="0" fillId="4" borderId="5" xfId="0" applyFill="1" applyBorder="1"/>
    <xf numFmtId="0" fontId="0" fillId="0" borderId="0" xfId="0" applyAlignment="1">
      <alignment horizontal="left"/>
    </xf>
    <xf numFmtId="172" fontId="0" fillId="0" borderId="0" xfId="0" applyNumberFormat="1"/>
    <xf numFmtId="173" fontId="0" fillId="0" borderId="0" xfId="0" applyNumberFormat="1"/>
    <xf numFmtId="0" fontId="13" fillId="5" borderId="0" xfId="0" applyFont="1" applyFill="1"/>
    <xf numFmtId="174" fontId="0" fillId="0" borderId="0" xfId="0" applyNumberFormat="1"/>
    <xf numFmtId="43" fontId="0" fillId="0" borderId="0" xfId="0" applyNumberFormat="1"/>
    <xf numFmtId="10" fontId="0" fillId="0" borderId="0" xfId="4" applyNumberFormat="1" applyFont="1"/>
    <xf numFmtId="0" fontId="14" fillId="4" borderId="0" xfId="0" applyFont="1" applyFill="1" applyAlignment="1">
      <alignment horizontal="center"/>
    </xf>
    <xf numFmtId="17" fontId="1" fillId="0" borderId="9" xfId="0" applyNumberFormat="1" applyFont="1" applyBorder="1"/>
    <xf numFmtId="0" fontId="1" fillId="0" borderId="9" xfId="0" applyFont="1" applyBorder="1"/>
    <xf numFmtId="17" fontId="1" fillId="0" borderId="0" xfId="0" applyNumberFormat="1" applyFont="1"/>
    <xf numFmtId="43" fontId="1" fillId="0" borderId="0" xfId="0" applyNumberFormat="1" applyFont="1"/>
    <xf numFmtId="0" fontId="2" fillId="5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3" fontId="7" fillId="4" borderId="0" xfId="2" applyNumberFormat="1" applyFont="1" applyFill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0" fontId="14" fillId="5" borderId="0" xfId="0" applyFont="1" applyFill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6E7B7D-4494-4434-9D1C-1952BFC2769D}">
  <we:reference id="wa200001584" version="2.8.1.5" store="en-US" storeType="OMEX"/>
  <we:alternateReferences>
    <we:reference id="WA200001584" version="2.8.1.5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9DDF-4009-4765-A48C-39ABFBF00C4F}">
  <dimension ref="A2:N100"/>
  <sheetViews>
    <sheetView showGridLines="0" zoomScale="115" workbookViewId="0">
      <pane ySplit="3" topLeftCell="A18" activePane="bottomLeft" state="frozen"/>
      <selection pane="bottomLeft" activeCell="C44" sqref="C44"/>
    </sheetView>
  </sheetViews>
  <sheetFormatPr defaultRowHeight="14.4" outlineLevelRow="1" x14ac:dyDescent="0.3"/>
  <cols>
    <col min="1" max="1" width="1.88671875" customWidth="1"/>
    <col min="2" max="2" width="29" bestFit="1" customWidth="1"/>
    <col min="3" max="3" width="13.21875" customWidth="1"/>
    <col min="4" max="4" width="14.44140625" customWidth="1"/>
    <col min="5" max="5" width="14.21875" customWidth="1"/>
    <col min="6" max="6" width="13.77734375" customWidth="1"/>
    <col min="7" max="7" width="15" customWidth="1"/>
    <col min="8" max="8" width="13.88671875" customWidth="1"/>
    <col min="9" max="9" width="14.33203125" customWidth="1"/>
    <col min="10" max="10" width="13.109375" customWidth="1"/>
    <col min="11" max="11" width="14.6640625" customWidth="1"/>
    <col min="12" max="12" width="14.77734375" customWidth="1"/>
    <col min="13" max="13" width="12.33203125" bestFit="1" customWidth="1"/>
  </cols>
  <sheetData>
    <row r="2" spans="1:13" x14ac:dyDescent="0.3">
      <c r="B2" s="77" t="s">
        <v>56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x14ac:dyDescent="0.3">
      <c r="B3" s="9" t="s">
        <v>54</v>
      </c>
      <c r="C3" s="11">
        <f>IFERROR('Data Sheet'!B16,0)</f>
        <v>42460</v>
      </c>
      <c r="D3" s="10">
        <f>IFERROR('Data Sheet'!C16,0)</f>
        <v>42825</v>
      </c>
      <c r="E3" s="10">
        <f>IFERROR('Data Sheet'!D16,0)</f>
        <v>43190</v>
      </c>
      <c r="F3" s="10">
        <f>IFERROR('Data Sheet'!E16,0)</f>
        <v>43555</v>
      </c>
      <c r="G3" s="10">
        <f>IFERROR('Data Sheet'!F16,0)</f>
        <v>43921</v>
      </c>
      <c r="H3" s="10">
        <f>IFERROR('Data Sheet'!G16,0)</f>
        <v>44286</v>
      </c>
      <c r="I3" s="10">
        <f>IFERROR('Data Sheet'!H16,0)</f>
        <v>44651</v>
      </c>
      <c r="J3" s="10">
        <f>IFERROR('Data Sheet'!I16,0)</f>
        <v>45016</v>
      </c>
      <c r="K3" s="10">
        <f>IFERROR('Data Sheet'!J16,0)</f>
        <v>45382</v>
      </c>
      <c r="L3" s="10">
        <f>IFERROR('Data Sheet'!K16,0)</f>
        <v>45747</v>
      </c>
      <c r="M3" s="11" t="s">
        <v>55</v>
      </c>
    </row>
    <row r="5" spans="1:13" x14ac:dyDescent="0.3">
      <c r="A5" t="s">
        <v>78</v>
      </c>
      <c r="B5" s="21" t="s">
        <v>57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outlineLevel="1" x14ac:dyDescent="0.3">
      <c r="B6" t="s">
        <v>58</v>
      </c>
      <c r="C6" s="18">
        <f>IFERROR(SUM('Data Sheet'!B17,'Data Sheet'!B25),0)</f>
        <v>74373.209999999992</v>
      </c>
      <c r="D6" s="18">
        <f>IFERROR(SUM('Data Sheet'!C17,'Data Sheet'!C25),0)</f>
        <v>86176.430000000008</v>
      </c>
      <c r="E6" s="18">
        <f>IFERROR(SUM('Data Sheet'!D17,'Data Sheet'!D25),0)</f>
        <v>101344.44</v>
      </c>
      <c r="F6" s="18">
        <f>IFERROR(SUM('Data Sheet'!E17,'Data Sheet'!E25),0)</f>
        <v>124107.79000000001</v>
      </c>
      <c r="G6" s="18">
        <f>IFERROR(SUM('Data Sheet'!F17,'Data Sheet'!F25),0)</f>
        <v>147068.26</v>
      </c>
      <c r="H6" s="18">
        <f>IFERROR(SUM('Data Sheet'!G17,'Data Sheet'!G25),0)</f>
        <v>155885.28</v>
      </c>
      <c r="I6" s="18">
        <f>IFERROR(SUM('Data Sheet'!H17,'Data Sheet'!H25),0)</f>
        <v>167695.4</v>
      </c>
      <c r="J6" s="18">
        <f>IFERROR(SUM('Data Sheet'!I17,'Data Sheet'!I25),0)</f>
        <v>204666.09999999998</v>
      </c>
      <c r="K6" s="18">
        <f>IFERROR(SUM('Data Sheet'!J17,'Data Sheet'!J25),0)</f>
        <v>407994.77</v>
      </c>
      <c r="L6" s="18">
        <f>IFERROR(SUM('Data Sheet'!K17,'Data Sheet'!K25),0)</f>
        <v>470915.93</v>
      </c>
      <c r="M6" s="18">
        <f>IFERROR(SUM('Data Sheet'!H42:K42,'Data Sheet'!H44:K44),0)</f>
        <v>486974.41</v>
      </c>
    </row>
    <row r="7" spans="1:13" outlineLevel="1" x14ac:dyDescent="0.3">
      <c r="B7" s="13" t="s">
        <v>59</v>
      </c>
      <c r="C7" s="14" t="s">
        <v>60</v>
      </c>
      <c r="D7" s="15">
        <f>(D6-C6)/C6</f>
        <v>0.15870257583342195</v>
      </c>
      <c r="E7" s="15">
        <f t="shared" ref="E7:M7" si="0">(E6-D6)/D6</f>
        <v>0.1760111204420976</v>
      </c>
      <c r="F7" s="15">
        <f t="shared" si="0"/>
        <v>0.22461370352433746</v>
      </c>
      <c r="G7" s="15">
        <f t="shared" si="0"/>
        <v>0.18500426121519042</v>
      </c>
      <c r="H7" s="15">
        <f t="shared" si="0"/>
        <v>5.9951889007186114E-2</v>
      </c>
      <c r="I7" s="15">
        <f t="shared" si="0"/>
        <v>7.576161135932781E-2</v>
      </c>
      <c r="J7" s="15">
        <f t="shared" si="0"/>
        <v>0.22046341163800548</v>
      </c>
      <c r="K7" s="15">
        <f t="shared" si="0"/>
        <v>0.99346530764010288</v>
      </c>
      <c r="L7" s="15">
        <f t="shared" si="0"/>
        <v>0.15422050630698028</v>
      </c>
      <c r="M7" s="15">
        <f t="shared" si="0"/>
        <v>3.4100524057446902E-2</v>
      </c>
    </row>
    <row r="8" spans="1:13" outlineLevel="1" x14ac:dyDescent="0.3"/>
    <row r="9" spans="1:13" outlineLevel="1" x14ac:dyDescent="0.3">
      <c r="B9" t="s">
        <v>61</v>
      </c>
      <c r="C9" s="18">
        <f>IFERROR(SUM('Data Sheet'!B21:B22),0)</f>
        <v>7350.82</v>
      </c>
      <c r="D9" s="18">
        <f>IFERROR(SUM('Data Sheet'!C21:C22),0)</f>
        <v>9780.0199999999986</v>
      </c>
      <c r="E9" s="18">
        <f>IFERROR(SUM('Data Sheet'!D21:D22),0)</f>
        <v>10512.119999999999</v>
      </c>
      <c r="F9" s="18">
        <f>IFERROR(SUM('Data Sheet'!E21:E22),0)</f>
        <v>11738.28</v>
      </c>
      <c r="G9" s="18">
        <f>IFERROR(SUM('Data Sheet'!F21:F22),0)</f>
        <v>14217.54</v>
      </c>
      <c r="H9" s="18">
        <f>IFERROR(SUM('Data Sheet'!G21:G22),0)</f>
        <v>15331.460000000001</v>
      </c>
      <c r="I9" s="18">
        <f>IFERROR(SUM('Data Sheet'!H21:H22),0)</f>
        <v>17677.079999999998</v>
      </c>
      <c r="J9" s="18">
        <f>IFERROR(SUM('Data Sheet'!I21:I22),0)</f>
        <v>22207.86</v>
      </c>
      <c r="K9" s="18">
        <f>IFERROR(SUM('Data Sheet'!J21:J22),0)</f>
        <v>34305.82</v>
      </c>
      <c r="L9" s="18">
        <f>IFERROR(SUM('Data Sheet'!K21:K22),0)</f>
        <v>38111.449999999997</v>
      </c>
      <c r="M9" s="18">
        <f>IFERROR(SUM('Data Sheet'!H43:K43),0)</f>
        <v>205586.69</v>
      </c>
    </row>
    <row r="10" spans="1:13" outlineLevel="1" x14ac:dyDescent="0.3">
      <c r="B10" s="13" t="s">
        <v>62</v>
      </c>
      <c r="C10" s="15">
        <f>C9/C6</f>
        <v>9.8836933352748929E-2</v>
      </c>
      <c r="D10" s="15">
        <f t="shared" ref="D10:M10" si="1">D9/D6</f>
        <v>0.11348834014126598</v>
      </c>
      <c r="E10" s="15">
        <f t="shared" si="1"/>
        <v>0.10372665732821651</v>
      </c>
      <c r="F10" s="15">
        <f t="shared" si="1"/>
        <v>9.4581331276626546E-2</v>
      </c>
      <c r="G10" s="15">
        <f t="shared" si="1"/>
        <v>9.6673068682528784E-2</v>
      </c>
      <c r="H10" s="15">
        <f t="shared" si="1"/>
        <v>9.8350915493752855E-2</v>
      </c>
      <c r="I10" s="15">
        <f t="shared" si="1"/>
        <v>0.10541183598357498</v>
      </c>
      <c r="J10" s="15">
        <f t="shared" si="1"/>
        <v>0.10850775971203831</v>
      </c>
      <c r="K10" s="15">
        <f t="shared" si="1"/>
        <v>8.4083969997948746E-2</v>
      </c>
      <c r="L10" s="15">
        <f t="shared" si="1"/>
        <v>8.0930475212422734E-2</v>
      </c>
      <c r="M10" s="15">
        <f t="shared" si="1"/>
        <v>0.42217144428595338</v>
      </c>
    </row>
    <row r="11" spans="1:13" outlineLevel="1" x14ac:dyDescent="0.3"/>
    <row r="12" spans="1:13" outlineLevel="1" x14ac:dyDescent="0.3">
      <c r="B12" s="39" t="s">
        <v>64</v>
      </c>
      <c r="C12" s="40">
        <f>C6-C9</f>
        <v>67022.389999999985</v>
      </c>
      <c r="D12" s="40">
        <f t="shared" ref="D12:M12" si="2">D6-D9</f>
        <v>76396.41</v>
      </c>
      <c r="E12" s="40">
        <f t="shared" si="2"/>
        <v>90832.320000000007</v>
      </c>
      <c r="F12" s="40">
        <f t="shared" si="2"/>
        <v>112369.51000000001</v>
      </c>
      <c r="G12" s="40">
        <f t="shared" si="2"/>
        <v>132850.72</v>
      </c>
      <c r="H12" s="40">
        <f t="shared" si="2"/>
        <v>140553.82</v>
      </c>
      <c r="I12" s="40">
        <f t="shared" si="2"/>
        <v>150018.32</v>
      </c>
      <c r="J12" s="40">
        <f t="shared" si="2"/>
        <v>182458.23999999999</v>
      </c>
      <c r="K12" s="40">
        <f t="shared" si="2"/>
        <v>373688.95</v>
      </c>
      <c r="L12" s="40">
        <f t="shared" si="2"/>
        <v>432804.48</v>
      </c>
      <c r="M12" s="40">
        <f t="shared" si="2"/>
        <v>281387.71999999997</v>
      </c>
    </row>
    <row r="13" spans="1:13" outlineLevel="1" x14ac:dyDescent="0.3">
      <c r="B13" s="13" t="s">
        <v>63</v>
      </c>
      <c r="C13" s="15">
        <f>C12/C6</f>
        <v>0.90116306664725099</v>
      </c>
      <c r="D13" s="15">
        <f t="shared" ref="D13:M13" si="3">D12/D6</f>
        <v>0.88651165985873392</v>
      </c>
      <c r="E13" s="15">
        <f t="shared" si="3"/>
        <v>0.89627334267178349</v>
      </c>
      <c r="F13" s="15">
        <f t="shared" si="3"/>
        <v>0.90541866872337351</v>
      </c>
      <c r="G13" s="15">
        <f t="shared" si="3"/>
        <v>0.90332693131747122</v>
      </c>
      <c r="H13" s="15">
        <f t="shared" si="3"/>
        <v>0.90164908450624726</v>
      </c>
      <c r="I13" s="15">
        <f t="shared" si="3"/>
        <v>0.89458816401642505</v>
      </c>
      <c r="J13" s="15">
        <f t="shared" si="3"/>
        <v>0.89149224028796181</v>
      </c>
      <c r="K13" s="15">
        <f t="shared" si="3"/>
        <v>0.91591603000205124</v>
      </c>
      <c r="L13" s="15">
        <f t="shared" si="3"/>
        <v>0.9190695247875772</v>
      </c>
      <c r="M13" s="15">
        <f t="shared" si="3"/>
        <v>0.57782855571404668</v>
      </c>
    </row>
    <row r="14" spans="1:13" outlineLevel="1" x14ac:dyDescent="0.3"/>
    <row r="15" spans="1:13" outlineLevel="1" x14ac:dyDescent="0.3">
      <c r="B15" t="s">
        <v>65</v>
      </c>
      <c r="C15" s="18">
        <f>IFERROR(SUM('Data Sheet'!B23:B24),0)</f>
        <v>12703.8</v>
      </c>
      <c r="D15" s="18">
        <f>IFERROR(SUM('Data Sheet'!C23:C24),0)</f>
        <v>14075.67</v>
      </c>
      <c r="E15" s="18">
        <f>IFERROR(SUM('Data Sheet'!D23:D24),0)</f>
        <v>19020.14</v>
      </c>
      <c r="F15" s="18">
        <f>IFERROR(SUM('Data Sheet'!E23:E24),0)</f>
        <v>23117.989999999998</v>
      </c>
      <c r="G15" s="18">
        <f>IFERROR(SUM('Data Sheet'!F23:F24),0)</f>
        <v>31241.67</v>
      </c>
      <c r="H15" s="18">
        <f>IFERROR(SUM('Data Sheet'!G23:G24),0)</f>
        <v>37125.07</v>
      </c>
      <c r="I15" s="18">
        <f>IFERROR(SUM('Data Sheet'!H23:H24),0)</f>
        <v>38879.879999999997</v>
      </c>
      <c r="J15" s="18">
        <f>IFERROR(SUM('Data Sheet'!I23:I24),0)</f>
        <v>40834.44</v>
      </c>
      <c r="K15" s="18">
        <f>IFERROR(SUM('Data Sheet'!J23:J24),0)</f>
        <v>139889.72</v>
      </c>
      <c r="L15" s="18">
        <f>IFERROR(SUM('Data Sheet'!K23:K24),0)</f>
        <v>148863</v>
      </c>
      <c r="M15" s="18">
        <f>IFERROR(SUM('Data Sheet'!L23:L24),0)</f>
        <v>0</v>
      </c>
    </row>
    <row r="16" spans="1:13" outlineLevel="1" x14ac:dyDescent="0.3">
      <c r="B16" s="15" t="s">
        <v>66</v>
      </c>
      <c r="C16" s="15">
        <f>C15/C6</f>
        <v>0.17081150591725167</v>
      </c>
      <c r="D16" s="15">
        <f t="shared" ref="D16:M16" si="4">D15/D6</f>
        <v>0.1633354967245684</v>
      </c>
      <c r="E16" s="15">
        <f t="shared" si="4"/>
        <v>0.18767817948374868</v>
      </c>
      <c r="F16" s="15">
        <f t="shared" si="4"/>
        <v>0.18627348049626857</v>
      </c>
      <c r="G16" s="15">
        <f t="shared" si="4"/>
        <v>0.21242972480941841</v>
      </c>
      <c r="H16" s="15">
        <f t="shared" si="4"/>
        <v>0.23815635446784969</v>
      </c>
      <c r="I16" s="15">
        <f t="shared" si="4"/>
        <v>0.23184822004658445</v>
      </c>
      <c r="J16" s="15">
        <f t="shared" si="4"/>
        <v>0.19951736022721892</v>
      </c>
      <c r="K16" s="15">
        <f t="shared" si="4"/>
        <v>0.34287135592448892</v>
      </c>
      <c r="L16" s="15">
        <f t="shared" si="4"/>
        <v>0.31611374879588383</v>
      </c>
      <c r="M16" s="15">
        <f t="shared" si="4"/>
        <v>0</v>
      </c>
    </row>
    <row r="17" spans="2:13" outlineLevel="1" x14ac:dyDescent="0.3"/>
    <row r="18" spans="2:13" outlineLevel="1" x14ac:dyDescent="0.3">
      <c r="B18" s="39" t="s">
        <v>67</v>
      </c>
      <c r="C18" s="40">
        <f>IFERROR(C12-C15,0)</f>
        <v>54318.589999999982</v>
      </c>
      <c r="D18" s="40">
        <f t="shared" ref="D18:M18" si="5">IFERROR(D12-D15,0)</f>
        <v>62320.740000000005</v>
      </c>
      <c r="E18" s="40">
        <f t="shared" si="5"/>
        <v>71812.180000000008</v>
      </c>
      <c r="F18" s="40">
        <f t="shared" si="5"/>
        <v>89251.520000000019</v>
      </c>
      <c r="G18" s="40">
        <f t="shared" si="5"/>
        <v>101609.05</v>
      </c>
      <c r="H18" s="40">
        <f t="shared" si="5"/>
        <v>103428.75</v>
      </c>
      <c r="I18" s="40">
        <f t="shared" si="5"/>
        <v>111138.44</v>
      </c>
      <c r="J18" s="40">
        <f t="shared" si="5"/>
        <v>141623.79999999999</v>
      </c>
      <c r="K18" s="40">
        <f t="shared" si="5"/>
        <v>233799.23</v>
      </c>
      <c r="L18" s="40">
        <f t="shared" si="5"/>
        <v>283941.48</v>
      </c>
      <c r="M18" s="40">
        <f t="shared" si="5"/>
        <v>281387.71999999997</v>
      </c>
    </row>
    <row r="19" spans="2:13" outlineLevel="1" x14ac:dyDescent="0.3">
      <c r="B19" s="15" t="s">
        <v>68</v>
      </c>
      <c r="C19" s="15">
        <f>C18/C6</f>
        <v>0.73035156072999929</v>
      </c>
      <c r="D19" s="15">
        <f t="shared" ref="D19:M19" si="6">D18/D6</f>
        <v>0.72317616313416555</v>
      </c>
      <c r="E19" s="15">
        <f t="shared" si="6"/>
        <v>0.70859516318803484</v>
      </c>
      <c r="F19" s="15">
        <f t="shared" si="6"/>
        <v>0.71914518822710494</v>
      </c>
      <c r="G19" s="15">
        <f t="shared" si="6"/>
        <v>0.69089720650805275</v>
      </c>
      <c r="H19" s="15">
        <f t="shared" si="6"/>
        <v>0.66349273003839748</v>
      </c>
      <c r="I19" s="15">
        <f t="shared" si="6"/>
        <v>0.66273994396984059</v>
      </c>
      <c r="J19" s="15">
        <f t="shared" si="6"/>
        <v>0.69197488006074281</v>
      </c>
      <c r="K19" s="15">
        <f t="shared" si="6"/>
        <v>0.57304467407756232</v>
      </c>
      <c r="L19" s="15">
        <f t="shared" si="6"/>
        <v>0.60295577599169348</v>
      </c>
      <c r="M19" s="15">
        <f t="shared" si="6"/>
        <v>0.57782855571404668</v>
      </c>
    </row>
    <row r="20" spans="2:13" outlineLevel="1" x14ac:dyDescent="0.3"/>
    <row r="21" spans="2:13" outlineLevel="1" x14ac:dyDescent="0.3">
      <c r="B21" t="s">
        <v>69</v>
      </c>
      <c r="C21" s="18">
        <f>IFERROR('Data Sheet'!B27,0)</f>
        <v>34069.57</v>
      </c>
      <c r="D21" s="18">
        <f>IFERROR('Data Sheet'!C27,0)</f>
        <v>38041.58</v>
      </c>
      <c r="E21" s="18">
        <f>IFERROR('Data Sheet'!D27,0)</f>
        <v>42381.48</v>
      </c>
      <c r="F21" s="18">
        <f>IFERROR('Data Sheet'!E27,0)</f>
        <v>53712.69</v>
      </c>
      <c r="G21" s="18">
        <f>IFERROR('Data Sheet'!F27,0)</f>
        <v>62137.42</v>
      </c>
      <c r="H21" s="18">
        <f>IFERROR('Data Sheet'!G27,0)</f>
        <v>59247.59</v>
      </c>
      <c r="I21" s="18">
        <f>IFERROR('Data Sheet'!H27,0)</f>
        <v>58584.33</v>
      </c>
      <c r="J21" s="18">
        <f>IFERROR('Data Sheet'!I27,0)</f>
        <v>77779.94</v>
      </c>
      <c r="K21" s="18">
        <f>IFERROR('Data Sheet'!J27,0)</f>
        <v>154138.54999999999</v>
      </c>
      <c r="L21" s="18">
        <f>IFERROR('Data Sheet'!K27,0)</f>
        <v>183894.2</v>
      </c>
      <c r="M21" s="18">
        <f>IFERROR(SUM('Data Sheet'!H46:K46),0)</f>
        <v>187023.21</v>
      </c>
    </row>
    <row r="22" spans="2:13" outlineLevel="1" x14ac:dyDescent="0.3">
      <c r="B22" s="15" t="s">
        <v>70</v>
      </c>
      <c r="C22" s="15">
        <f>C21/C6</f>
        <v>0.45808927703940711</v>
      </c>
      <c r="D22" s="15">
        <f t="shared" ref="D22:M22" si="7">D21/D6</f>
        <v>0.44143833760576989</v>
      </c>
      <c r="E22" s="15">
        <f t="shared" si="7"/>
        <v>0.41819245337978089</v>
      </c>
      <c r="F22" s="15">
        <f t="shared" si="7"/>
        <v>0.43279064110318938</v>
      </c>
      <c r="G22" s="15">
        <f t="shared" si="7"/>
        <v>0.42250734454871497</v>
      </c>
      <c r="H22" s="15">
        <f t="shared" si="7"/>
        <v>0.38007174250192188</v>
      </c>
      <c r="I22" s="15">
        <f t="shared" si="7"/>
        <v>0.34934965419445019</v>
      </c>
      <c r="J22" s="15">
        <f t="shared" si="7"/>
        <v>0.38003333233984532</v>
      </c>
      <c r="K22" s="15">
        <f t="shared" si="7"/>
        <v>0.37779540654405935</v>
      </c>
      <c r="L22" s="15">
        <f t="shared" si="7"/>
        <v>0.39050324757542182</v>
      </c>
      <c r="M22" s="15">
        <f t="shared" si="7"/>
        <v>0.38405141247565761</v>
      </c>
    </row>
    <row r="23" spans="2:13" outlineLevel="1" x14ac:dyDescent="0.3"/>
    <row r="24" spans="2:13" outlineLevel="1" x14ac:dyDescent="0.3">
      <c r="B24" t="s">
        <v>71</v>
      </c>
      <c r="C24" s="18">
        <f>IFERROR('Data Sheet'!B26,0)</f>
        <v>738.03</v>
      </c>
      <c r="D24" s="18">
        <f>IFERROR('Data Sheet'!C26,0)</f>
        <v>886.19</v>
      </c>
      <c r="E24" s="18">
        <f>IFERROR('Data Sheet'!D26,0)</f>
        <v>966.78</v>
      </c>
      <c r="F24" s="18">
        <f>IFERROR('Data Sheet'!E26,0)</f>
        <v>1220.67</v>
      </c>
      <c r="G24" s="18">
        <f>IFERROR('Data Sheet'!F26,0)</f>
        <v>1276.77</v>
      </c>
      <c r="H24" s="18">
        <f>IFERROR('Data Sheet'!G26,0)</f>
        <v>1385.01</v>
      </c>
      <c r="I24" s="18">
        <f>IFERROR('Data Sheet'!H26,0)</f>
        <v>1680.73</v>
      </c>
      <c r="J24" s="18">
        <f>IFERROR('Data Sheet'!I26,0)</f>
        <v>2345.4699999999998</v>
      </c>
      <c r="K24" s="18">
        <f>IFERROR('Data Sheet'!J26,0)</f>
        <v>3092.08</v>
      </c>
      <c r="L24" s="18">
        <f>IFERROR('Data Sheet'!K26,0)</f>
        <v>3805.23</v>
      </c>
      <c r="M24" s="18">
        <f>IFERROR('Data Sheet'!L26,0)</f>
        <v>0</v>
      </c>
    </row>
    <row r="25" spans="2:13" outlineLevel="1" x14ac:dyDescent="0.3">
      <c r="B25" s="15" t="s">
        <v>72</v>
      </c>
      <c r="C25" s="15">
        <f>C24/C6</f>
        <v>9.9233312640398339E-3</v>
      </c>
      <c r="D25" s="15">
        <f t="shared" ref="D25:M25" si="8">D24/D6</f>
        <v>1.028343829049312E-2</v>
      </c>
      <c r="E25" s="15">
        <f t="shared" si="8"/>
        <v>9.5395465207563437E-3</v>
      </c>
      <c r="F25" s="15">
        <f t="shared" si="8"/>
        <v>9.835563102042184E-3</v>
      </c>
      <c r="G25" s="15">
        <f t="shared" si="8"/>
        <v>8.6814789268602199E-3</v>
      </c>
      <c r="H25" s="15">
        <f t="shared" si="8"/>
        <v>8.8848029781901147E-3</v>
      </c>
      <c r="I25" s="15">
        <f t="shared" si="8"/>
        <v>1.0022517015970624E-2</v>
      </c>
      <c r="J25" s="15">
        <f t="shared" si="8"/>
        <v>1.1459982869659411E-2</v>
      </c>
      <c r="K25" s="15">
        <f t="shared" si="8"/>
        <v>7.5787245998275906E-3</v>
      </c>
      <c r="L25" s="15">
        <f t="shared" si="8"/>
        <v>8.0804868928515544E-3</v>
      </c>
      <c r="M25" s="15">
        <f t="shared" si="8"/>
        <v>0</v>
      </c>
    </row>
    <row r="26" spans="2:13" outlineLevel="1" x14ac:dyDescent="0.3"/>
    <row r="27" spans="2:13" outlineLevel="1" x14ac:dyDescent="0.3">
      <c r="B27" s="39" t="s">
        <v>73</v>
      </c>
      <c r="C27" s="40">
        <f>IFERROR(C18-SUM(C21,C24),0)</f>
        <v>19510.989999999983</v>
      </c>
      <c r="D27" s="40">
        <f t="shared" ref="D27:M27" si="9">IFERROR(D18-SUM(D21,D24),0)</f>
        <v>23392.97</v>
      </c>
      <c r="E27" s="40">
        <f t="shared" si="9"/>
        <v>28463.920000000006</v>
      </c>
      <c r="F27" s="40">
        <f t="shared" si="9"/>
        <v>34318.160000000018</v>
      </c>
      <c r="G27" s="40">
        <f t="shared" si="9"/>
        <v>38194.860000000008</v>
      </c>
      <c r="H27" s="40">
        <f t="shared" si="9"/>
        <v>42796.15</v>
      </c>
      <c r="I27" s="40">
        <f t="shared" si="9"/>
        <v>50873.38</v>
      </c>
      <c r="J27" s="40">
        <f t="shared" si="9"/>
        <v>61498.389999999985</v>
      </c>
      <c r="K27" s="41">
        <f t="shared" si="9"/>
        <v>76568.600000000035</v>
      </c>
      <c r="L27" s="41">
        <f t="shared" si="9"/>
        <v>96242.049999999959</v>
      </c>
      <c r="M27" s="41">
        <f t="shared" si="9"/>
        <v>94364.50999999998</v>
      </c>
    </row>
    <row r="28" spans="2:13" outlineLevel="1" x14ac:dyDescent="0.3">
      <c r="B28" s="15" t="s">
        <v>74</v>
      </c>
      <c r="C28" s="15">
        <f>C27/C6</f>
        <v>0.26233895242655231</v>
      </c>
      <c r="D28" s="15">
        <f t="shared" ref="D28:M28" si="10">D27/D6</f>
        <v>0.27145438723790249</v>
      </c>
      <c r="E28" s="15">
        <f t="shared" si="10"/>
        <v>0.28086316328749761</v>
      </c>
      <c r="F28" s="15">
        <f t="shared" si="10"/>
        <v>0.27651898402187336</v>
      </c>
      <c r="G28" s="15">
        <f t="shared" si="10"/>
        <v>0.25970838303247762</v>
      </c>
      <c r="H28" s="15">
        <f t="shared" si="10"/>
        <v>0.27453618455828543</v>
      </c>
      <c r="I28" s="15">
        <f t="shared" si="10"/>
        <v>0.30336777275941973</v>
      </c>
      <c r="J28" s="15">
        <f t="shared" si="10"/>
        <v>0.30048156485123817</v>
      </c>
      <c r="K28" s="15">
        <f t="shared" si="10"/>
        <v>0.18767054293367544</v>
      </c>
      <c r="L28" s="15">
        <f t="shared" si="10"/>
        <v>0.20437204152342003</v>
      </c>
      <c r="M28" s="15">
        <f t="shared" si="10"/>
        <v>0.19377714323838902</v>
      </c>
    </row>
    <row r="29" spans="2:13" outlineLevel="1" x14ac:dyDescent="0.3"/>
    <row r="30" spans="2:13" outlineLevel="1" x14ac:dyDescent="0.3">
      <c r="B30" t="s">
        <v>8</v>
      </c>
      <c r="C30" s="18">
        <f>IFERROR('Data Sheet'!B29,0)</f>
        <v>6693.66</v>
      </c>
      <c r="D30" s="18">
        <f>IFERROR('Data Sheet'!C29,0)</f>
        <v>8078.12</v>
      </c>
      <c r="E30" s="18">
        <f>IFERROR('Data Sheet'!D29,0)</f>
        <v>9903.08</v>
      </c>
      <c r="F30" s="18">
        <f>IFERROR('Data Sheet'!E29,0)</f>
        <v>11872.55</v>
      </c>
      <c r="G30" s="18">
        <f>IFERROR('Data Sheet'!F29,0)</f>
        <v>10898.59</v>
      </c>
      <c r="H30" s="18">
        <f>IFERROR('Data Sheet'!G29,0)</f>
        <v>10939.38</v>
      </c>
      <c r="I30" s="18">
        <f>IFERROR('Data Sheet'!H29,0)</f>
        <v>12722.48</v>
      </c>
      <c r="J30" s="18">
        <f>IFERROR('Data Sheet'!I29,0)</f>
        <v>15349.69</v>
      </c>
      <c r="K30" s="18">
        <f>IFERROR('Data Sheet'!J29,0)</f>
        <v>11122.1</v>
      </c>
      <c r="L30" s="18">
        <f>IFERROR('Data Sheet'!K29,0)</f>
        <v>22801.88</v>
      </c>
      <c r="M30" s="18">
        <f>IFERROR(SUM('Data Sheet'!H48:K48),0)</f>
        <v>21021.96</v>
      </c>
    </row>
    <row r="31" spans="2:13" outlineLevel="1" x14ac:dyDescent="0.3">
      <c r="B31" s="15" t="s">
        <v>75</v>
      </c>
      <c r="C31" s="15">
        <f>C30/C27</f>
        <v>0.34307126393893933</v>
      </c>
      <c r="D31" s="15">
        <f t="shared" ref="D31:M31" si="11">D30/D27</f>
        <v>0.34532254775686883</v>
      </c>
      <c r="E31" s="15">
        <f t="shared" si="11"/>
        <v>0.34791694186886407</v>
      </c>
      <c r="F31" s="15">
        <f t="shared" si="11"/>
        <v>0.34595531928285178</v>
      </c>
      <c r="G31" s="15">
        <f t="shared" si="11"/>
        <v>0.28534179729942716</v>
      </c>
      <c r="H31" s="15">
        <f t="shared" si="11"/>
        <v>0.25561598414810677</v>
      </c>
      <c r="I31" s="15">
        <f t="shared" si="11"/>
        <v>0.2500812802294638</v>
      </c>
      <c r="J31" s="15">
        <f t="shared" si="11"/>
        <v>0.24959498939728347</v>
      </c>
      <c r="K31" s="15">
        <f t="shared" si="11"/>
        <v>0.14525667179496549</v>
      </c>
      <c r="L31" s="15">
        <f t="shared" si="11"/>
        <v>0.23692221851051604</v>
      </c>
      <c r="M31" s="15">
        <f t="shared" si="11"/>
        <v>0.22277400688034096</v>
      </c>
    </row>
    <row r="32" spans="2:13" outlineLevel="1" x14ac:dyDescent="0.3"/>
    <row r="33" spans="1:13" outlineLevel="1" x14ac:dyDescent="0.3">
      <c r="B33" s="39" t="s">
        <v>76</v>
      </c>
      <c r="C33" s="40">
        <f>C27-C30</f>
        <v>12817.329999999984</v>
      </c>
      <c r="D33" s="40">
        <f t="shared" ref="D33:M33" si="12">D27-D30</f>
        <v>15314.850000000002</v>
      </c>
      <c r="E33" s="40">
        <f t="shared" si="12"/>
        <v>18560.840000000004</v>
      </c>
      <c r="F33" s="40">
        <f t="shared" si="12"/>
        <v>22445.610000000019</v>
      </c>
      <c r="G33" s="40">
        <f t="shared" si="12"/>
        <v>27296.270000000008</v>
      </c>
      <c r="H33" s="40">
        <f t="shared" si="12"/>
        <v>31856.770000000004</v>
      </c>
      <c r="I33" s="40">
        <f t="shared" si="12"/>
        <v>38150.899999999994</v>
      </c>
      <c r="J33" s="40">
        <f t="shared" si="12"/>
        <v>46148.699999999983</v>
      </c>
      <c r="K33" s="40">
        <f t="shared" si="12"/>
        <v>65446.500000000036</v>
      </c>
      <c r="L33" s="40">
        <f t="shared" si="12"/>
        <v>73440.169999999955</v>
      </c>
      <c r="M33" s="40">
        <f t="shared" si="12"/>
        <v>73342.549999999988</v>
      </c>
    </row>
    <row r="34" spans="1:13" outlineLevel="1" x14ac:dyDescent="0.3">
      <c r="B34" s="15" t="s">
        <v>77</v>
      </c>
      <c r="C34" s="15">
        <f>C33/C6</f>
        <v>0.17233799643715775</v>
      </c>
      <c r="D34" s="15">
        <f t="shared" ref="D34:M34" si="13">D33/D6</f>
        <v>0.17771506663713038</v>
      </c>
      <c r="E34" s="15">
        <f t="shared" si="13"/>
        <v>0.183146110432896</v>
      </c>
      <c r="F34" s="15">
        <f t="shared" si="13"/>
        <v>0.18085577061681637</v>
      </c>
      <c r="G34" s="15">
        <f t="shared" si="13"/>
        <v>0.18560272624426241</v>
      </c>
      <c r="H34" s="15">
        <f t="shared" si="13"/>
        <v>0.20436034755815305</v>
      </c>
      <c r="I34" s="15">
        <f t="shared" si="13"/>
        <v>0.22750117176738296</v>
      </c>
      <c r="J34" s="15">
        <f t="shared" si="13"/>
        <v>0.22548287185811419</v>
      </c>
      <c r="K34" s="15">
        <f t="shared" si="13"/>
        <v>0.16041014447317556</v>
      </c>
      <c r="L34" s="15">
        <f t="shared" si="13"/>
        <v>0.15595176404416805</v>
      </c>
      <c r="M34" s="15">
        <f t="shared" si="13"/>
        <v>0.15060863259734736</v>
      </c>
    </row>
    <row r="35" spans="1:13" outlineLevel="1" x14ac:dyDescent="0.3"/>
    <row r="36" spans="1:13" outlineLevel="1" x14ac:dyDescent="0.3">
      <c r="B36" t="s">
        <v>79</v>
      </c>
      <c r="C36" s="7">
        <f>IFERROR('Data Sheet'!B93,0)</f>
        <v>505.64</v>
      </c>
      <c r="D36" s="7">
        <f>IFERROR('Data Sheet'!C93,0)</f>
        <v>512.51</v>
      </c>
      <c r="E36" s="7">
        <f>IFERROR('Data Sheet'!D93,0)</f>
        <v>519.02</v>
      </c>
      <c r="F36" s="7">
        <f>IFERROR('Data Sheet'!E93,0)</f>
        <v>544.66</v>
      </c>
      <c r="G36" s="7">
        <f>IFERROR('Data Sheet'!F93,0)</f>
        <v>548.33000000000004</v>
      </c>
      <c r="H36" s="7">
        <f>IFERROR('Data Sheet'!G93,0)</f>
        <v>551.28</v>
      </c>
      <c r="I36" s="7">
        <f>IFERROR('Data Sheet'!H93,0)</f>
        <v>554.54999999999995</v>
      </c>
      <c r="J36" s="7">
        <f>IFERROR('Data Sheet'!I93,0)</f>
        <v>557.97</v>
      </c>
      <c r="K36" s="7">
        <f>IFERROR('Data Sheet'!J93,0)</f>
        <v>759.69</v>
      </c>
      <c r="L36" s="7">
        <f>IFERROR('Data Sheet'!K93,0)</f>
        <v>765.22</v>
      </c>
      <c r="M36" s="7">
        <f>IFERROR('Data Sheet'!L93,0)</f>
        <v>0</v>
      </c>
    </row>
    <row r="37" spans="1:13" outlineLevel="1" x14ac:dyDescent="0.3"/>
    <row r="38" spans="1:13" outlineLevel="1" x14ac:dyDescent="0.3">
      <c r="B38" t="s">
        <v>80</v>
      </c>
      <c r="C38" s="17">
        <f>IFERROR(C33/C36,0)</f>
        <v>25.348726366584891</v>
      </c>
      <c r="D38" s="17">
        <f t="shared" ref="D38:L38" si="14">IFERROR(D33/D36,0)</f>
        <v>29.882051081930115</v>
      </c>
      <c r="E38" s="17">
        <f t="shared" si="14"/>
        <v>35.761319409656672</v>
      </c>
      <c r="F38" s="17">
        <f t="shared" si="14"/>
        <v>41.210314691734332</v>
      </c>
      <c r="G38" s="17">
        <f t="shared" si="14"/>
        <v>49.78073422938742</v>
      </c>
      <c r="H38" s="17">
        <f t="shared" si="14"/>
        <v>57.78691409084314</v>
      </c>
      <c r="I38" s="17">
        <f t="shared" si="14"/>
        <v>68.796141015237581</v>
      </c>
      <c r="J38" s="17">
        <f t="shared" si="14"/>
        <v>82.708210118823558</v>
      </c>
      <c r="K38" s="17">
        <f t="shared" si="14"/>
        <v>86.148955495004586</v>
      </c>
      <c r="L38" s="17">
        <f t="shared" si="14"/>
        <v>95.972622252424074</v>
      </c>
      <c r="M38" s="17"/>
    </row>
    <row r="39" spans="1:13" outlineLevel="1" x14ac:dyDescent="0.3">
      <c r="B39" s="15" t="s">
        <v>82</v>
      </c>
      <c r="C39" s="19" t="s">
        <v>60</v>
      </c>
      <c r="D39" s="15">
        <f>IFERROR((D38-C38)/C38,0)</f>
        <v>0.17883836251911758</v>
      </c>
      <c r="E39" s="15">
        <f t="shared" ref="E39:L39" si="15">IFERROR((E38-D38)/D38,0)</f>
        <v>0.19674915592664224</v>
      </c>
      <c r="F39" s="15">
        <f t="shared" si="15"/>
        <v>0.15237120363647047</v>
      </c>
      <c r="G39" s="15">
        <f t="shared" si="15"/>
        <v>0.20796782557382607</v>
      </c>
      <c r="H39" s="15">
        <f t="shared" si="15"/>
        <v>0.16082888260674497</v>
      </c>
      <c r="I39" s="15">
        <f t="shared" si="15"/>
        <v>0.19051418643133519</v>
      </c>
      <c r="J39" s="15">
        <f t="shared" si="15"/>
        <v>0.20222164932920597</v>
      </c>
      <c r="K39" s="15">
        <f t="shared" si="15"/>
        <v>4.1601013626553482E-2</v>
      </c>
      <c r="L39" s="15">
        <f t="shared" si="15"/>
        <v>0.11403117659376753</v>
      </c>
      <c r="M39" s="17"/>
    </row>
    <row r="40" spans="1:13" outlineLevel="1" x14ac:dyDescent="0.3"/>
    <row r="41" spans="1:13" outlineLevel="1" x14ac:dyDescent="0.3">
      <c r="B41" t="s">
        <v>81</v>
      </c>
      <c r="C41" s="17">
        <f>IFERROR('Data Sheet'!B31/'Data Sheet'!B93,0)</f>
        <v>4.75</v>
      </c>
      <c r="D41" s="17">
        <f>IFERROR('Data Sheet'!C31/'Data Sheet'!C93,0)</f>
        <v>5.4999902440927988</v>
      </c>
      <c r="E41" s="17">
        <f>IFERROR('Data Sheet'!D31/'Data Sheet'!D93,0)</f>
        <v>6.5</v>
      </c>
      <c r="F41" s="17">
        <f>IFERROR('Data Sheet'!E31/'Data Sheet'!E93,0)</f>
        <v>7.5</v>
      </c>
      <c r="G41" s="17">
        <f>IFERROR('Data Sheet'!F31/'Data Sheet'!F93,0)</f>
        <v>2.4999908814035341</v>
      </c>
      <c r="H41" s="17">
        <f>IFERROR('Data Sheet'!G31/'Data Sheet'!G93,0)</f>
        <v>6.5000000000000009</v>
      </c>
      <c r="I41" s="17">
        <f>IFERROR('Data Sheet'!H31/'Data Sheet'!H93,0)</f>
        <v>15.499990983680464</v>
      </c>
      <c r="J41" s="17">
        <f>IFERROR('Data Sheet'!I31/'Data Sheet'!I93,0)</f>
        <v>19</v>
      </c>
      <c r="K41" s="17">
        <f>IFERROR('Data Sheet'!J31/'Data Sheet'!J93,0)</f>
        <v>19.500006581631979</v>
      </c>
      <c r="L41" s="17">
        <f>IFERROR('Data Sheet'!K31/'Data Sheet'!K93,0)</f>
        <v>22</v>
      </c>
      <c r="M41" s="17">
        <f>IFERROR('Data Sheet'!L31/'Data Sheet'!L93,0)</f>
        <v>0</v>
      </c>
    </row>
    <row r="42" spans="1:13" outlineLevel="1" x14ac:dyDescent="0.3">
      <c r="B42" s="15" t="s">
        <v>83</v>
      </c>
      <c r="C42" s="15">
        <f>IFERROR(C41/C38,0)</f>
        <v>0.1873861404832366</v>
      </c>
      <c r="D42" s="15">
        <f t="shared" ref="D42:M42" si="16">IFERROR(D41/D38,0)</f>
        <v>0.18405665089765813</v>
      </c>
      <c r="E42" s="15">
        <f t="shared" si="16"/>
        <v>0.18176063152314223</v>
      </c>
      <c r="F42" s="15">
        <f t="shared" si="16"/>
        <v>0.18199327173554189</v>
      </c>
      <c r="G42" s="15">
        <f t="shared" si="16"/>
        <v>5.0220048380236554E-2</v>
      </c>
      <c r="H42" s="15">
        <f t="shared" si="16"/>
        <v>0.11248221335684691</v>
      </c>
      <c r="I42" s="15">
        <f t="shared" si="16"/>
        <v>0.22530320385626554</v>
      </c>
      <c r="J42" s="15">
        <f t="shared" si="16"/>
        <v>0.22972326414395214</v>
      </c>
      <c r="K42" s="15">
        <f t="shared" si="16"/>
        <v>0.2263522113482003</v>
      </c>
      <c r="L42" s="15">
        <f t="shared" si="16"/>
        <v>0.22923204017637774</v>
      </c>
      <c r="M42" s="15">
        <f t="shared" si="16"/>
        <v>0</v>
      </c>
    </row>
    <row r="43" spans="1:13" outlineLevel="1" x14ac:dyDescent="0.3"/>
    <row r="44" spans="1:13" outlineLevel="1" x14ac:dyDescent="0.3">
      <c r="B44" t="s">
        <v>84</v>
      </c>
      <c r="C44" s="20">
        <f>IFERROR(1-C42,0)</f>
        <v>0.81261385951676335</v>
      </c>
      <c r="D44" s="20">
        <f t="shared" ref="D44:L44" si="17">IFERROR(1-D42,0)</f>
        <v>0.8159433491023419</v>
      </c>
      <c r="E44" s="20">
        <f t="shared" si="17"/>
        <v>0.81823936847685774</v>
      </c>
      <c r="F44" s="20">
        <f t="shared" si="17"/>
        <v>0.81800672826445808</v>
      </c>
      <c r="G44" s="20">
        <f t="shared" si="17"/>
        <v>0.94977995161976347</v>
      </c>
      <c r="H44" s="20">
        <f t="shared" si="17"/>
        <v>0.88751778664315306</v>
      </c>
      <c r="I44" s="20">
        <f t="shared" si="17"/>
        <v>0.77469679614373443</v>
      </c>
      <c r="J44" s="20">
        <f t="shared" si="17"/>
        <v>0.77027673585604783</v>
      </c>
      <c r="K44" s="20">
        <f t="shared" si="17"/>
        <v>0.77364778865179973</v>
      </c>
      <c r="L44" s="20">
        <f t="shared" si="17"/>
        <v>0.77076795982362223</v>
      </c>
      <c r="M44" s="20"/>
    </row>
    <row r="47" spans="1:13" x14ac:dyDescent="0.3">
      <c r="A47" t="s">
        <v>78</v>
      </c>
      <c r="B47" s="21" t="s">
        <v>85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outlineLevel="1" x14ac:dyDescent="0.3">
      <c r="B48" s="3" t="s">
        <v>10</v>
      </c>
      <c r="C48" s="18">
        <f>IFERROR('Data Sheet'!B57,0)</f>
        <v>505.64</v>
      </c>
      <c r="D48" s="18">
        <f>IFERROR('Data Sheet'!C57,0)</f>
        <v>512.51</v>
      </c>
      <c r="E48" s="18">
        <f>IFERROR('Data Sheet'!D57,0)</f>
        <v>519.02</v>
      </c>
      <c r="F48" s="18">
        <f>IFERROR('Data Sheet'!E57,0)</f>
        <v>544.66</v>
      </c>
      <c r="G48" s="18">
        <f>IFERROR('Data Sheet'!F57,0)</f>
        <v>548.33000000000004</v>
      </c>
      <c r="H48" s="18">
        <f>IFERROR('Data Sheet'!G57,0)</f>
        <v>551.28</v>
      </c>
      <c r="I48" s="18">
        <f>IFERROR('Data Sheet'!H57,0)</f>
        <v>554.54999999999995</v>
      </c>
      <c r="J48" s="18">
        <f>IFERROR('Data Sheet'!I57,0)</f>
        <v>557.97</v>
      </c>
      <c r="K48" s="18">
        <f>IFERROR('Data Sheet'!J57,0)</f>
        <v>759.69</v>
      </c>
      <c r="L48" s="18">
        <f>IFERROR('Data Sheet'!K57,0)</f>
        <v>765.22</v>
      </c>
    </row>
    <row r="49" spans="1:12" outlineLevel="1" x14ac:dyDescent="0.3">
      <c r="B49" s="3" t="s">
        <v>11</v>
      </c>
      <c r="C49" s="18">
        <f>IFERROR('Data Sheet'!B58,0)</f>
        <v>73798.490000000005</v>
      </c>
      <c r="D49" s="18">
        <f>IFERROR('Data Sheet'!C58,0)</f>
        <v>91281.44</v>
      </c>
      <c r="E49" s="18">
        <f>IFERROR('Data Sheet'!D58,0)</f>
        <v>109080.11</v>
      </c>
      <c r="F49" s="18">
        <f>IFERROR('Data Sheet'!E58,0)</f>
        <v>153128</v>
      </c>
      <c r="G49" s="18">
        <f>IFERROR('Data Sheet'!F58,0)</f>
        <v>175810.38</v>
      </c>
      <c r="H49" s="18">
        <f>IFERROR('Data Sheet'!G58,0)</f>
        <v>209258.9</v>
      </c>
      <c r="I49" s="18">
        <f>IFERROR('Data Sheet'!H58,0)</f>
        <v>246771.62</v>
      </c>
      <c r="J49" s="18">
        <f>IFERROR('Data Sheet'!I58,0)</f>
        <v>288879.53000000003</v>
      </c>
      <c r="K49" s="18">
        <f>IFERROR('Data Sheet'!J58,0)</f>
        <v>455635.56</v>
      </c>
      <c r="L49" s="18">
        <f>IFERROR('Data Sheet'!K58,0)</f>
        <v>521024.17</v>
      </c>
    </row>
    <row r="50" spans="1:12" outlineLevel="1" x14ac:dyDescent="0.3">
      <c r="B50" s="3" t="s">
        <v>35</v>
      </c>
      <c r="C50" s="18">
        <f>IFERROR('Data Sheet'!B59,0)</f>
        <v>649587.25</v>
      </c>
      <c r="D50" s="18">
        <f>IFERROR('Data Sheet'!C59,0)</f>
        <v>741549.89</v>
      </c>
      <c r="E50" s="18">
        <f>IFERROR('Data Sheet'!D59,0)</f>
        <v>944817.22</v>
      </c>
      <c r="F50" s="18">
        <f>IFERROR('Data Sheet'!E59,0)</f>
        <v>1080235.46</v>
      </c>
      <c r="G50" s="18">
        <f>IFERROR('Data Sheet'!F59,0)</f>
        <v>1333041.45</v>
      </c>
      <c r="H50" s="18">
        <f>IFERROR('Data Sheet'!G59,0)</f>
        <v>1511417.62</v>
      </c>
      <c r="I50" s="18">
        <f>IFERROR('Data Sheet'!H59,0)</f>
        <v>1784969.53</v>
      </c>
      <c r="J50" s="18">
        <f>IFERROR('Data Sheet'!I59,0)</f>
        <v>2139211.91</v>
      </c>
      <c r="K50" s="18">
        <f>IFERROR('Data Sheet'!J59,0)</f>
        <v>3107502.74</v>
      </c>
      <c r="L50" s="18">
        <f>IFERROR('Data Sheet'!K59,0)</f>
        <v>3345503.8</v>
      </c>
    </row>
    <row r="51" spans="1:12" outlineLevel="1" x14ac:dyDescent="0.3">
      <c r="B51" s="3" t="s">
        <v>36</v>
      </c>
      <c r="C51" s="18">
        <f>IFERROR('Data Sheet'!B60,0)</f>
        <v>38320.949999999997</v>
      </c>
      <c r="D51" s="18">
        <f>IFERROR('Data Sheet'!C60,0)</f>
        <v>59000.32</v>
      </c>
      <c r="E51" s="18">
        <f>IFERROR('Data Sheet'!D60,0)</f>
        <v>48769.82</v>
      </c>
      <c r="F51" s="18">
        <f>IFERROR('Data Sheet'!E60,0)</f>
        <v>58897.59</v>
      </c>
      <c r="G51" s="18">
        <f>IFERROR('Data Sheet'!F60,0)</f>
        <v>71430.27</v>
      </c>
      <c r="H51" s="18">
        <f>IFERROR('Data Sheet'!G60,0)</f>
        <v>78278.83</v>
      </c>
      <c r="I51" s="18">
        <f>IFERROR('Data Sheet'!H60,0)</f>
        <v>90638.6</v>
      </c>
      <c r="J51" s="18">
        <f>IFERROR('Data Sheet'!I60,0)</f>
        <v>101783.03</v>
      </c>
      <c r="K51" s="18">
        <f>IFERROR('Data Sheet'!J60,0)</f>
        <v>466296.27</v>
      </c>
      <c r="L51" s="18">
        <f>IFERROR('Data Sheet'!K60,0)</f>
        <v>524816.64000000001</v>
      </c>
    </row>
    <row r="52" spans="1:12" s="22" customFormat="1" outlineLevel="1" x14ac:dyDescent="0.3">
      <c r="B52" s="42" t="s">
        <v>86</v>
      </c>
      <c r="C52" s="43">
        <f>IFERROR('Data Sheet'!B61,0)</f>
        <v>762212.33</v>
      </c>
      <c r="D52" s="43">
        <f>IFERROR('Data Sheet'!C61,0)</f>
        <v>892344.16</v>
      </c>
      <c r="E52" s="43">
        <f>IFERROR('Data Sheet'!D61,0)</f>
        <v>1103186.17</v>
      </c>
      <c r="F52" s="43">
        <f>IFERROR('Data Sheet'!E61,0)</f>
        <v>1292805.71</v>
      </c>
      <c r="G52" s="43">
        <f>IFERROR('Data Sheet'!F61,0)</f>
        <v>1580830.43</v>
      </c>
      <c r="H52" s="43">
        <f>IFERROR('Data Sheet'!G61,0)</f>
        <v>1799506.63</v>
      </c>
      <c r="I52" s="43">
        <f>IFERROR('Data Sheet'!H61,0)</f>
        <v>2122934.2999999998</v>
      </c>
      <c r="J52" s="43">
        <f>IFERROR('Data Sheet'!I61,0)</f>
        <v>2530432.44</v>
      </c>
      <c r="K52" s="43">
        <f>IFERROR('Data Sheet'!J61,0)</f>
        <v>4030194.26</v>
      </c>
      <c r="L52" s="43">
        <f>IFERROR('Data Sheet'!K61,0)</f>
        <v>4392109.83</v>
      </c>
    </row>
    <row r="53" spans="1:12" outlineLevel="1" x14ac:dyDescent="0.3">
      <c r="B53" s="1"/>
    </row>
    <row r="54" spans="1:12" outlineLevel="1" x14ac:dyDescent="0.3">
      <c r="B54" s="3" t="s">
        <v>87</v>
      </c>
      <c r="C54" s="18">
        <f>IFERROR('Data Sheet'!B62,0)</f>
        <v>3666.86</v>
      </c>
      <c r="D54" s="18">
        <f>IFERROR('Data Sheet'!C62,0)</f>
        <v>3999.7</v>
      </c>
      <c r="E54" s="18">
        <f>IFERROR('Data Sheet'!D62,0)</f>
        <v>4008.13</v>
      </c>
      <c r="F54" s="18">
        <f>IFERROR('Data Sheet'!E62,0)</f>
        <v>4368.63</v>
      </c>
      <c r="G54" s="18">
        <f>IFERROR('Data Sheet'!F62,0)</f>
        <v>4775.6499999999996</v>
      </c>
      <c r="H54" s="18">
        <f>IFERROR('Data Sheet'!G62,0)</f>
        <v>5248.35</v>
      </c>
      <c r="I54" s="18">
        <f>IFERROR('Data Sheet'!H62,0)</f>
        <v>6432.07</v>
      </c>
      <c r="J54" s="18">
        <f>IFERROR('Data Sheet'!I62,0)</f>
        <v>8431.35</v>
      </c>
      <c r="K54" s="18">
        <f>IFERROR('Data Sheet'!J62,0)</f>
        <v>12603.76</v>
      </c>
      <c r="L54" s="18">
        <f>IFERROR('Data Sheet'!K62,0)</f>
        <v>15257.94</v>
      </c>
    </row>
    <row r="55" spans="1:12" outlineLevel="1" x14ac:dyDescent="0.3">
      <c r="B55" s="3" t="s">
        <v>14</v>
      </c>
      <c r="C55" s="18">
        <f>IFERROR('Data Sheet'!B63,0)</f>
        <v>0</v>
      </c>
      <c r="D55" s="18">
        <f>IFERROR('Data Sheet'!C63,0)</f>
        <v>0</v>
      </c>
      <c r="E55" s="18">
        <f>IFERROR('Data Sheet'!D63,0)</f>
        <v>0</v>
      </c>
      <c r="F55" s="18">
        <f>IFERROR('Data Sheet'!E63,0)</f>
        <v>0</v>
      </c>
      <c r="G55" s="18">
        <f>IFERROR('Data Sheet'!F63,0)</f>
        <v>0</v>
      </c>
      <c r="H55" s="18">
        <f>IFERROR('Data Sheet'!G63,0)</f>
        <v>0</v>
      </c>
      <c r="I55" s="18">
        <f>IFERROR('Data Sheet'!H63,0)</f>
        <v>0</v>
      </c>
      <c r="J55" s="18">
        <f>IFERROR('Data Sheet'!I63,0)</f>
        <v>0</v>
      </c>
      <c r="K55" s="18">
        <f>IFERROR('Data Sheet'!J63,0)</f>
        <v>0</v>
      </c>
      <c r="L55" s="18">
        <f>IFERROR('Data Sheet'!K63,0)</f>
        <v>0</v>
      </c>
    </row>
    <row r="56" spans="1:12" outlineLevel="1" x14ac:dyDescent="0.3">
      <c r="B56" s="3" t="s">
        <v>15</v>
      </c>
      <c r="C56" s="18">
        <f>IFERROR('Data Sheet'!B64,0)</f>
        <v>193633.85</v>
      </c>
      <c r="D56" s="18">
        <f>IFERROR('Data Sheet'!C64,0)</f>
        <v>210777.11</v>
      </c>
      <c r="E56" s="18">
        <f>IFERROR('Data Sheet'!D64,0)</f>
        <v>238460.92</v>
      </c>
      <c r="F56" s="18">
        <f>IFERROR('Data Sheet'!E64,0)</f>
        <v>289445.87</v>
      </c>
      <c r="G56" s="18">
        <f>IFERROR('Data Sheet'!F64,0)</f>
        <v>389304.95</v>
      </c>
      <c r="H56" s="18">
        <f>IFERROR('Data Sheet'!G64,0)</f>
        <v>438823.11</v>
      </c>
      <c r="I56" s="18">
        <f>IFERROR('Data Sheet'!H64,0)</f>
        <v>449263.86</v>
      </c>
      <c r="J56" s="18">
        <f>IFERROR('Data Sheet'!I64,0)</f>
        <v>511581.71</v>
      </c>
      <c r="K56" s="18">
        <f>IFERROR('Data Sheet'!J64,0)</f>
        <v>1005681.63</v>
      </c>
      <c r="L56" s="18">
        <f>IFERROR('Data Sheet'!K64,0)</f>
        <v>1186472.8899999999</v>
      </c>
    </row>
    <row r="57" spans="1:12" outlineLevel="1" x14ac:dyDescent="0.3">
      <c r="B57" s="3" t="s">
        <v>37</v>
      </c>
      <c r="C57" s="18">
        <f>IFERROR('Data Sheet'!B65-SUM('Data Sheet'!B67:B69),0)</f>
        <v>540422.77</v>
      </c>
      <c r="D57" s="18">
        <f>IFERROR('Data Sheet'!C65-SUM('Data Sheet'!C67:C69),0)</f>
        <v>643934.06999999995</v>
      </c>
      <c r="E57" s="18">
        <f>IFERROR('Data Sheet'!D65-SUM('Data Sheet'!D67:D69),0)</f>
        <v>763578.98</v>
      </c>
      <c r="F57" s="18">
        <f>IFERROR('Data Sheet'!E65-SUM('Data Sheet'!E67:E69),0)</f>
        <v>959619.08</v>
      </c>
      <c r="G57" s="18">
        <f>IFERROR('Data Sheet'!F65-SUM('Data Sheet'!F67:F69),0)</f>
        <v>1123752.4100000001</v>
      </c>
      <c r="H57" s="18">
        <f>IFERROR('Data Sheet'!G65-SUM('Data Sheet'!G67:G69),0)</f>
        <v>1268787</v>
      </c>
      <c r="I57" s="18">
        <f>IFERROR('Data Sheet'!H65-SUM('Data Sheet'!H67:H69),0)</f>
        <v>1548447.1700000002</v>
      </c>
      <c r="J57" s="18">
        <f>IFERROR('Data Sheet'!I65-SUM('Data Sheet'!I67:I69),0)</f>
        <v>1906501.45</v>
      </c>
      <c r="K57" s="18">
        <f>IFERROR('Data Sheet'!J65-SUM('Data Sheet'!J67:J69),0)</f>
        <v>2846250.2800000003</v>
      </c>
      <c r="L57" s="18">
        <f>IFERROR('Data Sheet'!K65-SUM('Data Sheet'!K67:K69),0)</f>
        <v>3058151.63</v>
      </c>
    </row>
    <row r="58" spans="1:12" s="22" customFormat="1" outlineLevel="1" x14ac:dyDescent="0.3">
      <c r="B58" s="42" t="s">
        <v>88</v>
      </c>
      <c r="C58" s="43">
        <f>IFERROR(SUM(C54:C57),0)</f>
        <v>737723.48</v>
      </c>
      <c r="D58" s="43">
        <f t="shared" ref="D58:L58" si="18">IFERROR(SUM(D54:D57),0)</f>
        <v>858710.87999999989</v>
      </c>
      <c r="E58" s="43">
        <f t="shared" si="18"/>
        <v>1006048.03</v>
      </c>
      <c r="F58" s="43">
        <f t="shared" si="18"/>
        <v>1253433.58</v>
      </c>
      <c r="G58" s="43">
        <f t="shared" si="18"/>
        <v>1517833.0100000002</v>
      </c>
      <c r="H58" s="43">
        <f t="shared" si="18"/>
        <v>1712858.46</v>
      </c>
      <c r="I58" s="43">
        <f t="shared" si="18"/>
        <v>2004143.1</v>
      </c>
      <c r="J58" s="43">
        <f t="shared" si="18"/>
        <v>2426514.5099999998</v>
      </c>
      <c r="K58" s="43">
        <f t="shared" si="18"/>
        <v>3864535.6700000004</v>
      </c>
      <c r="L58" s="43">
        <f t="shared" si="18"/>
        <v>4259882.46</v>
      </c>
    </row>
    <row r="59" spans="1:12" outlineLevel="1" x14ac:dyDescent="0.3">
      <c r="B59" s="1"/>
    </row>
    <row r="60" spans="1:12" outlineLevel="1" x14ac:dyDescent="0.3">
      <c r="B60" s="3" t="s">
        <v>42</v>
      </c>
      <c r="C60" s="18">
        <f>IFERROR('Data Sheet'!B67,0)</f>
        <v>0</v>
      </c>
      <c r="D60" s="18">
        <f>IFERROR('Data Sheet'!C67,0)</f>
        <v>0</v>
      </c>
      <c r="E60" s="18">
        <f>IFERROR('Data Sheet'!D67,0)</f>
        <v>0</v>
      </c>
      <c r="F60" s="18">
        <f>IFERROR('Data Sheet'!E67,0)</f>
        <v>0</v>
      </c>
      <c r="G60" s="18">
        <f>IFERROR('Data Sheet'!F67,0)</f>
        <v>0</v>
      </c>
      <c r="H60" s="18">
        <f>IFERROR('Data Sheet'!G67,0)</f>
        <v>0</v>
      </c>
      <c r="I60" s="18">
        <f>IFERROR('Data Sheet'!H67,0)</f>
        <v>0</v>
      </c>
      <c r="J60" s="18">
        <f>IFERROR('Data Sheet'!I67,0)</f>
        <v>0</v>
      </c>
      <c r="K60" s="18">
        <f>IFERROR('Data Sheet'!J67,0)</f>
        <v>0</v>
      </c>
      <c r="L60" s="18">
        <f>IFERROR('Data Sheet'!K67,0)</f>
        <v>0</v>
      </c>
    </row>
    <row r="61" spans="1:12" outlineLevel="1" x14ac:dyDescent="0.3">
      <c r="B61" s="3" t="s">
        <v>29</v>
      </c>
      <c r="C61" s="18">
        <f>IFERROR('Data Sheet'!B68,0)</f>
        <v>0</v>
      </c>
      <c r="D61" s="18">
        <f>IFERROR('Data Sheet'!C68,0)</f>
        <v>0</v>
      </c>
      <c r="E61" s="18">
        <f>IFERROR('Data Sheet'!D68,0)</f>
        <v>0</v>
      </c>
      <c r="F61" s="18">
        <f>IFERROR('Data Sheet'!E68,0)</f>
        <v>0</v>
      </c>
      <c r="G61" s="18">
        <f>IFERROR('Data Sheet'!F68,0)</f>
        <v>0</v>
      </c>
      <c r="H61" s="18">
        <f>IFERROR('Data Sheet'!G68,0)</f>
        <v>0</v>
      </c>
      <c r="I61" s="18">
        <f>IFERROR('Data Sheet'!H68,0)</f>
        <v>0</v>
      </c>
      <c r="J61" s="18">
        <f>IFERROR('Data Sheet'!I68,0)</f>
        <v>0</v>
      </c>
      <c r="K61" s="18">
        <f>IFERROR('Data Sheet'!J68,0)</f>
        <v>0</v>
      </c>
      <c r="L61" s="18">
        <f>IFERROR('Data Sheet'!K68,0)</f>
        <v>0</v>
      </c>
    </row>
    <row r="62" spans="1:12" outlineLevel="1" x14ac:dyDescent="0.3">
      <c r="B62" s="2" t="s">
        <v>51</v>
      </c>
      <c r="C62" s="18">
        <f>IFERROR('Data Sheet'!B69,0)</f>
        <v>24488.85</v>
      </c>
      <c r="D62" s="18">
        <f>IFERROR('Data Sheet'!C69,0)</f>
        <v>33633.279999999999</v>
      </c>
      <c r="E62" s="18">
        <f>IFERROR('Data Sheet'!D69,0)</f>
        <v>97138.14</v>
      </c>
      <c r="F62" s="18">
        <f>IFERROR('Data Sheet'!E69,0)</f>
        <v>39372.129999999997</v>
      </c>
      <c r="G62" s="18">
        <f>IFERROR('Data Sheet'!F69,0)</f>
        <v>62997.42</v>
      </c>
      <c r="H62" s="18">
        <f>IFERROR('Data Sheet'!G69,0)</f>
        <v>86648.17</v>
      </c>
      <c r="I62" s="18">
        <f>IFERROR('Data Sheet'!H69,0)</f>
        <v>118791.2</v>
      </c>
      <c r="J62" s="18">
        <f>IFERROR('Data Sheet'!I69,0)</f>
        <v>103917.93</v>
      </c>
      <c r="K62" s="18">
        <f>IFERROR('Data Sheet'!J69,0)</f>
        <v>165658.59</v>
      </c>
      <c r="L62" s="18">
        <f>IFERROR('Data Sheet'!K69,0)</f>
        <v>132227.37</v>
      </c>
    </row>
    <row r="63" spans="1:12" outlineLevel="1" x14ac:dyDescent="0.3">
      <c r="A63" s="22"/>
      <c r="B63" s="44" t="s">
        <v>89</v>
      </c>
      <c r="C63" s="43">
        <f>SUM(C60:C62)</f>
        <v>24488.85</v>
      </c>
      <c r="D63" s="43">
        <f t="shared" ref="D63:L63" si="19">SUM(D60:D62)</f>
        <v>33633.279999999999</v>
      </c>
      <c r="E63" s="43">
        <f t="shared" si="19"/>
        <v>97138.14</v>
      </c>
      <c r="F63" s="43">
        <f t="shared" si="19"/>
        <v>39372.129999999997</v>
      </c>
      <c r="G63" s="43">
        <f t="shared" si="19"/>
        <v>62997.42</v>
      </c>
      <c r="H63" s="43">
        <f t="shared" si="19"/>
        <v>86648.17</v>
      </c>
      <c r="I63" s="43">
        <f t="shared" si="19"/>
        <v>118791.2</v>
      </c>
      <c r="J63" s="43">
        <f t="shared" si="19"/>
        <v>103917.93</v>
      </c>
      <c r="K63" s="43">
        <f t="shared" si="19"/>
        <v>165658.59</v>
      </c>
      <c r="L63" s="43">
        <f t="shared" si="19"/>
        <v>132227.37</v>
      </c>
    </row>
    <row r="64" spans="1:12" outlineLevel="1" x14ac:dyDescent="0.3"/>
    <row r="65" spans="1:14" s="22" customFormat="1" outlineLevel="1" x14ac:dyDescent="0.3">
      <c r="B65" s="44" t="s">
        <v>90</v>
      </c>
      <c r="C65" s="43">
        <f>SUM(C63,C58)</f>
        <v>762212.33</v>
      </c>
      <c r="D65" s="43">
        <f t="shared" ref="D65:F65" si="20">SUM(D63,D58)</f>
        <v>892344.15999999992</v>
      </c>
      <c r="E65" s="43">
        <f t="shared" si="20"/>
        <v>1103186.17</v>
      </c>
      <c r="F65" s="43">
        <f t="shared" si="20"/>
        <v>1292805.71</v>
      </c>
      <c r="G65" s="43">
        <f t="shared" ref="G65:L65" si="21">SUM(G63,G58)</f>
        <v>1580830.4300000002</v>
      </c>
      <c r="H65" s="43">
        <f t="shared" si="21"/>
        <v>1799506.63</v>
      </c>
      <c r="I65" s="43">
        <f t="shared" si="21"/>
        <v>2122934.3000000003</v>
      </c>
      <c r="J65" s="43">
        <f t="shared" si="21"/>
        <v>2530432.44</v>
      </c>
      <c r="K65" s="43">
        <f t="shared" si="21"/>
        <v>4030194.2600000002</v>
      </c>
      <c r="L65" s="43">
        <f t="shared" si="21"/>
        <v>4392109.83</v>
      </c>
    </row>
    <row r="66" spans="1:14" outlineLevel="1" x14ac:dyDescent="0.3"/>
    <row r="67" spans="1:14" s="22" customFormat="1" outlineLevel="1" x14ac:dyDescent="0.3">
      <c r="B67" s="23" t="s">
        <v>91</v>
      </c>
      <c r="C67" s="23" t="str">
        <f>IF(C65=C52,"OK","Wrong")</f>
        <v>OK</v>
      </c>
      <c r="D67" s="23" t="str">
        <f t="shared" ref="D67:L67" si="22">IF(D65=D52,"OK","Wrong")</f>
        <v>OK</v>
      </c>
      <c r="E67" s="23" t="str">
        <f t="shared" si="22"/>
        <v>OK</v>
      </c>
      <c r="F67" s="23" t="str">
        <f t="shared" si="22"/>
        <v>OK</v>
      </c>
      <c r="G67" s="23" t="str">
        <f t="shared" si="22"/>
        <v>OK</v>
      </c>
      <c r="H67" s="23" t="str">
        <f t="shared" si="22"/>
        <v>OK</v>
      </c>
      <c r="I67" s="23" t="str">
        <f t="shared" si="22"/>
        <v>OK</v>
      </c>
      <c r="J67" s="23" t="str">
        <f t="shared" si="22"/>
        <v>OK</v>
      </c>
      <c r="K67" s="23" t="str">
        <f t="shared" si="22"/>
        <v>OK</v>
      </c>
      <c r="L67" s="23" t="str">
        <f t="shared" si="22"/>
        <v>OK</v>
      </c>
    </row>
    <row r="70" spans="1:14" x14ac:dyDescent="0.3">
      <c r="A70" t="s">
        <v>78</v>
      </c>
      <c r="B70" s="21" t="s">
        <v>115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37"/>
    </row>
    <row r="71" spans="1:14" outlineLevel="1" x14ac:dyDescent="0.3">
      <c r="B71" s="22" t="s">
        <v>117</v>
      </c>
    </row>
    <row r="72" spans="1:14" outlineLevel="1" x14ac:dyDescent="0.3">
      <c r="B72" t="s">
        <v>92</v>
      </c>
      <c r="C72" s="16">
        <f>IFERROR('Cash flow data '!E4,0)</f>
        <v>23481</v>
      </c>
      <c r="D72" s="16">
        <f>IFERROR('Cash flow data '!F4,0)</f>
        <v>28573</v>
      </c>
      <c r="E72" s="16">
        <f>IFERROR('Cash flow data '!G4,0)</f>
        <v>36737</v>
      </c>
      <c r="F72" s="16">
        <f>IFERROR('Cash flow data '!H4,0)</f>
        <v>44497</v>
      </c>
      <c r="G72" s="16">
        <f>IFERROR('Cash flow data '!I4,0)</f>
        <v>54764</v>
      </c>
      <c r="H72" s="16">
        <f>IFERROR('Cash flow data '!J4,0)</f>
        <v>65619</v>
      </c>
      <c r="I72" s="16">
        <f>IFERROR('Cash flow data '!K4,0)</f>
        <v>70781</v>
      </c>
      <c r="J72" s="16">
        <f>IFERROR('Cash flow data '!L4,0)</f>
        <v>79722</v>
      </c>
      <c r="K72" s="16">
        <f>IFERROR('Cash flow data '!M4,0)</f>
        <v>91618</v>
      </c>
      <c r="L72" s="16">
        <f>IFERROR('Cash flow data '!N4,0)</f>
        <v>117642</v>
      </c>
    </row>
    <row r="73" spans="1:14" outlineLevel="1" x14ac:dyDescent="0.3">
      <c r="B73" t="s">
        <v>93</v>
      </c>
      <c r="C73" s="16">
        <f>IFERROR('Cash flow data '!E5,0)</f>
        <v>-106601</v>
      </c>
      <c r="D73" s="16">
        <f>IFERROR('Cash flow data '!F5,0)</f>
        <v>-101890</v>
      </c>
      <c r="E73" s="16">
        <f>IFERROR('Cash flow data '!G5,0)</f>
        <v>-120305</v>
      </c>
      <c r="F73" s="16">
        <f>IFERROR('Cash flow data '!H5,0)</f>
        <v>-176608</v>
      </c>
      <c r="G73" s="16">
        <f>IFERROR('Cash flow data '!I5,0)</f>
        <v>-185500</v>
      </c>
      <c r="H73" s="16">
        <f>IFERROR('Cash flow data '!J5,0)</f>
        <v>-155681</v>
      </c>
      <c r="I73" s="16">
        <f>IFERROR('Cash flow data '!K5,0)</f>
        <v>-248946</v>
      </c>
      <c r="J73" s="16">
        <f>IFERROR('Cash flow data '!L5,0)</f>
        <v>-254569</v>
      </c>
      <c r="K73" s="16">
        <f>IFERROR('Cash flow data '!M5,0)</f>
        <v>-312488</v>
      </c>
      <c r="L73" s="16">
        <f>IFERROR('Cash flow data '!N5,0)</f>
        <v>-169918</v>
      </c>
    </row>
    <row r="74" spans="1:14" outlineLevel="1" x14ac:dyDescent="0.3">
      <c r="B74" t="s">
        <v>94</v>
      </c>
      <c r="C74" s="16">
        <f>IFERROR('Cash flow data '!E6,0)</f>
        <v>-39116</v>
      </c>
      <c r="D74" s="16">
        <f>IFERROR('Cash flow data '!F6,0)</f>
        <v>-17326</v>
      </c>
      <c r="E74" s="16">
        <f>IFERROR('Cash flow data '!G6,0)</f>
        <v>-28231</v>
      </c>
      <c r="F74" s="16">
        <f>IFERROR('Cash flow data '!H6,0)</f>
        <v>-51458</v>
      </c>
      <c r="G74" s="16">
        <f>IFERROR('Cash flow data '!I6,0)</f>
        <v>-101070</v>
      </c>
      <c r="H74" s="16">
        <f>IFERROR('Cash flow data '!J6,0)</f>
        <v>-50157</v>
      </c>
      <c r="I74" s="16">
        <f>IFERROR('Cash flow data '!K6,0)</f>
        <v>-10849</v>
      </c>
      <c r="J74" s="16">
        <f>IFERROR('Cash flow data '!L6,0)</f>
        <v>-64182</v>
      </c>
      <c r="K74" s="16">
        <f>IFERROR('Cash flow data '!M6,0)</f>
        <v>-88412</v>
      </c>
      <c r="L74" s="16">
        <f>IFERROR('Cash flow data '!N6,0)</f>
        <v>-180363</v>
      </c>
    </row>
    <row r="75" spans="1:14" outlineLevel="1" x14ac:dyDescent="0.3">
      <c r="B75" t="s">
        <v>95</v>
      </c>
      <c r="C75" s="16">
        <f>IFERROR('Cash flow data '!E7,0)</f>
        <v>95590</v>
      </c>
      <c r="D75" s="16">
        <f>IFERROR('Cash flow data '!F7,0)</f>
        <v>97261</v>
      </c>
      <c r="E75" s="16">
        <f>IFERROR('Cash flow data '!G7,0)</f>
        <v>145241</v>
      </c>
      <c r="F75" s="16">
        <f>IFERROR('Cash flow data '!H7,0)</f>
        <v>134128</v>
      </c>
      <c r="G75" s="16">
        <f>IFERROR('Cash flow data '!I7,0)</f>
        <v>223704</v>
      </c>
      <c r="H75" s="16">
        <f>IFERROR('Cash flow data '!J7,0)</f>
        <v>187514</v>
      </c>
      <c r="I75" s="16">
        <f>IFERROR('Cash flow data '!K7,0)</f>
        <v>224282</v>
      </c>
      <c r="J75" s="16">
        <f>IFERROR('Cash flow data '!L7,0)</f>
        <v>324660</v>
      </c>
      <c r="K75" s="16">
        <f>IFERROR('Cash flow data '!M7,0)</f>
        <v>336965</v>
      </c>
      <c r="L75" s="16">
        <f>IFERROR('Cash flow data '!N7,0)</f>
        <v>334011</v>
      </c>
    </row>
    <row r="76" spans="1:14" outlineLevel="1" x14ac:dyDescent="0.3">
      <c r="B76" t="s">
        <v>96</v>
      </c>
      <c r="C76" s="16">
        <f>IFERROR('Cash flow data '!E8,0)</f>
        <v>-716</v>
      </c>
      <c r="D76" s="16">
        <f>IFERROR('Cash flow data '!F8,0)</f>
        <v>18348</v>
      </c>
      <c r="E76" s="16">
        <f>IFERROR('Cash flow data '!G8,0)</f>
        <v>-6218</v>
      </c>
      <c r="F76" s="16">
        <f>IFERROR('Cash flow data '!H8,0)</f>
        <v>-932</v>
      </c>
      <c r="G76" s="16">
        <f>IFERROR('Cash flow data '!I8,0)</f>
        <v>2110</v>
      </c>
      <c r="H76" s="16">
        <f>IFERROR('Cash flow data '!J8,0)</f>
        <v>8203</v>
      </c>
      <c r="I76" s="16">
        <f>IFERROR('Cash flow data '!K8,0)</f>
        <v>-32389</v>
      </c>
      <c r="J76" s="16">
        <f>IFERROR('Cash flow data '!L8,0)</f>
        <v>-48450</v>
      </c>
      <c r="K76" s="16">
        <f>IFERROR('Cash flow data '!M8,0)</f>
        <v>14229</v>
      </c>
      <c r="L76" s="16">
        <f>IFERROR('Cash flow data '!N8,0)</f>
        <v>45578</v>
      </c>
    </row>
    <row r="77" spans="1:14" outlineLevel="1" x14ac:dyDescent="0.3">
      <c r="B77" t="s">
        <v>97</v>
      </c>
      <c r="C77" s="16">
        <f>IFERROR('Cash flow data '!E9,0)</f>
        <v>-50844</v>
      </c>
      <c r="D77" s="16">
        <f>IFERROR('Cash flow data '!F9,0)</f>
        <v>-3607</v>
      </c>
      <c r="E77" s="16">
        <f>IFERROR('Cash flow data '!G9,0)</f>
        <v>-9513</v>
      </c>
      <c r="F77" s="16">
        <f>IFERROR('Cash flow data '!H9,0)</f>
        <v>-94870</v>
      </c>
      <c r="G77" s="16">
        <f>IFERROR('Cash flow data '!I9,0)</f>
        <v>-60756</v>
      </c>
      <c r="H77" s="16">
        <f>IFERROR('Cash flow data '!J9,0)</f>
        <v>-10121</v>
      </c>
      <c r="I77" s="16">
        <f>IFERROR('Cash flow data '!K9,0)</f>
        <v>-67902</v>
      </c>
      <c r="J77" s="16">
        <f>IFERROR('Cash flow data '!L9,0)</f>
        <v>-42541</v>
      </c>
      <c r="K77" s="16">
        <f>IFERROR('Cash flow data '!M9,0)</f>
        <v>-49706</v>
      </c>
      <c r="L77" s="16">
        <f>IFERROR('Cash flow data '!N9,0)</f>
        <v>29308</v>
      </c>
    </row>
    <row r="78" spans="1:14" outlineLevel="1" x14ac:dyDescent="0.3">
      <c r="B78" t="s">
        <v>98</v>
      </c>
      <c r="C78" s="16">
        <f>IFERROR('Cash flow data '!E10,0)</f>
        <v>-7073</v>
      </c>
      <c r="D78" s="16">
        <f>IFERROR('Cash flow data '!F10,0)</f>
        <v>-7685</v>
      </c>
      <c r="E78" s="16">
        <f>IFERROR('Cash flow data '!G10,0)</f>
        <v>-10010</v>
      </c>
      <c r="F78" s="16">
        <f>IFERROR('Cash flow data '!H10,0)</f>
        <v>-12498</v>
      </c>
      <c r="G78" s="16">
        <f>IFERROR('Cash flow data '!I10,0)</f>
        <v>-10877</v>
      </c>
      <c r="H78" s="16">
        <f>IFERROR('Cash flow data '!J10,0)</f>
        <v>-13021</v>
      </c>
      <c r="I78" s="16">
        <f>IFERROR('Cash flow data '!K10,0)</f>
        <v>-14838</v>
      </c>
      <c r="J78" s="16">
        <f>IFERROR('Cash flow data '!L10,0)</f>
        <v>-16367</v>
      </c>
      <c r="K78" s="16">
        <f>IFERROR('Cash flow data '!M10,0)</f>
        <v>-22843</v>
      </c>
      <c r="L78" s="16">
        <f>IFERROR('Cash flow data '!N10,0)</f>
        <v>-19709</v>
      </c>
    </row>
    <row r="79" spans="1:14" s="22" customFormat="1" outlineLevel="1" x14ac:dyDescent="0.3">
      <c r="B79" s="22" t="s">
        <v>116</v>
      </c>
      <c r="C79" s="38">
        <f>SUM(C72:C78)</f>
        <v>-85279</v>
      </c>
      <c r="D79" s="38">
        <f t="shared" ref="D79:L79" si="23">SUM(D72:D78)</f>
        <v>13674</v>
      </c>
      <c r="E79" s="38">
        <f t="shared" si="23"/>
        <v>7701</v>
      </c>
      <c r="F79" s="38">
        <f t="shared" si="23"/>
        <v>-157741</v>
      </c>
      <c r="G79" s="38">
        <f t="shared" si="23"/>
        <v>-77625</v>
      </c>
      <c r="H79" s="38">
        <f t="shared" si="23"/>
        <v>32356</v>
      </c>
      <c r="I79" s="38">
        <f t="shared" si="23"/>
        <v>-79861</v>
      </c>
      <c r="J79" s="38">
        <f t="shared" si="23"/>
        <v>-21727</v>
      </c>
      <c r="K79" s="38">
        <f t="shared" si="23"/>
        <v>-30637</v>
      </c>
      <c r="L79" s="38">
        <f t="shared" si="23"/>
        <v>156549</v>
      </c>
    </row>
    <row r="80" spans="1:14" outlineLevel="1" x14ac:dyDescent="0.3"/>
    <row r="81" spans="2:12" outlineLevel="1" x14ac:dyDescent="0.3">
      <c r="B81" s="22" t="s">
        <v>118</v>
      </c>
    </row>
    <row r="82" spans="2:12" outlineLevel="1" x14ac:dyDescent="0.3">
      <c r="B82" t="s">
        <v>99</v>
      </c>
      <c r="C82" s="16">
        <f>IFERROR('Cash flow data '!E12,0)</f>
        <v>-877</v>
      </c>
      <c r="D82" s="16">
        <f>IFERROR('Cash flow data '!F12,0)</f>
        <v>-1158</v>
      </c>
      <c r="E82" s="16">
        <f>IFERROR('Cash flow data '!G12,0)</f>
        <v>-848</v>
      </c>
      <c r="F82" s="16">
        <f>IFERROR('Cash flow data '!H12,0)</f>
        <v>-1621</v>
      </c>
      <c r="G82" s="16">
        <f>IFERROR('Cash flow data '!I12,0)</f>
        <v>-1636</v>
      </c>
      <c r="H82" s="16">
        <f>IFERROR('Cash flow data '!J12,0)</f>
        <v>-1696</v>
      </c>
      <c r="I82" s="16">
        <f>IFERROR('Cash flow data '!K12,0)</f>
        <v>-2236</v>
      </c>
      <c r="J82" s="16">
        <f>IFERROR('Cash flow data '!L12,0)</f>
        <v>-3467</v>
      </c>
      <c r="K82" s="16">
        <f>IFERROR('Cash flow data '!M12,0)</f>
        <v>-4287</v>
      </c>
      <c r="L82" s="16">
        <f>IFERROR('Cash flow data '!N12,0)</f>
        <v>-4076</v>
      </c>
    </row>
    <row r="83" spans="2:12" outlineLevel="1" x14ac:dyDescent="0.3">
      <c r="B83" t="s">
        <v>100</v>
      </c>
      <c r="C83" s="16">
        <f>IFERROR('Cash flow data '!E13,0)</f>
        <v>12</v>
      </c>
      <c r="D83" s="16">
        <f>IFERROR('Cash flow data '!F13,0)</f>
        <v>10</v>
      </c>
      <c r="E83" s="16">
        <f>IFERROR('Cash flow data '!G13,0)</f>
        <v>10</v>
      </c>
      <c r="F83" s="16">
        <f>IFERROR('Cash flow data '!H13,0)</f>
        <v>22</v>
      </c>
      <c r="G83" s="16">
        <f>IFERROR('Cash flow data '!I13,0)</f>
        <v>19</v>
      </c>
      <c r="H83" s="16">
        <f>IFERROR('Cash flow data '!J13,0)</f>
        <v>15</v>
      </c>
      <c r="I83" s="16">
        <f>IFERROR('Cash flow data '!K13,0)</f>
        <v>20</v>
      </c>
      <c r="J83" s="16">
        <f>IFERROR('Cash flow data '!L13,0)</f>
        <v>43</v>
      </c>
      <c r="K83" s="16">
        <f>IFERROR('Cash flow data '!M13,0)</f>
        <v>100</v>
      </c>
      <c r="L83" s="16">
        <f>IFERROR('Cash flow data '!N13,0)</f>
        <v>101</v>
      </c>
    </row>
    <row r="84" spans="2:12" outlineLevel="1" x14ac:dyDescent="0.3">
      <c r="B84" t="s">
        <v>101</v>
      </c>
      <c r="C84" s="16">
        <f>IFERROR('Cash flow data '!E14,0)</f>
        <v>0</v>
      </c>
      <c r="D84" s="16">
        <f>IFERROR('Cash flow data '!F14,0)</f>
        <v>0</v>
      </c>
      <c r="E84" s="16">
        <f>IFERROR('Cash flow data '!G14,0)</f>
        <v>0</v>
      </c>
      <c r="F84" s="16">
        <f>IFERROR('Cash flow data '!H14,0)</f>
        <v>0</v>
      </c>
      <c r="G84" s="16">
        <f>IFERROR('Cash flow data '!I14,0)</f>
        <v>0</v>
      </c>
      <c r="H84" s="16">
        <f>IFERROR('Cash flow data '!J14,0)</f>
        <v>0</v>
      </c>
      <c r="I84" s="16">
        <f>IFERROR('Cash flow data '!K14,0)</f>
        <v>0</v>
      </c>
      <c r="J84" s="16">
        <f>IFERROR('Cash flow data '!L14,0)</f>
        <v>0</v>
      </c>
      <c r="K84" s="16">
        <f>IFERROR('Cash flow data '!M14,0)</f>
        <v>9501</v>
      </c>
      <c r="L84" s="16">
        <f>IFERROR('Cash flow data '!N14,0)</f>
        <v>192</v>
      </c>
    </row>
    <row r="85" spans="2:12" outlineLevel="1" x14ac:dyDescent="0.3">
      <c r="B85" t="s">
        <v>102</v>
      </c>
      <c r="C85" s="16">
        <f>IFERROR('Cash flow data '!E15,0)</f>
        <v>0</v>
      </c>
      <c r="D85" s="16">
        <f>IFERROR('Cash flow data '!F15,0)</f>
        <v>0</v>
      </c>
      <c r="E85" s="16">
        <f>IFERROR('Cash flow data '!G15,0)</f>
        <v>0</v>
      </c>
      <c r="F85" s="16">
        <f>IFERROR('Cash flow data '!H15,0)</f>
        <v>0</v>
      </c>
      <c r="G85" s="16">
        <f>IFERROR('Cash flow data '!I15,0)</f>
        <v>0</v>
      </c>
      <c r="H85" s="16">
        <f>IFERROR('Cash flow data '!J15,0)</f>
        <v>0</v>
      </c>
      <c r="I85" s="16">
        <f>IFERROR('Cash flow data '!K15,0)</f>
        <v>0</v>
      </c>
      <c r="J85" s="16">
        <f>IFERROR('Cash flow data '!L15,0)</f>
        <v>0</v>
      </c>
      <c r="K85" s="16">
        <f>IFERROR('Cash flow data '!M15,0)</f>
        <v>0</v>
      </c>
      <c r="L85" s="16">
        <f>IFERROR('Cash flow data '!N15,0)</f>
        <v>-67</v>
      </c>
    </row>
    <row r="86" spans="2:12" outlineLevel="1" x14ac:dyDescent="0.3">
      <c r="B86" t="s">
        <v>103</v>
      </c>
      <c r="C86" s="16">
        <f>IFERROR('Cash flow data '!E16,0)</f>
        <v>0</v>
      </c>
      <c r="D86" s="16">
        <f>IFERROR('Cash flow data '!F16,0)</f>
        <v>0</v>
      </c>
      <c r="E86" s="16">
        <f>IFERROR('Cash flow data '!G16,0)</f>
        <v>-14</v>
      </c>
      <c r="F86" s="16">
        <f>IFERROR('Cash flow data '!H16,0)</f>
        <v>0</v>
      </c>
      <c r="G86" s="16">
        <f>IFERROR('Cash flow data '!I16,0)</f>
        <v>0</v>
      </c>
      <c r="H86" s="16">
        <f>IFERROR('Cash flow data '!J16,0)</f>
        <v>0</v>
      </c>
      <c r="I86" s="16">
        <f>IFERROR('Cash flow data '!K16,0)</f>
        <v>0</v>
      </c>
      <c r="J86" s="16">
        <f>IFERROR('Cash flow data '!L16,0)</f>
        <v>0</v>
      </c>
      <c r="K86" s="16">
        <f>IFERROR('Cash flow data '!M16,0)</f>
        <v>0</v>
      </c>
      <c r="L86" s="16">
        <f>IFERROR('Cash flow data '!N16,0)</f>
        <v>0</v>
      </c>
    </row>
    <row r="87" spans="2:12" outlineLevel="1" x14ac:dyDescent="0.3">
      <c r="B87" t="s">
        <v>104</v>
      </c>
      <c r="C87" s="16">
        <f>IFERROR('Cash flow data '!E17,0)</f>
        <v>28</v>
      </c>
      <c r="D87" s="16">
        <f>IFERROR('Cash flow data '!F17,0)</f>
        <v>1</v>
      </c>
      <c r="E87" s="16">
        <f>IFERROR('Cash flow data '!G17,0)</f>
        <v>11</v>
      </c>
      <c r="F87" s="16">
        <f>IFERROR('Cash flow data '!H17,0)</f>
        <v>95</v>
      </c>
      <c r="G87" s="16">
        <f>IFERROR('Cash flow data '!I17,0)</f>
        <v>214</v>
      </c>
      <c r="H87" s="16">
        <f>IFERROR('Cash flow data '!J17,0)</f>
        <v>-142</v>
      </c>
      <c r="I87" s="16">
        <f>IFERROR('Cash flow data '!K17,0)</f>
        <v>165</v>
      </c>
      <c r="J87" s="16">
        <f>IFERROR('Cash flow data '!L17,0)</f>
        <v>432</v>
      </c>
      <c r="K87" s="16">
        <f>IFERROR('Cash flow data '!M17,0)</f>
        <v>11287</v>
      </c>
      <c r="L87" s="16">
        <f>IFERROR('Cash flow data '!N17,0)</f>
        <v>200</v>
      </c>
    </row>
    <row r="88" spans="2:12" s="22" customFormat="1" outlineLevel="1" x14ac:dyDescent="0.3">
      <c r="B88" s="22" t="s">
        <v>119</v>
      </c>
      <c r="C88" s="38">
        <f>SUM(C82:C87)</f>
        <v>-837</v>
      </c>
      <c r="D88" s="38">
        <f t="shared" ref="D88:L88" si="24">SUM(D82:D87)</f>
        <v>-1147</v>
      </c>
      <c r="E88" s="38">
        <f t="shared" si="24"/>
        <v>-841</v>
      </c>
      <c r="F88" s="38">
        <f t="shared" si="24"/>
        <v>-1504</v>
      </c>
      <c r="G88" s="38">
        <f t="shared" si="24"/>
        <v>-1403</v>
      </c>
      <c r="H88" s="38">
        <f t="shared" si="24"/>
        <v>-1823</v>
      </c>
      <c r="I88" s="38">
        <f t="shared" si="24"/>
        <v>-2051</v>
      </c>
      <c r="J88" s="38">
        <f t="shared" si="24"/>
        <v>-2992</v>
      </c>
      <c r="K88" s="38">
        <f t="shared" si="24"/>
        <v>16601</v>
      </c>
      <c r="L88" s="38">
        <f t="shared" si="24"/>
        <v>-3650</v>
      </c>
    </row>
    <row r="89" spans="2:12" outlineLevel="1" x14ac:dyDescent="0.3"/>
    <row r="90" spans="2:12" outlineLevel="1" x14ac:dyDescent="0.3">
      <c r="B90" s="22" t="s">
        <v>120</v>
      </c>
    </row>
    <row r="91" spans="2:12" outlineLevel="1" x14ac:dyDescent="0.3">
      <c r="B91" t="s">
        <v>105</v>
      </c>
      <c r="C91" s="16">
        <f>IFERROR('Cash flow data '!E19,0)</f>
        <v>1223</v>
      </c>
      <c r="D91" s="16">
        <f>IFERROR('Cash flow data '!F19,0)</f>
        <v>2262</v>
      </c>
      <c r="E91" s="16">
        <f>IFERROR('Cash flow data '!G19,0)</f>
        <v>13006</v>
      </c>
      <c r="F91" s="16">
        <f>IFERROR('Cash flow data '!H19,0)</f>
        <v>26690</v>
      </c>
      <c r="G91" s="16">
        <f>IFERROR('Cash flow data '!I19,0)</f>
        <v>1849</v>
      </c>
      <c r="H91" s="16">
        <f>IFERROR('Cash flow data '!J19,0)</f>
        <v>1760</v>
      </c>
      <c r="I91" s="16">
        <f>IFERROR('Cash flow data '!K19,0)</f>
        <v>2610</v>
      </c>
      <c r="J91" s="16">
        <f>IFERROR('Cash flow data '!L19,0)</f>
        <v>3416</v>
      </c>
      <c r="K91" s="16">
        <f>IFERROR('Cash flow data '!M19,0)</f>
        <v>5250</v>
      </c>
      <c r="L91" s="16">
        <f>IFERROR('Cash flow data '!N19,0)</f>
        <v>6346</v>
      </c>
    </row>
    <row r="92" spans="2:12" outlineLevel="1" x14ac:dyDescent="0.3">
      <c r="B92" t="s">
        <v>106</v>
      </c>
      <c r="C92" s="16">
        <f>IFERROR('Cash flow data '!E20,0)</f>
        <v>0</v>
      </c>
      <c r="D92" s="16">
        <f>IFERROR('Cash flow data '!F20,0)</f>
        <v>0</v>
      </c>
      <c r="E92" s="16">
        <f>IFERROR('Cash flow data '!G20,0)</f>
        <v>0</v>
      </c>
      <c r="F92" s="16">
        <f>IFERROR('Cash flow data '!H20,0)</f>
        <v>0</v>
      </c>
      <c r="G92" s="16">
        <f>IFERROR('Cash flow data '!I20,0)</f>
        <v>744</v>
      </c>
      <c r="H92" s="16">
        <f>IFERROR('Cash flow data '!J20,0)</f>
        <v>356</v>
      </c>
      <c r="I92" s="16">
        <f>IFERROR('Cash flow data '!K20,0)</f>
        <v>8313</v>
      </c>
      <c r="J92" s="16">
        <f>IFERROR('Cash flow data '!L20,0)</f>
        <v>23000</v>
      </c>
      <c r="K92" s="16">
        <f>IFERROR('Cash flow data '!M20,0)</f>
        <v>2350</v>
      </c>
      <c r="L92" s="16">
        <f>IFERROR('Cash flow data '!N20,0)</f>
        <v>1182</v>
      </c>
    </row>
    <row r="93" spans="2:12" outlineLevel="1" x14ac:dyDescent="0.3">
      <c r="B93" t="s">
        <v>107</v>
      </c>
      <c r="C93" s="16">
        <f>IFERROR('Cash flow data '!E21,0)</f>
        <v>0</v>
      </c>
      <c r="D93" s="16">
        <f>IFERROR('Cash flow data '!F21,0)</f>
        <v>0</v>
      </c>
      <c r="E93" s="16">
        <f>IFERROR('Cash flow data '!G21,0)</f>
        <v>0</v>
      </c>
      <c r="F93" s="16">
        <f>IFERROR('Cash flow data '!H21,0)</f>
        <v>-2875</v>
      </c>
      <c r="G93" s="16">
        <f>IFERROR('Cash flow data '!I21,0)</f>
        <v>0</v>
      </c>
      <c r="H93" s="16">
        <f>IFERROR('Cash flow data '!J21,0)</f>
        <v>-1105</v>
      </c>
      <c r="I93" s="16">
        <f>IFERROR('Cash flow data '!K21,0)</f>
        <v>-3650</v>
      </c>
      <c r="J93" s="16">
        <f>IFERROR('Cash flow data '!L21,0)</f>
        <v>-12077</v>
      </c>
      <c r="K93" s="16">
        <f>IFERROR('Cash flow data '!M21,0)</f>
        <v>-230</v>
      </c>
      <c r="L93" s="16">
        <f>IFERROR('Cash flow data '!N21,0)</f>
        <v>-500</v>
      </c>
    </row>
    <row r="94" spans="2:12" outlineLevel="1" x14ac:dyDescent="0.3">
      <c r="B94" t="s">
        <v>108</v>
      </c>
      <c r="C94" s="16">
        <f>IFERROR('Cash flow data '!E22,0)</f>
        <v>0</v>
      </c>
      <c r="D94" s="16">
        <f>IFERROR('Cash flow data '!F22,0)</f>
        <v>0</v>
      </c>
      <c r="E94" s="16">
        <f>IFERROR('Cash flow data '!G22,0)</f>
        <v>0</v>
      </c>
      <c r="F94" s="16">
        <f>IFERROR('Cash flow data '!H22,0)</f>
        <v>3266</v>
      </c>
      <c r="G94" s="16">
        <f>IFERROR('Cash flow data '!I22,0)</f>
        <v>28358</v>
      </c>
      <c r="H94" s="16">
        <f>IFERROR('Cash flow data '!J22,0)</f>
        <v>0</v>
      </c>
      <c r="I94" s="16">
        <f>IFERROR('Cash flow data '!K22,0)</f>
        <v>44308</v>
      </c>
      <c r="J94" s="16">
        <f>IFERROR('Cash flow data '!L22,0)</f>
        <v>18007</v>
      </c>
      <c r="K94" s="16">
        <f>IFERROR('Cash flow data '!M22,0)</f>
        <v>0</v>
      </c>
      <c r="L94" s="16">
        <f>IFERROR('Cash flow data '!N22,0)</f>
        <v>0</v>
      </c>
    </row>
    <row r="95" spans="2:12" outlineLevel="1" x14ac:dyDescent="0.3">
      <c r="B95" t="s">
        <v>109</v>
      </c>
      <c r="C95" s="16">
        <f>IFERROR('Cash flow data '!E23,0)</f>
        <v>0</v>
      </c>
      <c r="D95" s="16">
        <f>IFERROR('Cash flow data '!F23,0)</f>
        <v>0</v>
      </c>
      <c r="E95" s="16">
        <f>IFERROR('Cash flow data '!G23,0)</f>
        <v>0</v>
      </c>
      <c r="F95" s="16">
        <f>IFERROR('Cash flow data '!H23,0)</f>
        <v>0</v>
      </c>
      <c r="G95" s="16">
        <f>IFERROR('Cash flow data '!I23,0)</f>
        <v>0</v>
      </c>
      <c r="H95" s="16">
        <f>IFERROR('Cash flow data '!J23,0)</f>
        <v>-8389</v>
      </c>
      <c r="I95" s="16">
        <f>IFERROR('Cash flow data '!K23,0)</f>
        <v>0</v>
      </c>
      <c r="J95" s="16">
        <f>IFERROR('Cash flow data '!L23,0)</f>
        <v>0</v>
      </c>
      <c r="K95" s="16">
        <f>IFERROR('Cash flow data '!M23,0)</f>
        <v>-7343</v>
      </c>
      <c r="L95" s="16">
        <f>IFERROR('Cash flow data '!N23,0)</f>
        <v>-97063</v>
      </c>
    </row>
    <row r="96" spans="2:12" outlineLevel="1" x14ac:dyDescent="0.3">
      <c r="B96" t="s">
        <v>110</v>
      </c>
      <c r="C96" s="16">
        <f>IFERROR('Cash flow data '!E24,0)</f>
        <v>-2009</v>
      </c>
      <c r="D96" s="16">
        <f>IFERROR('Cash flow data '!F24,0)</f>
        <v>-2408</v>
      </c>
      <c r="E96" s="16">
        <f>IFERROR('Cash flow data '!G24,0)</f>
        <v>-2831</v>
      </c>
      <c r="F96" s="16">
        <f>IFERROR('Cash flow data '!H24,0)</f>
        <v>-4096</v>
      </c>
      <c r="G96" s="16">
        <f>IFERROR('Cash flow data '!I24,0)</f>
        <v>-6631</v>
      </c>
      <c r="H96" s="16">
        <f>IFERROR('Cash flow data '!J24,0)</f>
        <v>0</v>
      </c>
      <c r="I96" s="16">
        <f>IFERROR('Cash flow data '!K24,0)</f>
        <v>-3592</v>
      </c>
      <c r="J96" s="16">
        <f>IFERROR('Cash flow data '!L24,0)</f>
        <v>-8605</v>
      </c>
      <c r="K96" s="16">
        <f>IFERROR('Cash flow data '!M24,0)</f>
        <v>-8404</v>
      </c>
      <c r="L96" s="16">
        <f>IFERROR('Cash flow data '!N24,0)</f>
        <v>-14826</v>
      </c>
    </row>
    <row r="97" spans="2:12" outlineLevel="1" x14ac:dyDescent="0.3">
      <c r="B97" t="s">
        <v>111</v>
      </c>
      <c r="C97" s="16">
        <f>IFERROR('Cash flow data '!E25,0)</f>
        <v>38601</v>
      </c>
      <c r="D97" s="16">
        <f>IFERROR('Cash flow data '!F25,0)</f>
        <v>-5746</v>
      </c>
      <c r="E97" s="16">
        <f>IFERROR('Cash flow data '!G25,0)</f>
        <v>47203</v>
      </c>
      <c r="F97" s="16">
        <f>IFERROR('Cash flow data '!H25,0)</f>
        <v>145</v>
      </c>
      <c r="G97" s="16">
        <f>IFERROR('Cash flow data '!I25,0)</f>
        <v>75</v>
      </c>
      <c r="H97" s="16">
        <f>IFERROR('Cash flow data '!J25,0)</f>
        <v>56</v>
      </c>
      <c r="I97" s="16">
        <f>IFERROR('Cash flow data '!K25,0)</f>
        <v>136</v>
      </c>
      <c r="J97" s="16">
        <f>IFERROR('Cash flow data '!L25,0)</f>
        <v>199</v>
      </c>
      <c r="K97" s="16">
        <f>IFERROR('Cash flow data '!M25,0)</f>
        <v>4394</v>
      </c>
      <c r="L97" s="16">
        <f>IFERROR('Cash flow data '!N25,0)</f>
        <v>2383</v>
      </c>
    </row>
    <row r="98" spans="2:12" s="22" customFormat="1" outlineLevel="1" x14ac:dyDescent="0.3">
      <c r="B98" s="22" t="s">
        <v>121</v>
      </c>
      <c r="C98" s="38">
        <f>SUM(C91:C97)</f>
        <v>37815</v>
      </c>
      <c r="D98" s="38">
        <f t="shared" ref="D98:L98" si="25">SUM(D91:D97)</f>
        <v>-5892</v>
      </c>
      <c r="E98" s="38">
        <f t="shared" si="25"/>
        <v>57378</v>
      </c>
      <c r="F98" s="38">
        <f t="shared" si="25"/>
        <v>23130</v>
      </c>
      <c r="G98" s="38">
        <f t="shared" si="25"/>
        <v>24395</v>
      </c>
      <c r="H98" s="38">
        <f t="shared" si="25"/>
        <v>-7322</v>
      </c>
      <c r="I98" s="38">
        <f t="shared" si="25"/>
        <v>48125</v>
      </c>
      <c r="J98" s="38">
        <f t="shared" si="25"/>
        <v>23940</v>
      </c>
      <c r="K98" s="38">
        <f t="shared" si="25"/>
        <v>-3983</v>
      </c>
      <c r="L98" s="38">
        <f t="shared" si="25"/>
        <v>-102478</v>
      </c>
    </row>
    <row r="99" spans="2:12" outlineLevel="1" x14ac:dyDescent="0.3"/>
    <row r="100" spans="2:12" outlineLevel="1" x14ac:dyDescent="0.3">
      <c r="B100" s="22" t="s">
        <v>122</v>
      </c>
      <c r="C100" s="38">
        <f>IFERROR(SUM(C98,C88,C79),0)</f>
        <v>-48301</v>
      </c>
      <c r="D100" s="38">
        <f t="shared" ref="D100:L100" si="26">IFERROR(SUM(D98,D88,D79),0)</f>
        <v>6635</v>
      </c>
      <c r="E100" s="38">
        <f t="shared" si="26"/>
        <v>64238</v>
      </c>
      <c r="F100" s="38">
        <f t="shared" si="26"/>
        <v>-136115</v>
      </c>
      <c r="G100" s="38">
        <f t="shared" si="26"/>
        <v>-54633</v>
      </c>
      <c r="H100" s="38">
        <f t="shared" si="26"/>
        <v>23211</v>
      </c>
      <c r="I100" s="38">
        <f t="shared" si="26"/>
        <v>-33787</v>
      </c>
      <c r="J100" s="38">
        <f t="shared" si="26"/>
        <v>-779</v>
      </c>
      <c r="K100" s="38">
        <f t="shared" si="26"/>
        <v>-18019</v>
      </c>
      <c r="L100" s="38">
        <f t="shared" si="26"/>
        <v>50421</v>
      </c>
    </row>
  </sheetData>
  <mergeCells count="1">
    <mergeCell ref="B2:M2"/>
  </mergeCells>
  <pageMargins left="0.7" right="0.7" top="0.75" bottom="0.75" header="0.3" footer="0.3"/>
  <ignoredErrors>
    <ignoredError sqref="C9:M9 C15:L15 M21 M30 M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3FB1-B62E-4BF6-BD3F-336FEB7BA21D}">
  <sheetPr>
    <pageSetUpPr autoPageBreaks="0"/>
  </sheetPr>
  <dimension ref="B2:R41"/>
  <sheetViews>
    <sheetView showGridLines="0" zoomScale="116" workbookViewId="0">
      <pane ySplit="3" topLeftCell="A4" activePane="bottomLeft" state="frozen"/>
      <selection pane="bottomLeft" activeCell="P11" sqref="P11"/>
    </sheetView>
  </sheetViews>
  <sheetFormatPr defaultRowHeight="14.4" x14ac:dyDescent="0.3"/>
  <cols>
    <col min="1" max="1" width="1.88671875" customWidth="1"/>
    <col min="2" max="2" width="32.5546875" customWidth="1"/>
    <col min="3" max="3" width="12.44140625" bestFit="1" customWidth="1"/>
    <col min="11" max="11" width="11.5546875" bestFit="1" customWidth="1"/>
    <col min="12" max="12" width="11.21875" bestFit="1" customWidth="1"/>
    <col min="13" max="13" width="14.21875" style="37" customWidth="1"/>
    <col min="14" max="14" width="11.5546875" customWidth="1"/>
    <col min="15" max="15" width="10.77734375" bestFit="1" customWidth="1"/>
  </cols>
  <sheetData>
    <row r="2" spans="2:18" x14ac:dyDescent="0.3">
      <c r="B2" s="77" t="s">
        <v>123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46"/>
    </row>
    <row r="3" spans="2:18" x14ac:dyDescent="0.3">
      <c r="B3" s="9" t="s">
        <v>54</v>
      </c>
      <c r="C3" s="11">
        <f>IFERROR('Data Sheet'!B16,0)</f>
        <v>42460</v>
      </c>
      <c r="D3" s="10">
        <f>IFERROR('Data Sheet'!C16,0)</f>
        <v>42825</v>
      </c>
      <c r="E3" s="10">
        <f>IFERROR('Data Sheet'!D16,0)</f>
        <v>43190</v>
      </c>
      <c r="F3" s="10">
        <f>IFERROR('Data Sheet'!E16,0)</f>
        <v>43555</v>
      </c>
      <c r="G3" s="10">
        <f>IFERROR('Data Sheet'!F16,0)</f>
        <v>43921</v>
      </c>
      <c r="H3" s="10">
        <f>IFERROR('Data Sheet'!G16,0)</f>
        <v>44286</v>
      </c>
      <c r="I3" s="10">
        <f>IFERROR('Data Sheet'!H16,0)</f>
        <v>44651</v>
      </c>
      <c r="J3" s="10">
        <f>IFERROR('Data Sheet'!I16,0)</f>
        <v>45016</v>
      </c>
      <c r="K3" s="10">
        <f>IFERROR('Data Sheet'!J16,0)</f>
        <v>45382</v>
      </c>
      <c r="L3" s="10">
        <f>IFERROR('Data Sheet'!K16,0)</f>
        <v>45747</v>
      </c>
      <c r="M3" s="45"/>
    </row>
    <row r="4" spans="2:18" x14ac:dyDescent="0.3">
      <c r="N4" t="s">
        <v>158</v>
      </c>
      <c r="O4" t="s">
        <v>159</v>
      </c>
    </row>
    <row r="5" spans="2:18" x14ac:dyDescent="0.3">
      <c r="B5" s="49" t="s">
        <v>124</v>
      </c>
      <c r="C5" s="50"/>
      <c r="D5" s="51">
        <f>IFERROR('Historical '!D7,0)</f>
        <v>0.15870257583342195</v>
      </c>
      <c r="E5" s="51">
        <f>IFERROR('Historical '!E7,0)</f>
        <v>0.1760111204420976</v>
      </c>
      <c r="F5" s="51">
        <f>IFERROR('Historical '!F7,0)</f>
        <v>0.22461370352433746</v>
      </c>
      <c r="G5" s="51">
        <f>IFERROR('Historical '!G7,0)</f>
        <v>0.18500426121519042</v>
      </c>
      <c r="H5" s="51">
        <f>IFERROR('Historical '!H7,0)</f>
        <v>5.9951889007186114E-2</v>
      </c>
      <c r="I5" s="51">
        <f>IFERROR('Historical '!I7,0)</f>
        <v>7.576161135932781E-2</v>
      </c>
      <c r="J5" s="51">
        <f>IFERROR('Historical '!J7,0)</f>
        <v>0.22046341163800548</v>
      </c>
      <c r="K5" s="51">
        <f>IFERROR('Historical '!K7,0)</f>
        <v>0.99346530764010288</v>
      </c>
      <c r="L5" s="51">
        <f>IFERROR('Historical '!L7,0)</f>
        <v>0.15422050630698028</v>
      </c>
      <c r="M5" s="63"/>
      <c r="N5" s="51">
        <f>IFERROR(AVERAGE(D5:L5),0)</f>
        <v>0.24979937632962779</v>
      </c>
      <c r="O5" s="51">
        <f>IFERROR(MEDIAN(D5:L5),0)</f>
        <v>0.1760111204420976</v>
      </c>
    </row>
    <row r="6" spans="2:18" x14ac:dyDescent="0.3">
      <c r="B6" s="47" t="s">
        <v>125</v>
      </c>
      <c r="D6" s="52">
        <f>IFERROR('Historical '!D12/'Historical '!C12-1,0)</f>
        <v>0.13986400664016929</v>
      </c>
      <c r="E6" s="52">
        <f>IFERROR('Historical '!E12/'Historical '!D12-1,0)</f>
        <v>0.18896058073933064</v>
      </c>
      <c r="F6" s="52">
        <f>IFERROR('Historical '!F12/'Historical '!E12-1,0)</f>
        <v>0.23710932408200081</v>
      </c>
      <c r="G6" s="52">
        <f>IFERROR('Historical '!G12/'Historical '!F12-1,0)</f>
        <v>0.18226661306968395</v>
      </c>
      <c r="H6" s="52">
        <f>IFERROR('Historical '!H12/'Historical '!G12-1,0)</f>
        <v>5.7983125721862816E-2</v>
      </c>
      <c r="I6" s="52">
        <f>IFERROR('Historical '!I12/'Historical '!H12-1,0)</f>
        <v>6.7337195104337999E-2</v>
      </c>
      <c r="J6" s="52">
        <f>IFERROR('Historical '!J12/'Historical '!I12-1,0)</f>
        <v>0.21623972325513297</v>
      </c>
      <c r="K6" s="52">
        <f>IFERROR('Historical '!K12/'Historical '!J12-1,0)</f>
        <v>1.048079330371706</v>
      </c>
      <c r="L6" s="52">
        <f>IFERROR('Historical '!L12/'Historical '!K12-1,0)</f>
        <v>0.15819448233617828</v>
      </c>
      <c r="N6" s="52">
        <f t="shared" ref="N6:N10" si="0">IFERROR(AVERAGE(D6:L6),0)</f>
        <v>0.25511493125782247</v>
      </c>
      <c r="O6" s="52">
        <f t="shared" ref="O6:O10" si="1">IFERROR(MEDIAN(D6:L6),0)</f>
        <v>0.18226661306968395</v>
      </c>
    </row>
    <row r="7" spans="2:18" x14ac:dyDescent="0.3">
      <c r="B7" s="47" t="s">
        <v>126</v>
      </c>
      <c r="D7" s="52">
        <f>IFERROR('Historical '!D18/'Historical '!C18-1,0)</f>
        <v>0.14731880926953411</v>
      </c>
      <c r="E7" s="52">
        <f>IFERROR('Historical '!E18/'Historical '!D18-1,0)</f>
        <v>0.15229986036751164</v>
      </c>
      <c r="F7" s="52">
        <f>IFERROR('Historical '!F18/'Historical '!E18-1,0)</f>
        <v>0.24284654775833303</v>
      </c>
      <c r="G7" s="52">
        <f>IFERROR('Historical '!G18/'Historical '!F18-1,0)</f>
        <v>0.13845736184661028</v>
      </c>
      <c r="H7" s="52">
        <f>IFERROR('Historical '!H18/'Historical '!G18-1,0)</f>
        <v>1.7908837844660352E-2</v>
      </c>
      <c r="I7" s="52">
        <f>IFERROR('Historical '!I18/'Historical '!H18-1,0)</f>
        <v>7.454107296085466E-2</v>
      </c>
      <c r="J7" s="52">
        <f>IFERROR('Historical '!J18/'Historical '!I18-1,0)</f>
        <v>0.27430077298187716</v>
      </c>
      <c r="K7" s="52">
        <f>IFERROR('Historical '!K18/'Historical '!J18-1,0)</f>
        <v>0.65084703277274047</v>
      </c>
      <c r="L7" s="52">
        <f>IFERROR('Historical '!L18/'Historical '!K18-1,0)</f>
        <v>0.21446713062314182</v>
      </c>
      <c r="N7" s="52">
        <f t="shared" si="0"/>
        <v>0.21255415849169595</v>
      </c>
      <c r="O7" s="52">
        <f t="shared" si="1"/>
        <v>0.15229986036751164</v>
      </c>
    </row>
    <row r="8" spans="2:18" x14ac:dyDescent="0.3">
      <c r="B8" s="47" t="s">
        <v>127</v>
      </c>
      <c r="D8" s="52">
        <f>IFERROR('Historical '!D27/'Historical '!C27-1,0)</f>
        <v>0.19896376349944411</v>
      </c>
      <c r="E8" s="52">
        <f>IFERROR('Historical '!E27/'Historical '!D27-1,0)</f>
        <v>0.21677238931183185</v>
      </c>
      <c r="F8" s="52">
        <f>IFERROR('Historical '!F27/'Historical '!E27-1,0)</f>
        <v>0.20567230374453027</v>
      </c>
      <c r="G8" s="52">
        <f>IFERROR('Historical '!G27/'Historical '!F27-1,0)</f>
        <v>0.11296351552647299</v>
      </c>
      <c r="H8" s="52">
        <f>IFERROR('Historical '!H27/'Historical '!G27-1,0)</f>
        <v>0.12046882748097509</v>
      </c>
      <c r="I8" s="52">
        <f>IFERROR('Historical '!I27/'Historical '!H27-1,0)</f>
        <v>0.18873730464072103</v>
      </c>
      <c r="J8" s="52">
        <f>IFERROR('Historical '!J27/'Historical '!I27-1,0)</f>
        <v>0.20885205582959077</v>
      </c>
      <c r="K8" s="52">
        <f>IFERROR('Historical '!K27/'Historical '!J27-1,0)</f>
        <v>0.24505048018330333</v>
      </c>
      <c r="L8" s="52">
        <f>IFERROR('Historical '!L27/'Historical '!K27-1,0)</f>
        <v>0.2569388757271247</v>
      </c>
      <c r="N8" s="52">
        <f t="shared" si="0"/>
        <v>0.19493550177155491</v>
      </c>
      <c r="O8" s="52">
        <f t="shared" si="1"/>
        <v>0.20567230374453027</v>
      </c>
      <c r="R8" t="s">
        <v>155</v>
      </c>
    </row>
    <row r="9" spans="2:18" x14ac:dyDescent="0.3">
      <c r="B9" s="47" t="s">
        <v>128</v>
      </c>
      <c r="D9" s="52">
        <f>IFERROR('Historical '!D33/'Historical '!C33-1,0)</f>
        <v>0.19485493468608683</v>
      </c>
      <c r="E9" s="52">
        <f>IFERROR('Historical '!E33/'Historical '!D33-1,0)</f>
        <v>0.21195049249584552</v>
      </c>
      <c r="F9" s="52">
        <f>IFERROR('Historical '!F33/'Historical '!E33-1,0)</f>
        <v>0.20929925585264542</v>
      </c>
      <c r="G9" s="52">
        <f>IFERROR('Historical '!G33/'Historical '!F33-1,0)</f>
        <v>0.21610729225002068</v>
      </c>
      <c r="H9" s="52">
        <f>IFERROR('Historical '!H33/'Historical '!G33-1,0)</f>
        <v>0.16707410939296818</v>
      </c>
      <c r="I9" s="52">
        <f>IFERROR('Historical '!I33/'Historical '!H33-1,0)</f>
        <v>0.19757589987936597</v>
      </c>
      <c r="J9" s="52">
        <f>IFERROR('Historical '!J33/'Historical '!I33-1,0)</f>
        <v>0.20963594567886967</v>
      </c>
      <c r="K9" s="52">
        <f>IFERROR('Historical '!K33/'Historical '!J33-1,0)</f>
        <v>0.41816562546724101</v>
      </c>
      <c r="L9" s="52">
        <f>IFERROR('Historical '!L33/'Historical '!K33-1,0)</f>
        <v>0.12214052699533084</v>
      </c>
      <c r="N9" s="52">
        <f t="shared" si="0"/>
        <v>0.2163115647442638</v>
      </c>
      <c r="O9" s="52">
        <f t="shared" si="1"/>
        <v>0.20929925585264542</v>
      </c>
      <c r="R9" s="47" t="s">
        <v>156</v>
      </c>
    </row>
    <row r="10" spans="2:18" x14ac:dyDescent="0.3">
      <c r="B10" s="53" t="s">
        <v>129</v>
      </c>
      <c r="C10" s="54"/>
      <c r="D10" s="55">
        <f>IFERROR('Historical '!D41/'Historical '!C41-1,0)</f>
        <v>0.15789268296690495</v>
      </c>
      <c r="E10" s="55">
        <f>IFERROR('Historical '!E41/'Historical '!D41-1,0)</f>
        <v>0.18182027813253865</v>
      </c>
      <c r="F10" s="55">
        <f>IFERROR('Historical '!F41/'Historical '!E41-1,0)</f>
        <v>0.15384615384615374</v>
      </c>
      <c r="G10" s="55">
        <f>IFERROR('Historical '!G41/'Historical '!F41-1,0)</f>
        <v>-0.66666788247952879</v>
      </c>
      <c r="H10" s="55">
        <f>IFERROR('Historical '!H41/'Historical '!G41-1,0)</f>
        <v>1.6000094833749148</v>
      </c>
      <c r="I10" s="55">
        <f>IFERROR('Historical '!I41/'Historical '!H41-1,0)</f>
        <v>1.3846139974893017</v>
      </c>
      <c r="J10" s="55">
        <f>IFERROR('Historical '!J41/'Historical '!I41-1,0)</f>
        <v>0.22580716466252171</v>
      </c>
      <c r="K10" s="55">
        <f>IFERROR('Historical '!K41/'Historical '!J41-1,0)</f>
        <v>2.6316135875367408E-2</v>
      </c>
      <c r="L10" s="55">
        <f>IFERROR('Historical '!L41/'Historical '!K41-1,0)</f>
        <v>0.12820474741392585</v>
      </c>
      <c r="M10" s="64"/>
      <c r="N10" s="55">
        <f t="shared" si="0"/>
        <v>0.35464919569801112</v>
      </c>
      <c r="O10" s="55">
        <f t="shared" si="1"/>
        <v>0.15789268296690495</v>
      </c>
      <c r="R10" s="47" t="s">
        <v>157</v>
      </c>
    </row>
    <row r="11" spans="2:18" x14ac:dyDescent="0.3">
      <c r="B11" s="48"/>
      <c r="C11" s="48"/>
      <c r="N11" s="52"/>
      <c r="O11" s="52"/>
    </row>
    <row r="12" spans="2:18" x14ac:dyDescent="0.3">
      <c r="B12" s="49" t="s">
        <v>130</v>
      </c>
      <c r="C12" s="51">
        <f>IFERROR('Historical '!C13,0)</f>
        <v>0.90116306664725099</v>
      </c>
      <c r="D12" s="51">
        <f>IFERROR('Historical '!D13,0)</f>
        <v>0.88651165985873392</v>
      </c>
      <c r="E12" s="51">
        <f>IFERROR('Historical '!E13,0)</f>
        <v>0.89627334267178349</v>
      </c>
      <c r="F12" s="51">
        <f>IFERROR('Historical '!F13,0)</f>
        <v>0.90541866872337351</v>
      </c>
      <c r="G12" s="51">
        <f>IFERROR('Historical '!G13,0)</f>
        <v>0.90332693131747122</v>
      </c>
      <c r="H12" s="51">
        <f>IFERROR('Historical '!H13,0)</f>
        <v>0.90164908450624726</v>
      </c>
      <c r="I12" s="51">
        <f>IFERROR('Historical '!I13,0)</f>
        <v>0.89458816401642505</v>
      </c>
      <c r="J12" s="51">
        <f>IFERROR('Historical '!J13,0)</f>
        <v>0.89149224028796181</v>
      </c>
      <c r="K12" s="51">
        <f>IFERROR('Historical '!K13,0)</f>
        <v>0.91591603000205124</v>
      </c>
      <c r="L12" s="51">
        <f>IFERROR('Historical '!L13,0)</f>
        <v>0.9190695247875772</v>
      </c>
      <c r="M12" s="63"/>
      <c r="N12" s="51">
        <f>IFERROR(AVERAGE(C12:L12),0)</f>
        <v>0.90154087128188753</v>
      </c>
      <c r="O12" s="51">
        <f>IFERROR(MEDIAN(C12:L12),0)</f>
        <v>0.90140607557674912</v>
      </c>
    </row>
    <row r="13" spans="2:18" x14ac:dyDescent="0.3">
      <c r="B13" s="47" t="s">
        <v>131</v>
      </c>
      <c r="C13" s="52">
        <f>IFERROR('Historical '!C19,0)</f>
        <v>0.73035156072999929</v>
      </c>
      <c r="D13" s="52">
        <f>IFERROR('Historical '!D19,0)</f>
        <v>0.72317616313416555</v>
      </c>
      <c r="E13" s="52">
        <f>IFERROR('Historical '!E19,0)</f>
        <v>0.70859516318803484</v>
      </c>
      <c r="F13" s="52">
        <f>IFERROR('Historical '!F19,0)</f>
        <v>0.71914518822710494</v>
      </c>
      <c r="G13" s="52">
        <f>IFERROR('Historical '!G19,0)</f>
        <v>0.69089720650805275</v>
      </c>
      <c r="H13" s="52">
        <f>IFERROR('Historical '!H19,0)</f>
        <v>0.66349273003839748</v>
      </c>
      <c r="I13" s="52">
        <f>IFERROR('Historical '!I19,0)</f>
        <v>0.66273994396984059</v>
      </c>
      <c r="J13" s="52">
        <f>IFERROR('Historical '!J19,0)</f>
        <v>0.69197488006074281</v>
      </c>
      <c r="K13" s="52">
        <f>IFERROR('Historical '!K19,0)</f>
        <v>0.57304467407756232</v>
      </c>
      <c r="L13" s="52">
        <f>IFERROR('Historical '!L19,0)</f>
        <v>0.60295577599169348</v>
      </c>
      <c r="N13" s="52">
        <f t="shared" ref="N13:N41" si="2">IFERROR(AVERAGE(C13:L13),0)</f>
        <v>0.67663732859255943</v>
      </c>
      <c r="O13" s="52">
        <f t="shared" ref="O13:O41" si="3">IFERROR(MEDIAN(C13:L13),0)</f>
        <v>0.69143604328439778</v>
      </c>
    </row>
    <row r="14" spans="2:18" x14ac:dyDescent="0.3">
      <c r="B14" s="47" t="s">
        <v>132</v>
      </c>
      <c r="C14" s="52">
        <f>IFERROR(('Historical '!C18 -'Historical '!C24)/'Historical '!C6,0)</f>
        <v>0.72042822946595941</v>
      </c>
      <c r="D14" s="52">
        <f>IFERROR(('Historical '!D18 -'Historical '!D24)/'Historical '!D6,0)</f>
        <v>0.71289272484367239</v>
      </c>
      <c r="E14" s="52">
        <f>IFERROR(('Historical '!E18 -'Historical '!E24)/'Historical '!E6,0)</f>
        <v>0.69905561666727856</v>
      </c>
      <c r="F14" s="52">
        <f>IFERROR(('Historical '!F18 -'Historical '!F24)/'Historical '!F6,0)</f>
        <v>0.70930962512506279</v>
      </c>
      <c r="G14" s="52">
        <f>IFERROR(('Historical '!G18 -'Historical '!G24)/'Historical '!G6,0)</f>
        <v>0.68221572758119253</v>
      </c>
      <c r="H14" s="52">
        <f>IFERROR(('Historical '!H18 -'Historical '!H24)/'Historical '!H6,0)</f>
        <v>0.65460792706020743</v>
      </c>
      <c r="I14" s="52">
        <f>IFERROR(('Historical '!I18 -'Historical '!I24)/'Historical '!I6,0)</f>
        <v>0.65271742695387003</v>
      </c>
      <c r="J14" s="52">
        <f>IFERROR(('Historical '!J18 -'Historical '!J24)/'Historical '!J6,0)</f>
        <v>0.68051489719108349</v>
      </c>
      <c r="K14" s="52">
        <f>IFERROR(('Historical '!K18 -'Historical '!K24)/'Historical '!K6,0)</f>
        <v>0.56546594947773476</v>
      </c>
      <c r="L14" s="52">
        <f>IFERROR(('Historical '!L18 -'Historical '!L24)/'Historical '!L6,0)</f>
        <v>0.59487528909884191</v>
      </c>
      <c r="N14" s="52">
        <f t="shared" si="2"/>
        <v>0.66720834134649032</v>
      </c>
      <c r="O14" s="52">
        <f t="shared" si="3"/>
        <v>0.68136531238613807</v>
      </c>
    </row>
    <row r="15" spans="2:18" x14ac:dyDescent="0.3">
      <c r="B15" s="47" t="s">
        <v>133</v>
      </c>
      <c r="C15" s="52">
        <f>IFERROR('Historical '!C28,0)</f>
        <v>0.26233895242655231</v>
      </c>
      <c r="D15" s="52">
        <f>IFERROR('Historical '!D28,0)</f>
        <v>0.27145438723790249</v>
      </c>
      <c r="E15" s="52">
        <f>IFERROR('Historical '!E28,0)</f>
        <v>0.28086316328749761</v>
      </c>
      <c r="F15" s="52">
        <f>IFERROR('Historical '!F28,0)</f>
        <v>0.27651898402187336</v>
      </c>
      <c r="G15" s="52">
        <f>IFERROR('Historical '!G28,0)</f>
        <v>0.25970838303247762</v>
      </c>
      <c r="H15" s="52">
        <f>IFERROR('Historical '!H28,0)</f>
        <v>0.27453618455828543</v>
      </c>
      <c r="I15" s="52">
        <f>IFERROR('Historical '!I28,0)</f>
        <v>0.30336777275941973</v>
      </c>
      <c r="J15" s="52">
        <f>IFERROR('Historical '!J28,0)</f>
        <v>0.30048156485123817</v>
      </c>
      <c r="K15" s="52">
        <f>IFERROR('Historical '!K28,0)</f>
        <v>0.18767054293367544</v>
      </c>
      <c r="L15" s="52">
        <f>IFERROR('Historical '!L28,0)</f>
        <v>0.20437204152342003</v>
      </c>
      <c r="N15" s="52">
        <f>IFERROR(AVERAGE(C15:L15),0)</f>
        <v>0.26213119766323423</v>
      </c>
      <c r="O15" s="52">
        <f t="shared" si="3"/>
        <v>0.27299528589809396</v>
      </c>
    </row>
    <row r="16" spans="2:18" x14ac:dyDescent="0.3">
      <c r="B16" s="53" t="s">
        <v>134</v>
      </c>
      <c r="C16" s="55">
        <f>IFERROR('Historical '!C34,0)</f>
        <v>0.17233799643715775</v>
      </c>
      <c r="D16" s="55">
        <f>IFERROR('Historical '!D34,0)</f>
        <v>0.17771506663713038</v>
      </c>
      <c r="E16" s="55">
        <f>IFERROR('Historical '!E34,0)</f>
        <v>0.183146110432896</v>
      </c>
      <c r="F16" s="55">
        <f>IFERROR('Historical '!F34,0)</f>
        <v>0.18085577061681637</v>
      </c>
      <c r="G16" s="55">
        <f>IFERROR('Historical '!G34,0)</f>
        <v>0.18560272624426241</v>
      </c>
      <c r="H16" s="55">
        <f>IFERROR('Historical '!H34,0)</f>
        <v>0.20436034755815305</v>
      </c>
      <c r="I16" s="55">
        <f>IFERROR('Historical '!I34,0)</f>
        <v>0.22750117176738296</v>
      </c>
      <c r="J16" s="55">
        <f>IFERROR('Historical '!J34,0)</f>
        <v>0.22548287185811419</v>
      </c>
      <c r="K16" s="55">
        <f>IFERROR('Historical '!K34,0)</f>
        <v>0.16041014447317556</v>
      </c>
      <c r="L16" s="55">
        <f>IFERROR('Historical '!L34,0)</f>
        <v>0.15595176404416805</v>
      </c>
      <c r="M16" s="64"/>
      <c r="N16" s="55">
        <f t="shared" si="2"/>
        <v>0.18733639700692567</v>
      </c>
      <c r="O16" s="55">
        <f t="shared" si="3"/>
        <v>0.18200094052485619</v>
      </c>
    </row>
    <row r="17" spans="2:15" x14ac:dyDescent="0.3">
      <c r="B17" s="48"/>
      <c r="C17" s="48"/>
      <c r="N17" s="52"/>
      <c r="O17" s="52"/>
    </row>
    <row r="18" spans="2:15" x14ac:dyDescent="0.3">
      <c r="B18" s="49" t="s">
        <v>135</v>
      </c>
      <c r="C18" s="51">
        <f>IFERROR('Historical '!C16,0)</f>
        <v>0.17081150591725167</v>
      </c>
      <c r="D18" s="51">
        <f>IFERROR('Historical '!D16,0)</f>
        <v>0.1633354967245684</v>
      </c>
      <c r="E18" s="51">
        <f>IFERROR('Historical '!E16,0)</f>
        <v>0.18767817948374868</v>
      </c>
      <c r="F18" s="51">
        <f>IFERROR('Historical '!F16,0)</f>
        <v>0.18627348049626857</v>
      </c>
      <c r="G18" s="51">
        <f>IFERROR('Historical '!G16,0)</f>
        <v>0.21242972480941841</v>
      </c>
      <c r="H18" s="51">
        <f>IFERROR('Historical '!H16,0)</f>
        <v>0.23815635446784969</v>
      </c>
      <c r="I18" s="51">
        <f>IFERROR('Historical '!I16,0)</f>
        <v>0.23184822004658445</v>
      </c>
      <c r="J18" s="51">
        <f>IFERROR('Historical '!J16,0)</f>
        <v>0.19951736022721892</v>
      </c>
      <c r="K18" s="51">
        <f>IFERROR('Historical '!K16,0)</f>
        <v>0.34287135592448892</v>
      </c>
      <c r="L18" s="51">
        <f>IFERROR('Historical '!L16,0)</f>
        <v>0.31611374879588383</v>
      </c>
      <c r="M18" s="63"/>
      <c r="N18" s="51">
        <f t="shared" si="2"/>
        <v>0.22490354268932816</v>
      </c>
      <c r="O18" s="51">
        <f t="shared" si="3"/>
        <v>0.20597354251831868</v>
      </c>
    </row>
    <row r="19" spans="2:15" x14ac:dyDescent="0.3">
      <c r="B19" s="47" t="s">
        <v>136</v>
      </c>
      <c r="C19" s="52">
        <f>IFERROR('Historical '!C25,0)</f>
        <v>9.9233312640398339E-3</v>
      </c>
      <c r="D19" s="52">
        <f>IFERROR('Historical '!D25,0)</f>
        <v>1.028343829049312E-2</v>
      </c>
      <c r="E19" s="52">
        <f>IFERROR('Historical '!E25,0)</f>
        <v>9.5395465207563437E-3</v>
      </c>
      <c r="F19" s="52">
        <f>IFERROR('Historical '!F25,0)</f>
        <v>9.835563102042184E-3</v>
      </c>
      <c r="G19" s="52">
        <f>IFERROR('Historical '!G25,0)</f>
        <v>8.6814789268602199E-3</v>
      </c>
      <c r="H19" s="52">
        <f>IFERROR('Historical '!H25,0)</f>
        <v>8.8848029781901147E-3</v>
      </c>
      <c r="I19" s="52">
        <f>IFERROR('Historical '!I25,0)</f>
        <v>1.0022517015970624E-2</v>
      </c>
      <c r="J19" s="52">
        <f>IFERROR('Historical '!J25,0)</f>
        <v>1.1459982869659411E-2</v>
      </c>
      <c r="K19" s="52">
        <f>IFERROR('Historical '!K25,0)</f>
        <v>7.5787245998275906E-3</v>
      </c>
      <c r="L19" s="52">
        <f>IFERROR('Historical '!L25,0)</f>
        <v>8.0804868928515544E-3</v>
      </c>
      <c r="N19" s="52">
        <f>IFERROR(AVERAGE(C19:L19),0)</f>
        <v>9.4289872460690989E-3</v>
      </c>
      <c r="O19" s="52">
        <f t="shared" si="3"/>
        <v>9.6875548113992647E-3</v>
      </c>
    </row>
    <row r="20" spans="2:15" x14ac:dyDescent="0.3">
      <c r="B20" s="53" t="s">
        <v>137</v>
      </c>
      <c r="C20" s="55">
        <f>C14</f>
        <v>0.72042822946595941</v>
      </c>
      <c r="D20" s="55">
        <f t="shared" ref="D20:L20" si="4">D14</f>
        <v>0.71289272484367239</v>
      </c>
      <c r="E20" s="55">
        <f t="shared" si="4"/>
        <v>0.69905561666727856</v>
      </c>
      <c r="F20" s="55">
        <f t="shared" si="4"/>
        <v>0.70930962512506279</v>
      </c>
      <c r="G20" s="55">
        <f t="shared" si="4"/>
        <v>0.68221572758119253</v>
      </c>
      <c r="H20" s="55">
        <f t="shared" si="4"/>
        <v>0.65460792706020743</v>
      </c>
      <c r="I20" s="55">
        <f t="shared" si="4"/>
        <v>0.65271742695387003</v>
      </c>
      <c r="J20" s="55">
        <f t="shared" si="4"/>
        <v>0.68051489719108349</v>
      </c>
      <c r="K20" s="55">
        <f t="shared" si="4"/>
        <v>0.56546594947773476</v>
      </c>
      <c r="L20" s="55">
        <f t="shared" si="4"/>
        <v>0.59487528909884191</v>
      </c>
      <c r="M20" s="64"/>
      <c r="N20" s="55">
        <f t="shared" si="2"/>
        <v>0.66720834134649032</v>
      </c>
      <c r="O20" s="55">
        <f t="shared" si="3"/>
        <v>0.68136531238613807</v>
      </c>
    </row>
    <row r="21" spans="2:15" x14ac:dyDescent="0.3">
      <c r="B21" s="48"/>
      <c r="C21" s="48"/>
      <c r="N21" s="52"/>
      <c r="O21" s="52"/>
    </row>
    <row r="22" spans="2:15" x14ac:dyDescent="0.3">
      <c r="B22" s="49" t="s">
        <v>138</v>
      </c>
      <c r="C22" s="51">
        <f>IFERROR(('Historical '!C18-'Historical '!C24)/SUM('Historical '!C48:C50),0)</f>
        <v>7.4017402997670706E-2</v>
      </c>
      <c r="D22" s="51">
        <f>IFERROR(('Historical '!D18-'Historical '!D24)/SUM('Historical '!D48:D50),0)</f>
        <v>7.372053053155106E-2</v>
      </c>
      <c r="E22" s="51">
        <f>IFERROR(('Historical '!E18-'Historical '!E24)/SUM('Historical '!E48:E50),0)</f>
        <v>6.7189208513316404E-2</v>
      </c>
      <c r="F22" s="51">
        <f>IFERROR(('Historical '!F18-'Historical '!F24)/SUM('Historical '!F48:F50),0)</f>
        <v>7.134311588775348E-2</v>
      </c>
      <c r="G22" s="51">
        <f>IFERROR(('Historical '!G18-'Historical '!G24)/SUM('Historical '!G48:G50),0)</f>
        <v>6.6471624065549323E-2</v>
      </c>
      <c r="H22" s="51">
        <f>IFERROR(('Historical '!H18-'Historical '!H24)/SUM('Historical '!H48:H50),0)</f>
        <v>5.9285435664006819E-2</v>
      </c>
      <c r="I22" s="51">
        <f>IFERROR(('Historical '!I18-'Historical '!I24)/SUM('Historical '!I48:I50),0)</f>
        <v>5.3859145595791011E-2</v>
      </c>
      <c r="J22" s="51">
        <f>IFERROR(('Historical '!J18-'Historical '!J24)/SUM('Historical '!J48:J50),0)</f>
        <v>5.7348059142056235E-2</v>
      </c>
      <c r="K22" s="51">
        <f>IFERROR(('Historical '!K18-'Historical '!K24)/SUM('Historical '!K48:K50),0)</f>
        <v>6.4734498755953454E-2</v>
      </c>
      <c r="L22" s="51">
        <f>IFERROR(('Historical '!L18-'Historical '!L24)/SUM('Historical '!L48:L50),0)</f>
        <v>7.2437293020444618E-2</v>
      </c>
      <c r="M22" s="63"/>
      <c r="N22" s="51">
        <f t="shared" si="2"/>
        <v>6.6040631417409318E-2</v>
      </c>
      <c r="O22" s="51">
        <f t="shared" si="3"/>
        <v>6.683041628943287E-2</v>
      </c>
    </row>
    <row r="23" spans="2:15" x14ac:dyDescent="0.3">
      <c r="B23" s="47" t="s">
        <v>139</v>
      </c>
      <c r="C23" s="52">
        <f>IFERROR('Historical '!C44,0)</f>
        <v>0.81261385951676335</v>
      </c>
      <c r="D23" s="52">
        <f>IFERROR('Historical '!D44,0)</f>
        <v>0.8159433491023419</v>
      </c>
      <c r="E23" s="52">
        <f>IFERROR('Historical '!E44,0)</f>
        <v>0.81823936847685774</v>
      </c>
      <c r="F23" s="52">
        <f>IFERROR('Historical '!F44,0)</f>
        <v>0.81800672826445808</v>
      </c>
      <c r="G23" s="52">
        <f>IFERROR('Historical '!G44,0)</f>
        <v>0.94977995161976347</v>
      </c>
      <c r="H23" s="52">
        <f>IFERROR('Historical '!H44,0)</f>
        <v>0.88751778664315306</v>
      </c>
      <c r="I23" s="52">
        <f>IFERROR('Historical '!I44,0)</f>
        <v>0.77469679614373443</v>
      </c>
      <c r="J23" s="52">
        <f>IFERROR('Historical '!J44,0)</f>
        <v>0.77027673585604783</v>
      </c>
      <c r="K23" s="52">
        <f>IFERROR('Historical '!K44,0)</f>
        <v>0.77364778865179973</v>
      </c>
      <c r="L23" s="52">
        <f>IFERROR('Historical '!L44,0)</f>
        <v>0.77076795982362223</v>
      </c>
      <c r="N23" s="52">
        <f t="shared" si="2"/>
        <v>0.81914903240985415</v>
      </c>
      <c r="O23" s="52">
        <f t="shared" si="3"/>
        <v>0.81427860430955268</v>
      </c>
    </row>
    <row r="24" spans="2:15" x14ac:dyDescent="0.3">
      <c r="B24" s="47" t="s">
        <v>140</v>
      </c>
      <c r="C24" s="52">
        <f>IFERROR('Historical '!C33/SUM('Historical '!C48:C49),0)</f>
        <v>0.17249821779758384</v>
      </c>
      <c r="D24" s="52">
        <f>IFERROR('Historical '!D33/SUM('Historical '!D48:D49),0)</f>
        <v>0.16683942678139466</v>
      </c>
      <c r="E24" s="52">
        <f>IFERROR('Historical '!E33/SUM('Historical '!E48:E49),0)</f>
        <v>0.16935207423635573</v>
      </c>
      <c r="F24" s="52">
        <f>IFERROR('Historical '!F33/SUM('Historical '!F48:F49),0)</f>
        <v>0.14606117965290649</v>
      </c>
      <c r="G24" s="52">
        <f>IFERROR('Historical '!G33/SUM('Historical '!G48:G49),0)</f>
        <v>0.15477698833247311</v>
      </c>
      <c r="H24" s="52">
        <f>IFERROR('Historical '!H33/SUM('Historical '!H48:H49),0)</f>
        <v>0.15183615018108276</v>
      </c>
      <c r="I24" s="52">
        <f>IFERROR('Historical '!I33/SUM('Historical '!I48:I49),0)</f>
        <v>0.15425338936029293</v>
      </c>
      <c r="J24" s="52">
        <f>IFERROR('Historical '!J33/SUM('Historical '!J48:J49),0)</f>
        <v>0.1594427121572014</v>
      </c>
      <c r="K24" s="52">
        <f>IFERROR('Historical '!K33/SUM('Historical '!K48:K49),0)</f>
        <v>0.14339873169144515</v>
      </c>
      <c r="L24" s="52">
        <f>IFERROR('Historical '!L33/SUM('Historical '!L48:L49),0)</f>
        <v>0.1407467675799233</v>
      </c>
      <c r="N24" s="52">
        <f t="shared" si="2"/>
        <v>0.15592056377706592</v>
      </c>
      <c r="O24" s="52">
        <f t="shared" si="3"/>
        <v>0.15451518884638302</v>
      </c>
    </row>
    <row r="25" spans="2:15" x14ac:dyDescent="0.3">
      <c r="B25" s="47" t="s">
        <v>141</v>
      </c>
      <c r="C25" s="56">
        <f>IFERROR(C23*C24,0)</f>
        <v>0.14017444252425784</v>
      </c>
      <c r="D25" s="56">
        <f t="shared" ref="D25:I25" si="5">IFERROR(D23*D24,0)</f>
        <v>0.1361315206503261</v>
      </c>
      <c r="E25" s="56">
        <f t="shared" si="5"/>
        <v>0.13857053427340166</v>
      </c>
      <c r="F25" s="56">
        <f t="shared" si="5"/>
        <v>0.11947902769432127</v>
      </c>
      <c r="G25" s="56">
        <f t="shared" si="5"/>
        <v>0.147004080490269</v>
      </c>
      <c r="H25" s="56">
        <f t="shared" si="5"/>
        <v>0.13475728394113196</v>
      </c>
      <c r="I25" s="56">
        <f t="shared" si="5"/>
        <v>0.11949960653173095</v>
      </c>
      <c r="J25" s="56">
        <f>IFERROR(J23*J24,0)</f>
        <v>0.1228150118764845</v>
      </c>
      <c r="K25" s="56">
        <f t="shared" ref="K25" si="6">IFERROR(K23*K24,0)</f>
        <v>0.1109401116685593</v>
      </c>
      <c r="L25" s="56">
        <f t="shared" ref="L25" si="7">IFERROR(L23*L24,0)</f>
        <v>0.10848309889934701</v>
      </c>
      <c r="N25" s="52">
        <f t="shared" si="2"/>
        <v>0.12778547185498296</v>
      </c>
      <c r="O25" s="52">
        <f t="shared" si="3"/>
        <v>0.12878614790880821</v>
      </c>
    </row>
    <row r="26" spans="2:15" x14ac:dyDescent="0.3">
      <c r="B26" s="53" t="s">
        <v>142</v>
      </c>
      <c r="C26" s="57">
        <f>IFERROR(('Historical '!C18-'Historical '!C24)/'Historical '!C21,0)</f>
        <v>1.5726808409968187</v>
      </c>
      <c r="D26" s="57">
        <f>IFERROR(('Historical '!D18-'Historical '!D24)/'Historical '!D21,0)</f>
        <v>1.6149316090446295</v>
      </c>
      <c r="E26" s="57">
        <f>IFERROR(('Historical '!E18-'Historical '!E24)/'Historical '!E21,0)</f>
        <v>1.6716122230747961</v>
      </c>
      <c r="F26" s="57">
        <f>IFERROR(('Historical '!F18-'Historical '!F24)/'Historical '!F21,0)</f>
        <v>1.6389208956021384</v>
      </c>
      <c r="G26" s="57">
        <f>IFERROR(('Historical '!G18-'Historical '!G24)/'Historical '!G21,0)</f>
        <v>1.6146837123266464</v>
      </c>
      <c r="H26" s="57">
        <f>IFERROR(('Historical '!H18-'Historical '!H24)/'Historical '!H21,0)</f>
        <v>1.7223272710333031</v>
      </c>
      <c r="I26" s="57">
        <f>IFERROR(('Historical '!I18-'Historical '!I24)/'Historical '!I21,0)</f>
        <v>1.8683786261616375</v>
      </c>
      <c r="J26" s="57">
        <f>IFERROR(('Historical '!J18-'Historical '!J24)/'Historical '!J21,0)</f>
        <v>1.7906716050436653</v>
      </c>
      <c r="K26" s="57">
        <f>IFERROR(('Historical '!K18-'Historical '!K24)/'Historical '!K21,0)</f>
        <v>1.496751785974372</v>
      </c>
      <c r="L26" s="57">
        <f>IFERROR(('Historical '!L18-'Historical '!L24)/'Historical '!L21,0)</f>
        <v>1.5233555490058956</v>
      </c>
      <c r="M26" s="64"/>
      <c r="N26" s="55">
        <f t="shared" si="2"/>
        <v>1.6514314118263904</v>
      </c>
      <c r="O26" s="55">
        <f t="shared" si="3"/>
        <v>1.6269262523233841</v>
      </c>
    </row>
    <row r="27" spans="2:15" x14ac:dyDescent="0.3">
      <c r="B27" s="48"/>
      <c r="C27" s="48"/>
      <c r="N27" s="52"/>
      <c r="O27" s="52"/>
    </row>
    <row r="28" spans="2:15" x14ac:dyDescent="0.3">
      <c r="B28" s="49" t="s">
        <v>143</v>
      </c>
      <c r="C28" s="58">
        <f>IFERROR(('Historical '!C6/'Historical '!C60),0)</f>
        <v>0</v>
      </c>
      <c r="D28" s="58">
        <f>IFERROR(('Historical '!D6/'Historical '!D60),0)</f>
        <v>0</v>
      </c>
      <c r="E28" s="58">
        <f>IFERROR(('Historical '!E6/'Historical '!E60),0)</f>
        <v>0</v>
      </c>
      <c r="F28" s="58">
        <f>IFERROR(('Historical '!F6/'Historical '!F60),0)</f>
        <v>0</v>
      </c>
      <c r="G28" s="58">
        <f>IFERROR(('Historical '!G6/'Historical '!G60),0)</f>
        <v>0</v>
      </c>
      <c r="H28" s="58">
        <f>IFERROR(('Historical '!H6/'Historical '!H60),0)</f>
        <v>0</v>
      </c>
      <c r="I28" s="58">
        <f>IFERROR(('Historical '!I6/'Historical '!I60),0)</f>
        <v>0</v>
      </c>
      <c r="J28" s="58">
        <f>IFERROR(('Historical '!J6/'Historical '!J60),0)</f>
        <v>0</v>
      </c>
      <c r="K28" s="58">
        <f>IFERROR(('Historical '!K6/'Historical '!K60),0)</f>
        <v>0</v>
      </c>
      <c r="L28" s="58">
        <f>IFERROR(('Historical '!L6/'Historical '!L60),0)</f>
        <v>0</v>
      </c>
      <c r="M28" s="63"/>
      <c r="N28" s="51">
        <f t="shared" si="2"/>
        <v>0</v>
      </c>
      <c r="O28" s="51">
        <f t="shared" si="3"/>
        <v>0</v>
      </c>
    </row>
    <row r="29" spans="2:15" x14ac:dyDescent="0.3">
      <c r="B29" s="47" t="s">
        <v>144</v>
      </c>
      <c r="C29" s="59">
        <f>IFERROR('Historical '!C6/'Historical '!C51,0)</f>
        <v>1.9407976576781107</v>
      </c>
      <c r="D29" s="59">
        <f>IFERROR('Historical '!D6/'Historical '!D51,0)</f>
        <v>1.4606095356770947</v>
      </c>
      <c r="E29" s="59">
        <f>IFERROR('Historical '!E6/'Historical '!E51,0)</f>
        <v>2.0780154612012103</v>
      </c>
      <c r="F29" s="59">
        <f>IFERROR('Historical '!F6/'Historical '!F51,0)</f>
        <v>2.1071794278849105</v>
      </c>
      <c r="G29" s="59">
        <f>IFERROR('Historical '!G6/'Historical '!G51,0)</f>
        <v>2.0589066791991688</v>
      </c>
      <c r="H29" s="59">
        <f>IFERROR('Historical '!H6/'Historical '!H51,0)</f>
        <v>1.991410449032005</v>
      </c>
      <c r="I29" s="59">
        <f>IFERROR('Historical '!I6/'Historical '!I51,0)</f>
        <v>1.8501543492507606</v>
      </c>
      <c r="J29" s="59">
        <f>IFERROR('Historical '!J6/'Historical '!J51,0)</f>
        <v>2.0108076955461041</v>
      </c>
      <c r="K29" s="59">
        <f>IFERROR('Historical '!K6/'Historical '!K51,0)</f>
        <v>0.87496897626910031</v>
      </c>
      <c r="L29" s="59">
        <f>IFERROR('Historical '!L6/'Historical '!L51,0)</f>
        <v>0.89729611088550842</v>
      </c>
      <c r="N29" s="52">
        <f t="shared" si="2"/>
        <v>1.7270146342623973</v>
      </c>
      <c r="O29" s="52">
        <f t="shared" si="3"/>
        <v>1.9661040533550578</v>
      </c>
    </row>
    <row r="30" spans="2:15" x14ac:dyDescent="0.3">
      <c r="B30" s="47" t="s">
        <v>145</v>
      </c>
      <c r="C30" s="48">
        <f>IFERROR('Historical '!C6/'Historical '!C61,0)</f>
        <v>0</v>
      </c>
      <c r="D30" s="48">
        <f>IFERROR('Historical '!D6/'Historical '!D61,0)</f>
        <v>0</v>
      </c>
      <c r="E30" s="48">
        <f>IFERROR('Historical '!E6/'Historical '!E61,0)</f>
        <v>0</v>
      </c>
      <c r="F30" s="48">
        <f>IFERROR('Historical '!F6/'Historical '!F61,0)</f>
        <v>0</v>
      </c>
      <c r="G30" s="48">
        <f>IFERROR('Historical '!G6/'Historical '!G61,0)</f>
        <v>0</v>
      </c>
      <c r="H30" s="48">
        <f>IFERROR('Historical '!H6/'Historical '!H61,0)</f>
        <v>0</v>
      </c>
      <c r="I30" s="48">
        <f>IFERROR('Historical '!I6/'Historical '!I61,0)</f>
        <v>0</v>
      </c>
      <c r="J30" s="48">
        <f>IFERROR('Historical '!J6/'Historical '!J61,0)</f>
        <v>0</v>
      </c>
      <c r="K30" s="48">
        <f>IFERROR('Historical '!K6/'Historical '!K61,0)</f>
        <v>0</v>
      </c>
      <c r="L30" s="48">
        <f>IFERROR('Historical '!L6/'Historical '!L61,0)</f>
        <v>0</v>
      </c>
      <c r="N30" s="52">
        <f t="shared" si="2"/>
        <v>0</v>
      </c>
      <c r="O30" s="52">
        <f t="shared" si="3"/>
        <v>0</v>
      </c>
    </row>
    <row r="31" spans="2:15" x14ac:dyDescent="0.3">
      <c r="B31" s="47" t="s">
        <v>146</v>
      </c>
      <c r="C31" s="59">
        <f>IFERROR('Historical '!C6/'Historical '!C54,0)</f>
        <v>20.282533284608625</v>
      </c>
      <c r="D31" s="59">
        <f>IFERROR('Historical '!D6/'Historical '!D54,0)</f>
        <v>21.545723429257198</v>
      </c>
      <c r="E31" s="59">
        <f>IFERROR('Historical '!E6/'Historical '!E54,0)</f>
        <v>25.284718809020667</v>
      </c>
      <c r="F31" s="59">
        <f>IFERROR('Historical '!F6/'Historical '!F54,0)</f>
        <v>28.408858154615981</v>
      </c>
      <c r="G31" s="59">
        <f>IFERROR('Historical '!G6/'Historical '!G54,0)</f>
        <v>30.795443552186619</v>
      </c>
      <c r="H31" s="59">
        <f>IFERROR('Historical '!H6/'Historical '!H54,0)</f>
        <v>29.701769127440052</v>
      </c>
      <c r="I31" s="59">
        <f>IFERROR('Historical '!I6/'Historical '!I54,0)</f>
        <v>26.071762278706544</v>
      </c>
      <c r="J31" s="59">
        <f>IFERROR('Historical '!J6/'Historical '!J54,0)</f>
        <v>24.274416315299444</v>
      </c>
      <c r="K31" s="59">
        <f>IFERROR('Historical '!K6/'Historical '!K54,0)</f>
        <v>32.370877420706201</v>
      </c>
      <c r="L31" s="59">
        <f>IFERROR('Historical '!L6/'Historical '!L54,0)</f>
        <v>30.863663771125065</v>
      </c>
      <c r="N31" s="52">
        <f t="shared" si="2"/>
        <v>26.959976614296643</v>
      </c>
      <c r="O31" s="52">
        <f t="shared" si="3"/>
        <v>27.240310216661264</v>
      </c>
    </row>
    <row r="32" spans="2:15" x14ac:dyDescent="0.3">
      <c r="B32" s="53" t="s">
        <v>147</v>
      </c>
      <c r="C32" s="57">
        <f>IFERROR('Historical '!C6/SUM('Historical '!C48:C49),0)</f>
        <v>1.000929692602551</v>
      </c>
      <c r="D32" s="57">
        <f>IFERROR('Historical '!D6/SUM('Historical '!D48:D49),0)</f>
        <v>0.93880293853788854</v>
      </c>
      <c r="E32" s="57">
        <f>IFERROR('Historical '!E6/SUM('Historical '!E48:E49),0)</f>
        <v>0.9246828875375197</v>
      </c>
      <c r="F32" s="57">
        <f>IFERROR('Historical '!F6/SUM('Historical '!F48:F49),0)</f>
        <v>0.80761138643659847</v>
      </c>
      <c r="G32" s="57">
        <f>IFERROR('Historical '!G6/SUM('Historical '!G48:G49),0)</f>
        <v>0.83391548962906348</v>
      </c>
      <c r="H32" s="57">
        <f>IFERROR('Historical '!H6/SUM('Historical '!H48:H49),0)</f>
        <v>0.74298244251065415</v>
      </c>
      <c r="I32" s="57">
        <f>IFERROR('Historical '!I6/SUM('Historical '!I48:I49),0)</f>
        <v>0.67803338401269875</v>
      </c>
      <c r="J32" s="57">
        <f>IFERROR('Historical '!J6/SUM('Historical '!J48:J49),0)</f>
        <v>0.70711673504642614</v>
      </c>
      <c r="K32" s="57">
        <f>IFERROR('Historical '!K6/SUM('Historical '!K48:K49),0)</f>
        <v>0.89395051767081279</v>
      </c>
      <c r="L32" s="57">
        <f>IFERROR('Historical '!L6/SUM('Historical '!L48:L49),0)</f>
        <v>0.90250192707061372</v>
      </c>
      <c r="M32" s="64"/>
      <c r="N32" s="55">
        <f t="shared" si="2"/>
        <v>0.84305274010548281</v>
      </c>
      <c r="O32" s="55">
        <f t="shared" si="3"/>
        <v>0.86393300364993819</v>
      </c>
    </row>
    <row r="33" spans="2:15" x14ac:dyDescent="0.3">
      <c r="B33" s="48"/>
      <c r="C33" s="48"/>
      <c r="N33" s="52"/>
      <c r="O33" s="52"/>
    </row>
    <row r="34" spans="2:15" x14ac:dyDescent="0.3">
      <c r="B34" s="49" t="s">
        <v>148</v>
      </c>
      <c r="C34" s="60">
        <f>IFERROR(C28/365,0)</f>
        <v>0</v>
      </c>
      <c r="D34" s="60">
        <f t="shared" ref="D34:L34" si="8">IFERROR(D28/365,0)</f>
        <v>0</v>
      </c>
      <c r="E34" s="60">
        <f t="shared" si="8"/>
        <v>0</v>
      </c>
      <c r="F34" s="60">
        <f t="shared" si="8"/>
        <v>0</v>
      </c>
      <c r="G34" s="60">
        <f t="shared" si="8"/>
        <v>0</v>
      </c>
      <c r="H34" s="60">
        <f t="shared" si="8"/>
        <v>0</v>
      </c>
      <c r="I34" s="60">
        <f t="shared" si="8"/>
        <v>0</v>
      </c>
      <c r="J34" s="60">
        <f t="shared" si="8"/>
        <v>0</v>
      </c>
      <c r="K34" s="60">
        <f t="shared" si="8"/>
        <v>0</v>
      </c>
      <c r="L34" s="60">
        <f t="shared" si="8"/>
        <v>0</v>
      </c>
      <c r="M34" s="63"/>
      <c r="N34" s="51">
        <f t="shared" si="2"/>
        <v>0</v>
      </c>
      <c r="O34" s="51">
        <f t="shared" si="3"/>
        <v>0</v>
      </c>
    </row>
    <row r="35" spans="2:15" x14ac:dyDescent="0.3">
      <c r="B35" s="47" t="s">
        <v>149</v>
      </c>
      <c r="C35" s="61">
        <f>IFERROR(365/C29,0)</f>
        <v>188.06700356216976</v>
      </c>
      <c r="D35" s="61">
        <f t="shared" ref="D35:L35" si="9">IFERROR(365/D29,0)</f>
        <v>249.89567100888257</v>
      </c>
      <c r="E35" s="61">
        <f t="shared" si="9"/>
        <v>175.64835623937532</v>
      </c>
      <c r="F35" s="61">
        <f t="shared" si="9"/>
        <v>173.2173326912033</v>
      </c>
      <c r="G35" s="61">
        <f t="shared" si="9"/>
        <v>177.27855452971292</v>
      </c>
      <c r="H35" s="61">
        <f t="shared" si="9"/>
        <v>183.28717727549389</v>
      </c>
      <c r="I35" s="61">
        <f t="shared" si="9"/>
        <v>197.28083775702854</v>
      </c>
      <c r="J35" s="61">
        <f t="shared" si="9"/>
        <v>181.51909842421389</v>
      </c>
      <c r="K35" s="61">
        <f t="shared" si="9"/>
        <v>417.157647756122</v>
      </c>
      <c r="L35" s="61">
        <f t="shared" si="9"/>
        <v>406.7776462775426</v>
      </c>
      <c r="N35" s="52">
        <f t="shared" si="2"/>
        <v>235.0129325521745</v>
      </c>
      <c r="O35" s="52">
        <f t="shared" si="3"/>
        <v>185.67709041883182</v>
      </c>
    </row>
    <row r="36" spans="2:15" x14ac:dyDescent="0.3">
      <c r="B36" s="47" t="s">
        <v>150</v>
      </c>
      <c r="C36" s="61">
        <f>IFERROR(365/C30,0)</f>
        <v>0</v>
      </c>
      <c r="D36" s="61">
        <f t="shared" ref="D36:L36" si="10">IFERROR(365/D30,0)</f>
        <v>0</v>
      </c>
      <c r="E36" s="61">
        <f t="shared" si="10"/>
        <v>0</v>
      </c>
      <c r="F36" s="61">
        <f t="shared" si="10"/>
        <v>0</v>
      </c>
      <c r="G36" s="61">
        <f t="shared" si="10"/>
        <v>0</v>
      </c>
      <c r="H36" s="61">
        <f t="shared" si="10"/>
        <v>0</v>
      </c>
      <c r="I36" s="61">
        <f t="shared" si="10"/>
        <v>0</v>
      </c>
      <c r="J36" s="61">
        <f t="shared" si="10"/>
        <v>0</v>
      </c>
      <c r="K36" s="61">
        <f t="shared" si="10"/>
        <v>0</v>
      </c>
      <c r="L36" s="61">
        <f t="shared" si="10"/>
        <v>0</v>
      </c>
      <c r="N36" s="52">
        <f t="shared" si="2"/>
        <v>0</v>
      </c>
      <c r="O36" s="52">
        <f t="shared" si="3"/>
        <v>0</v>
      </c>
    </row>
    <row r="37" spans="2:15" x14ac:dyDescent="0.3">
      <c r="B37" s="53" t="s">
        <v>151</v>
      </c>
      <c r="C37" s="62">
        <f>IFERROR(C34+C36-C35,0)</f>
        <v>-188.06700356216976</v>
      </c>
      <c r="D37" s="62">
        <f t="shared" ref="D37:L37" si="11">IFERROR(D34+D36-D35,0)</f>
        <v>-249.89567100888257</v>
      </c>
      <c r="E37" s="62">
        <f t="shared" si="11"/>
        <v>-175.64835623937532</v>
      </c>
      <c r="F37" s="62">
        <f t="shared" si="11"/>
        <v>-173.2173326912033</v>
      </c>
      <c r="G37" s="62">
        <f t="shared" si="11"/>
        <v>-177.27855452971292</v>
      </c>
      <c r="H37" s="62">
        <f t="shared" si="11"/>
        <v>-183.28717727549389</v>
      </c>
      <c r="I37" s="62">
        <f t="shared" si="11"/>
        <v>-197.28083775702854</v>
      </c>
      <c r="J37" s="62">
        <f t="shared" si="11"/>
        <v>-181.51909842421389</v>
      </c>
      <c r="K37" s="62">
        <f t="shared" si="11"/>
        <v>-417.157647756122</v>
      </c>
      <c r="L37" s="62">
        <f t="shared" si="11"/>
        <v>-406.7776462775426</v>
      </c>
      <c r="M37" s="64"/>
      <c r="N37" s="55">
        <f t="shared" si="2"/>
        <v>-235.0129325521745</v>
      </c>
      <c r="O37" s="55">
        <f t="shared" si="3"/>
        <v>-185.67709041883182</v>
      </c>
    </row>
    <row r="38" spans="2:15" x14ac:dyDescent="0.3">
      <c r="B38" s="48"/>
      <c r="C38" s="48"/>
      <c r="N38" s="52"/>
      <c r="O38" s="52"/>
    </row>
    <row r="39" spans="2:15" x14ac:dyDescent="0.3">
      <c r="B39" s="49" t="s">
        <v>152</v>
      </c>
      <c r="C39" s="51">
        <f>IFERROR('Historical '!C79/'Historical '!C6,0)</f>
        <v>-1.1466359997101108</v>
      </c>
      <c r="D39" s="51">
        <f>IFERROR('Historical '!D79/'Historical '!D6,0)</f>
        <v>0.15867447746442964</v>
      </c>
      <c r="E39" s="51">
        <f>IFERROR('Historical '!E79/'Historical '!E6,0)</f>
        <v>7.5988381799731691E-2</v>
      </c>
      <c r="F39" s="51">
        <f>IFERROR('Historical '!F79/'Historical '!F6,0)</f>
        <v>-1.270999991217312</v>
      </c>
      <c r="G39" s="51">
        <f>IFERROR('Historical '!G79/'Historical '!G6,0)</f>
        <v>-0.52781613109449987</v>
      </c>
      <c r="H39" s="51">
        <f>IFERROR('Historical '!H79/'Historical '!H6,0)</f>
        <v>0.20756289496994201</v>
      </c>
      <c r="I39" s="51">
        <f>IFERROR('Historical '!I79/'Historical '!I6,0)</f>
        <v>-0.47622653930877057</v>
      </c>
      <c r="J39" s="51">
        <f>IFERROR('Historical '!J79/'Historical '!J6,0)</f>
        <v>-0.10615827437958705</v>
      </c>
      <c r="K39" s="51">
        <f>IFERROR('Historical '!K79/'Historical '!K6,0)</f>
        <v>-7.5091648846381046E-2</v>
      </c>
      <c r="L39" s="51">
        <f>IFERROR('Historical '!L79/'Historical '!L6,0)</f>
        <v>0.3324351333793274</v>
      </c>
      <c r="M39" s="63"/>
      <c r="N39" s="51">
        <f t="shared" si="2"/>
        <v>-0.28282676969432308</v>
      </c>
      <c r="O39" s="51">
        <f t="shared" si="3"/>
        <v>-9.0624961612984056E-2</v>
      </c>
    </row>
    <row r="40" spans="2:15" x14ac:dyDescent="0.3">
      <c r="B40" s="47" t="s">
        <v>153</v>
      </c>
      <c r="C40" s="52">
        <f>IFERROR('Historical '!C79/'Historical '!C65,0)</f>
        <v>-0.11188352201019892</v>
      </c>
      <c r="D40" s="52">
        <f>IFERROR('Historical '!D79/'Historical '!D65,0)</f>
        <v>1.5323684081711255E-2</v>
      </c>
      <c r="E40" s="52">
        <f>IFERROR('Historical '!E79/'Historical '!E65,0)</f>
        <v>6.9806893971486247E-3</v>
      </c>
      <c r="F40" s="52">
        <f>IFERROR('Historical '!F79/'Historical '!F65,0)</f>
        <v>-0.12201446727830434</v>
      </c>
      <c r="G40" s="52">
        <f>IFERROR('Historical '!G79/'Historical '!G65,0)</f>
        <v>-4.910393836485042E-2</v>
      </c>
      <c r="H40" s="52">
        <f>IFERROR('Historical '!H79/'Historical '!H65,0)</f>
        <v>1.7980483906302698E-2</v>
      </c>
      <c r="I40" s="52">
        <f>IFERROR('Historical '!I79/'Historical '!I65,0)</f>
        <v>-3.7618215504832152E-2</v>
      </c>
      <c r="J40" s="52">
        <f>IFERROR('Historical '!J79/'Historical '!J65,0)</f>
        <v>-8.5862794266105755E-3</v>
      </c>
      <c r="K40" s="52">
        <f>IFERROR('Historical '!K79/'Historical '!K65,0)</f>
        <v>-7.6018668142314311E-3</v>
      </c>
      <c r="L40" s="52">
        <f>IFERROR('Historical '!L79/'Historical '!L65,0)</f>
        <v>3.5643234358736425E-2</v>
      </c>
      <c r="N40" s="52">
        <f t="shared" si="2"/>
        <v>-2.6088019765512883E-2</v>
      </c>
      <c r="O40" s="52">
        <f t="shared" si="3"/>
        <v>-8.0940731204210033E-3</v>
      </c>
    </row>
    <row r="41" spans="2:15" x14ac:dyDescent="0.3">
      <c r="B41" s="53" t="s">
        <v>154</v>
      </c>
      <c r="C41" s="55">
        <f>IFERROR('Historical '!C79/'Historical '!C50,0)</f>
        <v>-0.13128182549765255</v>
      </c>
      <c r="D41" s="55">
        <f>IFERROR('Historical '!D79/'Historical '!D50,0)</f>
        <v>1.843975730344994E-2</v>
      </c>
      <c r="E41" s="55">
        <f>IFERROR('Historical '!E79/'Historical '!E50,0)</f>
        <v>8.1507828572387787E-3</v>
      </c>
      <c r="F41" s="55">
        <f>IFERROR('Historical '!F79/'Historical '!F50,0)</f>
        <v>-0.14602464540462318</v>
      </c>
      <c r="G41" s="55">
        <f>IFERROR('Historical '!G79/'Historical '!G50,0)</f>
        <v>-5.8231497602718958E-2</v>
      </c>
      <c r="H41" s="55">
        <f>IFERROR('Historical '!H79/'Historical '!H50,0)</f>
        <v>2.140771655156435E-2</v>
      </c>
      <c r="I41" s="55">
        <f>IFERROR('Historical '!I79/'Historical '!I50,0)</f>
        <v>-4.4740819749455332E-2</v>
      </c>
      <c r="J41" s="55">
        <f>IFERROR('Historical '!J79/'Historical '!J50,0)</f>
        <v>-1.0156544051776524E-2</v>
      </c>
      <c r="K41" s="55">
        <f>IFERROR('Historical '!K79/'Historical '!K50,0)</f>
        <v>-9.859041990740126E-3</v>
      </c>
      <c r="L41" s="55">
        <f>IFERROR('Historical '!L79/'Historical '!L50,0)</f>
        <v>4.6793849105775942E-2</v>
      </c>
      <c r="M41" s="64"/>
      <c r="N41" s="55">
        <f t="shared" si="2"/>
        <v>-3.0550226847893762E-2</v>
      </c>
      <c r="O41" s="55">
        <f t="shared" si="3"/>
        <v>-1.0007793021258326E-2</v>
      </c>
    </row>
  </sheetData>
  <mergeCells count="1">
    <mergeCell ref="B2:L2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84478860-250F-4E9A-80FF-540891CA7691}">
          <x14:colorSeries theme="8" tint="0.39997558519241921"/>
          <x14:colorNegative theme="0" tint="-0.499984740745262"/>
          <x14:colorAxis rgb="FF000000"/>
          <x14:colorMarkers theme="8" tint="0.79998168889431442"/>
          <x14:colorFirst theme="8" tint="-0.249977111117893"/>
          <x14:colorLast theme="8" tint="-0.249977111117893"/>
          <x14:colorHigh theme="8" tint="-0.499984740745262"/>
          <x14:colorLow theme="8" tint="-0.499984740745262"/>
          <x14:sparklines>
            <x14:sparkline>
              <xm:f>'Ratio Analysis '!D5:L5</xm:f>
              <xm:sqref>M5</xm:sqref>
            </x14:sparkline>
            <x14:sparkline>
              <xm:f>'Ratio Analysis '!D6:L6</xm:f>
              <xm:sqref>M6</xm:sqref>
            </x14:sparkline>
            <x14:sparkline>
              <xm:f>'Ratio Analysis '!D7:L7</xm:f>
              <xm:sqref>M7</xm:sqref>
            </x14:sparkline>
            <x14:sparkline>
              <xm:f>'Ratio Analysis '!D8:L8</xm:f>
              <xm:sqref>M8</xm:sqref>
            </x14:sparkline>
            <x14:sparkline>
              <xm:f>'Ratio Analysis '!D9:L9</xm:f>
              <xm:sqref>M9</xm:sqref>
            </x14:sparkline>
            <x14:sparkline>
              <xm:f>'Ratio Analysis '!D10:L10</xm:f>
              <xm:sqref>M10</xm:sqref>
            </x14:sparkline>
          </x14:sparklines>
        </x14:sparklineGroup>
        <x14:sparklineGroup displayEmptyCellsAs="gap" markers="1" xr2:uid="{C766CBB0-02C9-4C5E-B0E9-2893BA5EE901}">
          <x14:colorSeries theme="8" tint="0.39997558519241921"/>
          <x14:colorNegative theme="0" tint="-0.499984740745262"/>
          <x14:colorAxis rgb="FF000000"/>
          <x14:colorMarkers theme="8" tint="0.79998168889431442"/>
          <x14:colorFirst theme="8" tint="-0.249977111117893"/>
          <x14:colorLast theme="8" tint="-0.249977111117893"/>
          <x14:colorHigh theme="8" tint="-0.499984740745262"/>
          <x14:colorLow theme="8" tint="-0.499984740745262"/>
          <x14:sparklines>
            <x14:sparkline>
              <xm:f>'Ratio Analysis '!C12:L12</xm:f>
              <xm:sqref>M12</xm:sqref>
            </x14:sparkline>
            <x14:sparkline>
              <xm:f>'Ratio Analysis '!C13:L13</xm:f>
              <xm:sqref>M13</xm:sqref>
            </x14:sparkline>
            <x14:sparkline>
              <xm:f>'Ratio Analysis '!C14:L14</xm:f>
              <xm:sqref>M14</xm:sqref>
            </x14:sparkline>
            <x14:sparkline>
              <xm:f>'Ratio Analysis '!C15:L15</xm:f>
              <xm:sqref>M15</xm:sqref>
            </x14:sparkline>
            <x14:sparkline>
              <xm:f>'Ratio Analysis '!C16:L16</xm:f>
              <xm:sqref>M16</xm:sqref>
            </x14:sparkline>
            <x14:sparkline>
              <xm:f>'Ratio Analysis '!C17:L17</xm:f>
              <xm:sqref>M17</xm:sqref>
            </x14:sparkline>
            <x14:sparkline>
              <xm:f>'Ratio Analysis '!C18:L18</xm:f>
              <xm:sqref>M18</xm:sqref>
            </x14:sparkline>
            <x14:sparkline>
              <xm:f>'Ratio Analysis '!C19:L19</xm:f>
              <xm:sqref>M19</xm:sqref>
            </x14:sparkline>
            <x14:sparkline>
              <xm:f>'Ratio Analysis '!C20:L20</xm:f>
              <xm:sqref>M20</xm:sqref>
            </x14:sparkline>
            <x14:sparkline>
              <xm:f>'Ratio Analysis '!C21:L21</xm:f>
              <xm:sqref>M21</xm:sqref>
            </x14:sparkline>
            <x14:sparkline>
              <xm:f>'Ratio Analysis '!C22:L22</xm:f>
              <xm:sqref>M22</xm:sqref>
            </x14:sparkline>
            <x14:sparkline>
              <xm:f>'Ratio Analysis '!C23:L23</xm:f>
              <xm:sqref>M23</xm:sqref>
            </x14:sparkline>
            <x14:sparkline>
              <xm:f>'Ratio Analysis '!C24:L24</xm:f>
              <xm:sqref>M24</xm:sqref>
            </x14:sparkline>
            <x14:sparkline>
              <xm:f>'Ratio Analysis '!C25:L25</xm:f>
              <xm:sqref>M25</xm:sqref>
            </x14:sparkline>
            <x14:sparkline>
              <xm:f>'Ratio Analysis '!C26:L26</xm:f>
              <xm:sqref>M26</xm:sqref>
            </x14:sparkline>
            <x14:sparkline>
              <xm:f>'Ratio Analysis '!C27:L27</xm:f>
              <xm:sqref>M27</xm:sqref>
            </x14:sparkline>
            <x14:sparkline>
              <xm:f>'Ratio Analysis '!C28:L28</xm:f>
              <xm:sqref>M28</xm:sqref>
            </x14:sparkline>
            <x14:sparkline>
              <xm:f>'Ratio Analysis '!C29:L29</xm:f>
              <xm:sqref>M29</xm:sqref>
            </x14:sparkline>
            <x14:sparkline>
              <xm:f>'Ratio Analysis '!C30:L30</xm:f>
              <xm:sqref>M30</xm:sqref>
            </x14:sparkline>
            <x14:sparkline>
              <xm:f>'Ratio Analysis '!C31:L31</xm:f>
              <xm:sqref>M31</xm:sqref>
            </x14:sparkline>
            <x14:sparkline>
              <xm:f>'Ratio Analysis '!C32:L32</xm:f>
              <xm:sqref>M32</xm:sqref>
            </x14:sparkline>
            <x14:sparkline>
              <xm:f>'Ratio Analysis '!C33:L33</xm:f>
              <xm:sqref>M33</xm:sqref>
            </x14:sparkline>
            <x14:sparkline>
              <xm:f>'Ratio Analysis '!C34:L34</xm:f>
              <xm:sqref>M34</xm:sqref>
            </x14:sparkline>
            <x14:sparkline>
              <xm:f>'Ratio Analysis '!C35:L35</xm:f>
              <xm:sqref>M35</xm:sqref>
            </x14:sparkline>
            <x14:sparkline>
              <xm:f>'Ratio Analysis '!C36:L36</xm:f>
              <xm:sqref>M36</xm:sqref>
            </x14:sparkline>
            <x14:sparkline>
              <xm:f>'Ratio Analysis '!C37:L37</xm:f>
              <xm:sqref>M37</xm:sqref>
            </x14:sparkline>
            <x14:sparkline>
              <xm:f>'Ratio Analysis '!C38:L38</xm:f>
              <xm:sqref>M38</xm:sqref>
            </x14:sparkline>
            <x14:sparkline>
              <xm:f>'Ratio Analysis '!C39:L39</xm:f>
              <xm:sqref>M39</xm:sqref>
            </x14:sparkline>
            <x14:sparkline>
              <xm:f>'Ratio Analysis '!C40:L40</xm:f>
              <xm:sqref>M40</xm:sqref>
            </x14:sparkline>
            <x14:sparkline>
              <xm:f>'Ratio Analysis '!C41:L41</xm:f>
              <xm:sqref>M41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A1CE-7EFE-44FB-9A74-ACA91A800101}">
  <dimension ref="B2:P20"/>
  <sheetViews>
    <sheetView showGridLines="0" workbookViewId="0">
      <selection activeCell="Q18" sqref="Q18"/>
    </sheetView>
  </sheetViews>
  <sheetFormatPr defaultRowHeight="14.4" x14ac:dyDescent="0.3"/>
  <cols>
    <col min="1" max="1" width="1.88671875" customWidth="1"/>
    <col min="2" max="2" width="11" bestFit="1" customWidth="1"/>
    <col min="4" max="4" width="10.88671875" bestFit="1" customWidth="1"/>
    <col min="5" max="5" width="11.6640625" bestFit="1" customWidth="1"/>
    <col min="6" max="6" width="1" customWidth="1"/>
    <col min="7" max="7" width="1.109375" customWidth="1"/>
    <col min="10" max="10" width="11.21875" bestFit="1" customWidth="1"/>
    <col min="11" max="11" width="13.6640625" bestFit="1" customWidth="1"/>
    <col min="12" max="12" width="1.88671875" customWidth="1"/>
    <col min="16" max="16" width="10.44140625" bestFit="1" customWidth="1"/>
  </cols>
  <sheetData>
    <row r="2" spans="2:16" x14ac:dyDescent="0.3">
      <c r="B2" s="78" t="s">
        <v>163</v>
      </c>
      <c r="C2" s="79"/>
      <c r="D2" s="79"/>
      <c r="E2" s="80"/>
      <c r="H2" s="78" t="s">
        <v>164</v>
      </c>
      <c r="I2" s="79"/>
      <c r="J2" s="79"/>
      <c r="K2" s="80"/>
      <c r="M2" s="78" t="s">
        <v>166</v>
      </c>
      <c r="N2" s="79"/>
      <c r="O2" s="79"/>
      <c r="P2" s="80"/>
    </row>
    <row r="3" spans="2:16" x14ac:dyDescent="0.3">
      <c r="B3" s="68" t="s">
        <v>160</v>
      </c>
      <c r="C3" s="68" t="s">
        <v>161</v>
      </c>
      <c r="D3" s="68" t="s">
        <v>1</v>
      </c>
      <c r="E3" s="68" t="s">
        <v>162</v>
      </c>
      <c r="H3" s="68" t="s">
        <v>160</v>
      </c>
      <c r="I3" s="68" t="s">
        <v>161</v>
      </c>
      <c r="J3" s="68" t="s">
        <v>67</v>
      </c>
      <c r="K3" s="68" t="s">
        <v>126</v>
      </c>
      <c r="M3" s="68" t="s">
        <v>160</v>
      </c>
      <c r="N3" s="68" t="s">
        <v>161</v>
      </c>
      <c r="O3" s="68" t="s">
        <v>80</v>
      </c>
      <c r="P3" s="68" t="s">
        <v>165</v>
      </c>
    </row>
    <row r="4" spans="2:16" x14ac:dyDescent="0.3">
      <c r="B4" s="65">
        <v>1</v>
      </c>
      <c r="C4" s="66">
        <v>2016</v>
      </c>
      <c r="D4" s="69">
        <f t="array" ref="D4:D13">TRANSPOSE('Data Sheet'!B17:K17)</f>
        <v>63161.56</v>
      </c>
      <c r="H4" s="65">
        <v>1</v>
      </c>
      <c r="I4" s="66">
        <v>2016</v>
      </c>
      <c r="J4" s="69">
        <f t="array" ref="J4:J13">TRANSPOSE('Historical '!C18:M18)</f>
        <v>54318.589999999982</v>
      </c>
      <c r="M4" s="65">
        <v>1</v>
      </c>
      <c r="N4" s="66">
        <v>2016</v>
      </c>
      <c r="O4" s="69">
        <f t="array" ref="O4:O13">TRANSPOSE('Historical '!C38:L38)</f>
        <v>25.348726366584891</v>
      </c>
    </row>
    <row r="5" spans="2:16" x14ac:dyDescent="0.3">
      <c r="B5" s="65">
        <f>B4+1</f>
        <v>2</v>
      </c>
      <c r="C5" s="66">
        <f>C4+1</f>
        <v>2017</v>
      </c>
      <c r="D5" s="69">
        <v>73271.350000000006</v>
      </c>
      <c r="E5" s="20">
        <f>D5/D4-1</f>
        <v>0.16006238604619649</v>
      </c>
      <c r="H5" s="65">
        <f>H4+1</f>
        <v>2</v>
      </c>
      <c r="I5" s="66">
        <f>I4+1</f>
        <v>2017</v>
      </c>
      <c r="J5" s="69">
        <v>62320.740000000005</v>
      </c>
      <c r="K5" s="20">
        <f>J5/J4-1</f>
        <v>0.14731880926953411</v>
      </c>
      <c r="M5" s="65">
        <f>M4+1</f>
        <v>2</v>
      </c>
      <c r="N5" s="66">
        <f>N4+1</f>
        <v>2017</v>
      </c>
      <c r="O5" s="69">
        <v>29.882051081930115</v>
      </c>
      <c r="P5" s="20">
        <f>O5/O4-1</f>
        <v>0.17883836251911767</v>
      </c>
    </row>
    <row r="6" spans="2:16" x14ac:dyDescent="0.3">
      <c r="B6" s="65">
        <f t="shared" ref="B6:C18" si="0">B5+1</f>
        <v>3</v>
      </c>
      <c r="C6" s="66">
        <f t="shared" si="0"/>
        <v>2018</v>
      </c>
      <c r="D6" s="69">
        <v>85287.84</v>
      </c>
      <c r="E6" s="20">
        <f t="shared" ref="E6:E18" si="1">D6/D5-1</f>
        <v>0.16399984441394877</v>
      </c>
      <c r="H6" s="65">
        <f t="shared" ref="H6:H18" si="2">H5+1</f>
        <v>3</v>
      </c>
      <c r="I6" s="66">
        <f t="shared" ref="I6:I18" si="3">I5+1</f>
        <v>2018</v>
      </c>
      <c r="J6" s="69">
        <v>71812.180000000008</v>
      </c>
      <c r="K6" s="20">
        <f t="shared" ref="K6:K18" si="4">J6/J5-1</f>
        <v>0.15229986036751164</v>
      </c>
      <c r="M6" s="65">
        <f t="shared" ref="M6:N18" si="5">M5+1</f>
        <v>3</v>
      </c>
      <c r="N6" s="66">
        <f t="shared" si="5"/>
        <v>2018</v>
      </c>
      <c r="O6" s="69">
        <v>35.761319409656672</v>
      </c>
      <c r="P6" s="20">
        <f t="shared" ref="P6:P18" si="6">O6/O5-1</f>
        <v>0.19674915592664233</v>
      </c>
    </row>
    <row r="7" spans="2:16" x14ac:dyDescent="0.3">
      <c r="B7" s="65">
        <f t="shared" si="0"/>
        <v>4</v>
      </c>
      <c r="C7" s="66">
        <f t="shared" si="0"/>
        <v>2019</v>
      </c>
      <c r="D7" s="69">
        <v>105160.74</v>
      </c>
      <c r="E7" s="20">
        <f t="shared" si="1"/>
        <v>0.23300977020874258</v>
      </c>
      <c r="H7" s="65">
        <f t="shared" si="2"/>
        <v>4</v>
      </c>
      <c r="I7" s="66">
        <f t="shared" si="3"/>
        <v>2019</v>
      </c>
      <c r="J7" s="69">
        <v>89251.520000000019</v>
      </c>
      <c r="K7" s="20">
        <f t="shared" si="4"/>
        <v>0.24284654775833303</v>
      </c>
      <c r="M7" s="65">
        <f t="shared" si="5"/>
        <v>4</v>
      </c>
      <c r="N7" s="66">
        <f t="shared" si="5"/>
        <v>2019</v>
      </c>
      <c r="O7" s="69">
        <v>41.210314691734332</v>
      </c>
      <c r="P7" s="20">
        <f t="shared" si="6"/>
        <v>0.15237120363647039</v>
      </c>
    </row>
    <row r="8" spans="2:16" x14ac:dyDescent="0.3">
      <c r="B8" s="65">
        <f t="shared" si="0"/>
        <v>5</v>
      </c>
      <c r="C8" s="66">
        <f t="shared" si="0"/>
        <v>2020</v>
      </c>
      <c r="D8" s="69">
        <v>122189.29</v>
      </c>
      <c r="E8" s="20">
        <f t="shared" si="1"/>
        <v>0.16192877684200391</v>
      </c>
      <c r="H8" s="65">
        <f t="shared" si="2"/>
        <v>5</v>
      </c>
      <c r="I8" s="66">
        <f t="shared" si="3"/>
        <v>2020</v>
      </c>
      <c r="J8" s="69">
        <v>101609.05</v>
      </c>
      <c r="K8" s="20">
        <f t="shared" si="4"/>
        <v>0.13845736184661028</v>
      </c>
      <c r="M8" s="65">
        <f t="shared" si="5"/>
        <v>5</v>
      </c>
      <c r="N8" s="66">
        <f t="shared" si="5"/>
        <v>2020</v>
      </c>
      <c r="O8" s="69">
        <v>49.78073422938742</v>
      </c>
      <c r="P8" s="20">
        <f t="shared" si="6"/>
        <v>0.20796782557382598</v>
      </c>
    </row>
    <row r="9" spans="2:16" x14ac:dyDescent="0.3">
      <c r="B9" s="65">
        <f t="shared" si="0"/>
        <v>6</v>
      </c>
      <c r="C9" s="66">
        <f t="shared" si="0"/>
        <v>2021</v>
      </c>
      <c r="D9" s="69">
        <v>128552.4</v>
      </c>
      <c r="E9" s="20">
        <f t="shared" si="1"/>
        <v>5.2075840689474573E-2</v>
      </c>
      <c r="H9" s="65">
        <f t="shared" si="2"/>
        <v>6</v>
      </c>
      <c r="I9" s="66">
        <f t="shared" si="3"/>
        <v>2021</v>
      </c>
      <c r="J9" s="69">
        <v>103428.75</v>
      </c>
      <c r="K9" s="20">
        <f t="shared" si="4"/>
        <v>1.7908837844660352E-2</v>
      </c>
      <c r="M9" s="65">
        <f t="shared" si="5"/>
        <v>6</v>
      </c>
      <c r="N9" s="66">
        <f t="shared" si="5"/>
        <v>2021</v>
      </c>
      <c r="O9" s="69">
        <v>57.78691409084314</v>
      </c>
      <c r="P9" s="20">
        <f t="shared" si="6"/>
        <v>0.16082888260674499</v>
      </c>
    </row>
    <row r="10" spans="2:16" x14ac:dyDescent="0.3">
      <c r="B10" s="65">
        <f t="shared" si="0"/>
        <v>7</v>
      </c>
      <c r="C10" s="66">
        <f t="shared" si="0"/>
        <v>2022</v>
      </c>
      <c r="D10" s="69">
        <v>135936.41</v>
      </c>
      <c r="E10" s="20">
        <f t="shared" si="1"/>
        <v>5.7439689963003415E-2</v>
      </c>
      <c r="H10" s="65">
        <f t="shared" si="2"/>
        <v>7</v>
      </c>
      <c r="I10" s="66">
        <f t="shared" si="3"/>
        <v>2022</v>
      </c>
      <c r="J10" s="69">
        <v>111138.44</v>
      </c>
      <c r="K10" s="20">
        <f t="shared" si="4"/>
        <v>7.454107296085466E-2</v>
      </c>
      <c r="M10" s="65">
        <f t="shared" si="5"/>
        <v>7</v>
      </c>
      <c r="N10" s="66">
        <f t="shared" si="5"/>
        <v>2022</v>
      </c>
      <c r="O10" s="69">
        <v>68.796141015237581</v>
      </c>
      <c r="P10" s="20">
        <f t="shared" si="6"/>
        <v>0.19051418643133511</v>
      </c>
    </row>
    <row r="11" spans="2:16" x14ac:dyDescent="0.3">
      <c r="B11" s="65">
        <f t="shared" si="0"/>
        <v>8</v>
      </c>
      <c r="C11" s="66">
        <f t="shared" si="0"/>
        <v>2023</v>
      </c>
      <c r="D11" s="69">
        <v>170754.05</v>
      </c>
      <c r="E11" s="20">
        <f t="shared" si="1"/>
        <v>0.25613181928226569</v>
      </c>
      <c r="H11" s="65">
        <f t="shared" si="2"/>
        <v>8</v>
      </c>
      <c r="I11" s="66">
        <f t="shared" si="3"/>
        <v>2023</v>
      </c>
      <c r="J11" s="69">
        <v>141623.79999999999</v>
      </c>
      <c r="K11" s="20">
        <f t="shared" si="4"/>
        <v>0.27430077298187716</v>
      </c>
      <c r="M11" s="65">
        <f t="shared" si="5"/>
        <v>8</v>
      </c>
      <c r="N11" s="66">
        <f t="shared" si="5"/>
        <v>2023</v>
      </c>
      <c r="O11" s="69">
        <v>82.708210118823558</v>
      </c>
      <c r="P11" s="20">
        <f t="shared" si="6"/>
        <v>0.20222164932920594</v>
      </c>
    </row>
    <row r="12" spans="2:16" x14ac:dyDescent="0.3">
      <c r="B12" s="65">
        <f t="shared" si="0"/>
        <v>9</v>
      </c>
      <c r="C12" s="66">
        <f t="shared" si="0"/>
        <v>2024</v>
      </c>
      <c r="D12" s="69">
        <v>283649.02</v>
      </c>
      <c r="E12" s="20">
        <f t="shared" si="1"/>
        <v>0.66115544550773486</v>
      </c>
      <c r="H12" s="65">
        <f t="shared" si="2"/>
        <v>9</v>
      </c>
      <c r="I12" s="66">
        <f t="shared" si="3"/>
        <v>2024</v>
      </c>
      <c r="J12" s="69">
        <v>233799.23</v>
      </c>
      <c r="K12" s="20">
        <f t="shared" si="4"/>
        <v>0.65084703277274047</v>
      </c>
      <c r="M12" s="65">
        <f t="shared" si="5"/>
        <v>9</v>
      </c>
      <c r="N12" s="66">
        <f t="shared" si="5"/>
        <v>2024</v>
      </c>
      <c r="O12" s="69">
        <v>86.148955495004586</v>
      </c>
      <c r="P12" s="20">
        <f t="shared" si="6"/>
        <v>4.160101362655344E-2</v>
      </c>
    </row>
    <row r="13" spans="2:16" x14ac:dyDescent="0.3">
      <c r="B13" s="65">
        <f t="shared" si="0"/>
        <v>10</v>
      </c>
      <c r="C13" s="66">
        <f t="shared" si="0"/>
        <v>2025</v>
      </c>
      <c r="D13" s="69">
        <v>336367.43</v>
      </c>
      <c r="E13" s="20">
        <f t="shared" si="1"/>
        <v>0.18585789578966283</v>
      </c>
      <c r="H13" s="65">
        <f t="shared" si="2"/>
        <v>10</v>
      </c>
      <c r="I13" s="66">
        <f t="shared" si="3"/>
        <v>2025</v>
      </c>
      <c r="J13" s="69">
        <v>283941.48</v>
      </c>
      <c r="K13" s="20">
        <f t="shared" si="4"/>
        <v>0.21446713062314182</v>
      </c>
      <c r="M13" s="65">
        <f t="shared" si="5"/>
        <v>10</v>
      </c>
      <c r="N13" s="66">
        <f t="shared" si="5"/>
        <v>2025</v>
      </c>
      <c r="O13" s="69">
        <v>95.972622252424074</v>
      </c>
      <c r="P13" s="20">
        <f t="shared" si="6"/>
        <v>0.1140311765937676</v>
      </c>
    </row>
    <row r="14" spans="2:16" x14ac:dyDescent="0.3">
      <c r="B14" s="65">
        <f t="shared" si="0"/>
        <v>11</v>
      </c>
      <c r="C14" s="67">
        <f t="shared" si="0"/>
        <v>2026</v>
      </c>
      <c r="D14" s="69">
        <f>FORECAST(B14,$D$4:$D$13,$B$4:$B$13)</f>
        <v>299016.93200000003</v>
      </c>
      <c r="E14" s="20">
        <f t="shared" si="1"/>
        <v>-0.11104076872127588</v>
      </c>
      <c r="H14" s="65">
        <f t="shared" si="2"/>
        <v>11</v>
      </c>
      <c r="I14" s="67">
        <f t="shared" si="3"/>
        <v>2026</v>
      </c>
      <c r="J14" s="69">
        <f>FORECAST(H14,$J$4:$J$13,$H$4:$H$13)</f>
        <v>248107.51133333333</v>
      </c>
      <c r="K14" s="20">
        <f t="shared" si="4"/>
        <v>-0.12620195072120721</v>
      </c>
      <c r="M14" s="65">
        <f t="shared" si="5"/>
        <v>11</v>
      </c>
      <c r="N14" s="67">
        <f t="shared" si="5"/>
        <v>2026</v>
      </c>
      <c r="O14" s="69">
        <f>FORECAST(M14,$O$4:$O$13,$M$4:$M$13)</f>
        <v>102.50564908322511</v>
      </c>
      <c r="P14" s="20">
        <f t="shared" si="6"/>
        <v>6.8071775861433537E-2</v>
      </c>
    </row>
    <row r="15" spans="2:16" x14ac:dyDescent="0.3">
      <c r="B15" s="65">
        <f t="shared" si="0"/>
        <v>12</v>
      </c>
      <c r="C15" s="67">
        <f t="shared" si="0"/>
        <v>2027</v>
      </c>
      <c r="D15" s="69">
        <f t="shared" ref="D15:D18" si="7">FORECAST(B15,$D$4:$D$13,$B$4:$B$13)</f>
        <v>326032.19072727277</v>
      </c>
      <c r="E15" s="20">
        <f t="shared" si="1"/>
        <v>9.034691964290742E-2</v>
      </c>
      <c r="H15" s="65">
        <f t="shared" si="2"/>
        <v>12</v>
      </c>
      <c r="I15" s="67">
        <f t="shared" si="3"/>
        <v>2027</v>
      </c>
      <c r="J15" s="69">
        <f>FORECAST(H15,$J$4:$J$13,$H$4:$H$13)</f>
        <v>270431.71739393944</v>
      </c>
      <c r="K15" s="20">
        <f t="shared" si="4"/>
        <v>8.9977953269675393E-2</v>
      </c>
      <c r="M15" s="65">
        <f t="shared" si="5"/>
        <v>12</v>
      </c>
      <c r="N15" s="67">
        <f t="shared" si="5"/>
        <v>2027</v>
      </c>
      <c r="O15" s="69">
        <f t="shared" ref="O15:O18" si="8">FORECAST(M15,$O$4:$O$13,$M$4:$M$13)</f>
        <v>110.71765821196374</v>
      </c>
      <c r="P15" s="20">
        <f t="shared" si="6"/>
        <v>8.0112746977205385E-2</v>
      </c>
    </row>
    <row r="16" spans="2:16" x14ac:dyDescent="0.3">
      <c r="B16" s="65">
        <f t="shared" si="0"/>
        <v>13</v>
      </c>
      <c r="C16" s="67">
        <f t="shared" si="0"/>
        <v>2028</v>
      </c>
      <c r="D16" s="69">
        <f t="shared" si="7"/>
        <v>353047.44945454551</v>
      </c>
      <c r="E16" s="20">
        <f t="shared" si="1"/>
        <v>8.2860709756942708E-2</v>
      </c>
      <c r="H16" s="65">
        <f t="shared" si="2"/>
        <v>13</v>
      </c>
      <c r="I16" s="67">
        <f t="shared" si="3"/>
        <v>2028</v>
      </c>
      <c r="J16" s="69">
        <f>FORECAST(H16,$J$4:$J$13,$H$4:$H$13)</f>
        <v>292755.9234545455</v>
      </c>
      <c r="K16" s="20">
        <f t="shared" si="4"/>
        <v>8.2550250672284387E-2</v>
      </c>
      <c r="M16" s="65">
        <f t="shared" si="5"/>
        <v>13</v>
      </c>
      <c r="N16" s="67">
        <f t="shared" si="5"/>
        <v>2028</v>
      </c>
      <c r="O16" s="69">
        <f t="shared" si="8"/>
        <v>118.92966734070237</v>
      </c>
      <c r="P16" s="20">
        <f t="shared" si="6"/>
        <v>7.4170726344456428E-2</v>
      </c>
    </row>
    <row r="17" spans="2:16" x14ac:dyDescent="0.3">
      <c r="B17" s="65">
        <f t="shared" si="0"/>
        <v>14</v>
      </c>
      <c r="C17" s="67">
        <f t="shared" si="0"/>
        <v>2029</v>
      </c>
      <c r="D17" s="69">
        <f t="shared" si="7"/>
        <v>380062.70818181813</v>
      </c>
      <c r="E17" s="20">
        <f t="shared" si="1"/>
        <v>7.6520192311291035E-2</v>
      </c>
      <c r="H17" s="65">
        <f t="shared" si="2"/>
        <v>14</v>
      </c>
      <c r="I17" s="67">
        <f t="shared" si="3"/>
        <v>2029</v>
      </c>
      <c r="J17" s="69">
        <f>FORECAST(H17,$J$4:$J$13,$H$4:$H$13)</f>
        <v>315080.12951515155</v>
      </c>
      <c r="K17" s="20">
        <f t="shared" si="4"/>
        <v>7.6255352230549134E-2</v>
      </c>
      <c r="M17" s="65">
        <f t="shared" si="5"/>
        <v>14</v>
      </c>
      <c r="N17" s="67">
        <f t="shared" si="5"/>
        <v>2029</v>
      </c>
      <c r="O17" s="69">
        <f t="shared" si="8"/>
        <v>127.14167646944099</v>
      </c>
      <c r="P17" s="20">
        <f t="shared" si="6"/>
        <v>6.9049290327310553E-2</v>
      </c>
    </row>
    <row r="18" spans="2:16" x14ac:dyDescent="0.3">
      <c r="B18" s="65">
        <f t="shared" si="0"/>
        <v>15</v>
      </c>
      <c r="C18" s="67">
        <f t="shared" si="0"/>
        <v>2030</v>
      </c>
      <c r="D18" s="69">
        <f t="shared" si="7"/>
        <v>407077.96690909087</v>
      </c>
      <c r="E18" s="20">
        <f t="shared" si="1"/>
        <v>7.1081056219672423E-2</v>
      </c>
      <c r="H18" s="65">
        <f t="shared" si="2"/>
        <v>15</v>
      </c>
      <c r="I18" s="67">
        <f t="shared" si="3"/>
        <v>2030</v>
      </c>
      <c r="J18" s="69">
        <f>FORECAST(H18,$J$4:$J$13,$H$4:$H$13)</f>
        <v>337404.33557575761</v>
      </c>
      <c r="K18" s="20">
        <f t="shared" si="4"/>
        <v>7.0852472020240587E-2</v>
      </c>
      <c r="M18" s="65">
        <f t="shared" si="5"/>
        <v>15</v>
      </c>
      <c r="N18" s="67">
        <f t="shared" si="5"/>
        <v>2030</v>
      </c>
      <c r="O18" s="69">
        <f t="shared" si="8"/>
        <v>135.35368559817962</v>
      </c>
      <c r="P18" s="20">
        <f t="shared" si="6"/>
        <v>6.4589435634132331E-2</v>
      </c>
    </row>
    <row r="19" spans="2:16" x14ac:dyDescent="0.3">
      <c r="B19" s="65"/>
      <c r="C19" s="67"/>
    </row>
    <row r="20" spans="2:16" x14ac:dyDescent="0.3">
      <c r="B20" s="65"/>
      <c r="C20" s="67"/>
    </row>
  </sheetData>
  <mergeCells count="3">
    <mergeCell ref="B2:E2"/>
    <mergeCell ref="H2:K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0493-F15F-47E3-8AE9-E35F8714B074}">
  <dimension ref="B2:N26"/>
  <sheetViews>
    <sheetView zoomScale="61" workbookViewId="0">
      <selection activeCell="F27" sqref="F27"/>
    </sheetView>
  </sheetViews>
  <sheetFormatPr defaultRowHeight="14.4" x14ac:dyDescent="0.3"/>
  <cols>
    <col min="2" max="2" width="34.109375" bestFit="1" customWidth="1"/>
    <col min="3" max="3" width="7.77734375" hidden="1" customWidth="1"/>
    <col min="4" max="4" width="8.5546875" hidden="1" customWidth="1"/>
    <col min="5" max="13" width="9.44140625" bestFit="1" customWidth="1"/>
    <col min="14" max="14" width="10.44140625" bestFit="1" customWidth="1"/>
  </cols>
  <sheetData>
    <row r="2" spans="2:14" ht="15" thickBot="1" x14ac:dyDescent="0.35">
      <c r="C2" s="24">
        <v>41699</v>
      </c>
      <c r="D2" s="24">
        <v>42064</v>
      </c>
      <c r="E2" s="24">
        <v>42430</v>
      </c>
      <c r="F2" s="24">
        <v>42795</v>
      </c>
      <c r="G2" s="24">
        <v>43160</v>
      </c>
      <c r="H2" s="24">
        <v>43525</v>
      </c>
      <c r="I2" s="24">
        <v>43891</v>
      </c>
      <c r="J2" s="24">
        <v>44256</v>
      </c>
      <c r="K2" s="24">
        <v>44621</v>
      </c>
      <c r="L2" s="24">
        <v>44986</v>
      </c>
      <c r="M2" s="24">
        <v>45352</v>
      </c>
      <c r="N2" s="24">
        <v>45717</v>
      </c>
    </row>
    <row r="3" spans="2:14" ht="15" thickBot="1" x14ac:dyDescent="0.35">
      <c r="B3" s="25" t="s">
        <v>112</v>
      </c>
      <c r="C3" s="26">
        <v>4211</v>
      </c>
      <c r="D3" s="26">
        <v>-21281</v>
      </c>
      <c r="E3" s="26">
        <v>-34435</v>
      </c>
      <c r="F3" s="26">
        <v>17282</v>
      </c>
      <c r="G3" s="26">
        <v>17214</v>
      </c>
      <c r="H3" s="26">
        <v>-62872</v>
      </c>
      <c r="I3" s="26">
        <v>-16869</v>
      </c>
      <c r="J3" s="26">
        <v>42476</v>
      </c>
      <c r="K3" s="26">
        <v>-11960</v>
      </c>
      <c r="L3" s="26">
        <v>20814</v>
      </c>
      <c r="M3" s="26">
        <v>19069</v>
      </c>
      <c r="N3" s="26">
        <v>127242</v>
      </c>
    </row>
    <row r="4" spans="2:14" x14ac:dyDescent="0.3">
      <c r="B4" s="27" t="s">
        <v>92</v>
      </c>
      <c r="C4" s="26">
        <v>15791</v>
      </c>
      <c r="D4" s="26">
        <v>19196</v>
      </c>
      <c r="E4" s="26">
        <v>23481</v>
      </c>
      <c r="F4" s="26">
        <v>28573</v>
      </c>
      <c r="G4" s="26">
        <v>36737</v>
      </c>
      <c r="H4" s="26">
        <v>44497</v>
      </c>
      <c r="I4" s="26">
        <v>54764</v>
      </c>
      <c r="J4" s="26">
        <v>65619</v>
      </c>
      <c r="K4" s="26">
        <v>70781</v>
      </c>
      <c r="L4" s="26">
        <v>79722</v>
      </c>
      <c r="M4" s="26">
        <v>91618</v>
      </c>
      <c r="N4" s="26">
        <v>117642</v>
      </c>
    </row>
    <row r="5" spans="2:14" x14ac:dyDescent="0.3">
      <c r="B5" s="28" t="s">
        <v>93</v>
      </c>
      <c r="C5" s="29">
        <v>-70042</v>
      </c>
      <c r="D5" s="29">
        <v>-70356</v>
      </c>
      <c r="E5" s="29">
        <v>-106601</v>
      </c>
      <c r="F5" s="29">
        <v>-101890</v>
      </c>
      <c r="G5" s="29">
        <v>-120305</v>
      </c>
      <c r="H5" s="29">
        <v>-176608</v>
      </c>
      <c r="I5" s="29">
        <v>-185500</v>
      </c>
      <c r="J5" s="29">
        <v>-155681</v>
      </c>
      <c r="K5" s="29">
        <v>-248946</v>
      </c>
      <c r="L5" s="29">
        <v>-254569</v>
      </c>
      <c r="M5" s="29">
        <v>-312488</v>
      </c>
      <c r="N5" s="29">
        <v>-169918</v>
      </c>
    </row>
    <row r="6" spans="2:14" x14ac:dyDescent="0.3">
      <c r="B6" s="28" t="s">
        <v>94</v>
      </c>
      <c r="C6" s="29">
        <v>-8677</v>
      </c>
      <c r="D6" s="29">
        <v>-45020</v>
      </c>
      <c r="E6" s="29">
        <v>-39116</v>
      </c>
      <c r="F6" s="29">
        <v>-17326</v>
      </c>
      <c r="G6" s="29">
        <v>-28231</v>
      </c>
      <c r="H6" s="29">
        <v>-51458</v>
      </c>
      <c r="I6" s="29">
        <v>-101070</v>
      </c>
      <c r="J6" s="29">
        <v>-50157</v>
      </c>
      <c r="K6" s="29">
        <v>-10849</v>
      </c>
      <c r="L6" s="29">
        <v>-64182</v>
      </c>
      <c r="M6" s="29">
        <v>-88412</v>
      </c>
      <c r="N6" s="29">
        <v>-180363</v>
      </c>
    </row>
    <row r="7" spans="2:14" x14ac:dyDescent="0.3">
      <c r="B7" s="28" t="s">
        <v>95</v>
      </c>
      <c r="C7" s="29">
        <v>70989</v>
      </c>
      <c r="D7" s="29">
        <v>83203</v>
      </c>
      <c r="E7" s="29">
        <v>95590</v>
      </c>
      <c r="F7" s="29">
        <v>97261</v>
      </c>
      <c r="G7" s="29">
        <v>145241</v>
      </c>
      <c r="H7" s="29">
        <v>134128</v>
      </c>
      <c r="I7" s="29">
        <v>223704</v>
      </c>
      <c r="J7" s="29">
        <v>187514</v>
      </c>
      <c r="K7" s="29">
        <v>224282</v>
      </c>
      <c r="L7" s="29">
        <v>324660</v>
      </c>
      <c r="M7" s="29">
        <v>336965</v>
      </c>
      <c r="N7" s="29">
        <v>334011</v>
      </c>
    </row>
    <row r="8" spans="2:14" ht="15" thickBot="1" x14ac:dyDescent="0.35">
      <c r="B8" s="28" t="s">
        <v>96</v>
      </c>
      <c r="C8" s="30">
        <v>358</v>
      </c>
      <c r="D8" s="29">
        <v>-2656</v>
      </c>
      <c r="E8" s="30">
        <v>-716</v>
      </c>
      <c r="F8" s="29">
        <v>18348</v>
      </c>
      <c r="G8" s="29">
        <v>-6218</v>
      </c>
      <c r="H8" s="30">
        <v>-932</v>
      </c>
      <c r="I8" s="29">
        <v>2110</v>
      </c>
      <c r="J8" s="29">
        <v>8203</v>
      </c>
      <c r="K8" s="29">
        <v>-32389</v>
      </c>
      <c r="L8" s="29">
        <v>-48450</v>
      </c>
      <c r="M8" s="29">
        <v>14229</v>
      </c>
      <c r="N8" s="29">
        <v>45578</v>
      </c>
    </row>
    <row r="9" spans="2:14" x14ac:dyDescent="0.3">
      <c r="B9" s="27" t="s">
        <v>97</v>
      </c>
      <c r="C9" s="26">
        <v>-7372</v>
      </c>
      <c r="D9" s="26">
        <v>-34829</v>
      </c>
      <c r="E9" s="26">
        <v>-50844</v>
      </c>
      <c r="F9" s="26">
        <v>-3607</v>
      </c>
      <c r="G9" s="26">
        <v>-9513</v>
      </c>
      <c r="H9" s="26">
        <v>-94870</v>
      </c>
      <c r="I9" s="26">
        <v>-60756</v>
      </c>
      <c r="J9" s="26">
        <v>-10121</v>
      </c>
      <c r="K9" s="26">
        <v>-67902</v>
      </c>
      <c r="L9" s="26">
        <v>-42541</v>
      </c>
      <c r="M9" s="26">
        <v>-49706</v>
      </c>
      <c r="N9" s="26">
        <v>29308</v>
      </c>
    </row>
    <row r="10" spans="2:14" ht="15" thickBot="1" x14ac:dyDescent="0.35">
      <c r="B10" s="28" t="s">
        <v>98</v>
      </c>
      <c r="C10" s="29">
        <v>-4209</v>
      </c>
      <c r="D10" s="29">
        <v>-5647</v>
      </c>
      <c r="E10" s="29">
        <v>-7073</v>
      </c>
      <c r="F10" s="29">
        <v>-7685</v>
      </c>
      <c r="G10" s="29">
        <v>-10010</v>
      </c>
      <c r="H10" s="29">
        <v>-12498</v>
      </c>
      <c r="I10" s="29">
        <v>-10877</v>
      </c>
      <c r="J10" s="29">
        <v>-13021</v>
      </c>
      <c r="K10" s="29">
        <v>-14838</v>
      </c>
      <c r="L10" s="29">
        <v>-16367</v>
      </c>
      <c r="M10" s="29">
        <v>-22843</v>
      </c>
      <c r="N10" s="29">
        <v>-19709</v>
      </c>
    </row>
    <row r="11" spans="2:14" x14ac:dyDescent="0.3">
      <c r="B11" s="31" t="s">
        <v>113</v>
      </c>
      <c r="C11" s="32">
        <v>-1099</v>
      </c>
      <c r="D11" s="33">
        <v>-800</v>
      </c>
      <c r="E11" s="33">
        <v>-837</v>
      </c>
      <c r="F11" s="32">
        <v>-1146</v>
      </c>
      <c r="G11" s="33">
        <v>-842</v>
      </c>
      <c r="H11" s="32">
        <v>-1503</v>
      </c>
      <c r="I11" s="32">
        <v>-1403</v>
      </c>
      <c r="J11" s="32">
        <v>-1823</v>
      </c>
      <c r="K11" s="32">
        <v>-2051</v>
      </c>
      <c r="L11" s="32">
        <v>-2992</v>
      </c>
      <c r="M11" s="32">
        <v>16600</v>
      </c>
      <c r="N11" s="32">
        <v>-3651</v>
      </c>
    </row>
    <row r="12" spans="2:14" x14ac:dyDescent="0.3">
      <c r="B12" s="34" t="s">
        <v>99</v>
      </c>
      <c r="C12" s="35">
        <v>-853</v>
      </c>
      <c r="D12" s="35">
        <v>-772</v>
      </c>
      <c r="E12" s="35">
        <v>-877</v>
      </c>
      <c r="F12" s="36">
        <v>-1158</v>
      </c>
      <c r="G12" s="35">
        <v>-848</v>
      </c>
      <c r="H12" s="36">
        <v>-1621</v>
      </c>
      <c r="I12" s="36">
        <v>-1636</v>
      </c>
      <c r="J12" s="36">
        <v>-1696</v>
      </c>
      <c r="K12" s="36">
        <v>-2236</v>
      </c>
      <c r="L12" s="36">
        <v>-3467</v>
      </c>
      <c r="M12" s="36">
        <v>-4287</v>
      </c>
      <c r="N12" s="36">
        <v>-4076</v>
      </c>
    </row>
    <row r="13" spans="2:14" x14ac:dyDescent="0.3">
      <c r="B13" s="34" t="s">
        <v>100</v>
      </c>
      <c r="C13" s="35">
        <v>13</v>
      </c>
      <c r="D13" s="35">
        <v>33</v>
      </c>
      <c r="E13" s="35">
        <v>12</v>
      </c>
      <c r="F13" s="35">
        <v>10</v>
      </c>
      <c r="G13" s="35">
        <v>10</v>
      </c>
      <c r="H13" s="35">
        <v>22</v>
      </c>
      <c r="I13" s="35">
        <v>19</v>
      </c>
      <c r="J13" s="35">
        <v>15</v>
      </c>
      <c r="K13" s="35">
        <v>20</v>
      </c>
      <c r="L13" s="35">
        <v>43</v>
      </c>
      <c r="M13" s="35">
        <v>100</v>
      </c>
      <c r="N13" s="35">
        <v>101</v>
      </c>
    </row>
    <row r="14" spans="2:14" x14ac:dyDescent="0.3">
      <c r="B14" s="34" t="s">
        <v>101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6">
        <v>9501</v>
      </c>
      <c r="N14" s="35">
        <v>192</v>
      </c>
    </row>
    <row r="15" spans="2:14" x14ac:dyDescent="0.3">
      <c r="B15" s="34" t="s">
        <v>102</v>
      </c>
      <c r="C15" s="35">
        <v>-227</v>
      </c>
      <c r="D15" s="35">
        <v>-72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-67</v>
      </c>
    </row>
    <row r="16" spans="2:14" x14ac:dyDescent="0.3">
      <c r="B16" s="34" t="s">
        <v>103</v>
      </c>
      <c r="C16" s="35">
        <v>0</v>
      </c>
      <c r="D16" s="35">
        <v>0</v>
      </c>
      <c r="E16" s="35">
        <v>0</v>
      </c>
      <c r="F16" s="35">
        <v>0</v>
      </c>
      <c r="G16" s="35">
        <v>-14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</row>
    <row r="17" spans="2:14" ht="15" thickBot="1" x14ac:dyDescent="0.35">
      <c r="B17" s="34" t="s">
        <v>104</v>
      </c>
      <c r="C17" s="35">
        <v>-32</v>
      </c>
      <c r="D17" s="35">
        <v>11</v>
      </c>
      <c r="E17" s="35">
        <v>28</v>
      </c>
      <c r="F17" s="35">
        <v>1</v>
      </c>
      <c r="G17" s="35">
        <v>11</v>
      </c>
      <c r="H17" s="35">
        <v>95</v>
      </c>
      <c r="I17" s="35">
        <v>214</v>
      </c>
      <c r="J17" s="35">
        <v>-142</v>
      </c>
      <c r="K17" s="35">
        <v>165</v>
      </c>
      <c r="L17" s="35">
        <v>432</v>
      </c>
      <c r="M17" s="36">
        <v>11287</v>
      </c>
      <c r="N17" s="35">
        <v>200</v>
      </c>
    </row>
    <row r="18" spans="2:14" x14ac:dyDescent="0.3">
      <c r="B18" s="25" t="s">
        <v>114</v>
      </c>
      <c r="C18" s="26">
        <v>9270</v>
      </c>
      <c r="D18" s="26">
        <v>18694</v>
      </c>
      <c r="E18" s="26">
        <v>37815</v>
      </c>
      <c r="F18" s="26">
        <v>-5893</v>
      </c>
      <c r="G18" s="26">
        <v>57378</v>
      </c>
      <c r="H18" s="26">
        <v>23131</v>
      </c>
      <c r="I18" s="26">
        <v>24394</v>
      </c>
      <c r="J18" s="26">
        <v>-7321</v>
      </c>
      <c r="K18" s="26">
        <v>48124</v>
      </c>
      <c r="L18" s="26">
        <v>23941</v>
      </c>
      <c r="M18" s="26">
        <v>-3983</v>
      </c>
      <c r="N18" s="26">
        <v>-102478</v>
      </c>
    </row>
    <row r="19" spans="2:14" x14ac:dyDescent="0.3">
      <c r="B19" s="28" t="s">
        <v>105</v>
      </c>
      <c r="C19" s="30">
        <v>0</v>
      </c>
      <c r="D19" s="29">
        <v>10718</v>
      </c>
      <c r="E19" s="29">
        <v>1223</v>
      </c>
      <c r="F19" s="29">
        <v>2262</v>
      </c>
      <c r="G19" s="29">
        <v>13006</v>
      </c>
      <c r="H19" s="29">
        <v>26690</v>
      </c>
      <c r="I19" s="29">
        <v>1849</v>
      </c>
      <c r="J19" s="29">
        <v>1760</v>
      </c>
      <c r="K19" s="29">
        <v>2610</v>
      </c>
      <c r="L19" s="29">
        <v>3416</v>
      </c>
      <c r="M19" s="29">
        <v>5250</v>
      </c>
      <c r="N19" s="29">
        <v>6346</v>
      </c>
    </row>
    <row r="20" spans="2:14" x14ac:dyDescent="0.3">
      <c r="B20" s="28" t="s">
        <v>106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744</v>
      </c>
      <c r="J20" s="30">
        <v>356</v>
      </c>
      <c r="K20" s="29">
        <v>8313</v>
      </c>
      <c r="L20" s="29">
        <v>23000</v>
      </c>
      <c r="M20" s="29">
        <v>2350</v>
      </c>
      <c r="N20" s="29">
        <v>1182</v>
      </c>
    </row>
    <row r="21" spans="2:14" x14ac:dyDescent="0.3">
      <c r="B21" s="28" t="s">
        <v>107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29">
        <v>-2875</v>
      </c>
      <c r="I21" s="30">
        <v>0</v>
      </c>
      <c r="J21" s="29">
        <v>-1105</v>
      </c>
      <c r="K21" s="29">
        <v>-3650</v>
      </c>
      <c r="L21" s="29">
        <v>-12077</v>
      </c>
      <c r="M21" s="30">
        <v>-230</v>
      </c>
      <c r="N21" s="30">
        <v>-500</v>
      </c>
    </row>
    <row r="22" spans="2:14" x14ac:dyDescent="0.3">
      <c r="B22" s="28" t="s">
        <v>108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29">
        <v>3266</v>
      </c>
      <c r="I22" s="29">
        <v>28358</v>
      </c>
      <c r="J22" s="30">
        <v>0</v>
      </c>
      <c r="K22" s="29">
        <v>44308</v>
      </c>
      <c r="L22" s="29">
        <v>18007</v>
      </c>
      <c r="M22" s="30">
        <v>0</v>
      </c>
      <c r="N22" s="30">
        <v>0</v>
      </c>
    </row>
    <row r="23" spans="2:14" x14ac:dyDescent="0.3">
      <c r="B23" s="28" t="s">
        <v>109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29">
        <v>-8389</v>
      </c>
      <c r="K23" s="30">
        <v>0</v>
      </c>
      <c r="L23" s="30">
        <v>0</v>
      </c>
      <c r="M23" s="29">
        <v>-7343</v>
      </c>
      <c r="N23" s="29">
        <v>-97063</v>
      </c>
    </row>
    <row r="24" spans="2:14" x14ac:dyDescent="0.3">
      <c r="B24" s="28" t="s">
        <v>110</v>
      </c>
      <c r="C24" s="29">
        <v>-1314</v>
      </c>
      <c r="D24" s="29">
        <v>-1649</v>
      </c>
      <c r="E24" s="29">
        <v>-2009</v>
      </c>
      <c r="F24" s="29">
        <v>-2408</v>
      </c>
      <c r="G24" s="29">
        <v>-2831</v>
      </c>
      <c r="H24" s="29">
        <v>-4096</v>
      </c>
      <c r="I24" s="29">
        <v>-6631</v>
      </c>
      <c r="J24" s="30">
        <v>0</v>
      </c>
      <c r="K24" s="29">
        <v>-3592</v>
      </c>
      <c r="L24" s="29">
        <v>-8605</v>
      </c>
      <c r="M24" s="29">
        <v>-8404</v>
      </c>
      <c r="N24" s="29">
        <v>-14826</v>
      </c>
    </row>
    <row r="25" spans="2:14" ht="15" thickBot="1" x14ac:dyDescent="0.35">
      <c r="B25" s="28" t="s">
        <v>111</v>
      </c>
      <c r="C25" s="29">
        <v>10584</v>
      </c>
      <c r="D25" s="29">
        <v>9625</v>
      </c>
      <c r="E25" s="29">
        <v>38601</v>
      </c>
      <c r="F25" s="29">
        <v>-5746</v>
      </c>
      <c r="G25" s="29">
        <v>47203</v>
      </c>
      <c r="H25" s="30">
        <v>145</v>
      </c>
      <c r="I25" s="30">
        <v>75</v>
      </c>
      <c r="J25" s="30">
        <v>56</v>
      </c>
      <c r="K25" s="30">
        <v>136</v>
      </c>
      <c r="L25" s="30">
        <v>199</v>
      </c>
      <c r="M25" s="29">
        <v>4394</v>
      </c>
      <c r="N25" s="29">
        <v>2383</v>
      </c>
    </row>
    <row r="26" spans="2:14" x14ac:dyDescent="0.3">
      <c r="B26" s="31" t="s">
        <v>20</v>
      </c>
      <c r="C26" s="32">
        <v>12382</v>
      </c>
      <c r="D26" s="32">
        <v>-3387</v>
      </c>
      <c r="E26" s="32">
        <v>2542</v>
      </c>
      <c r="F26" s="32">
        <v>10242</v>
      </c>
      <c r="G26" s="32">
        <v>73750</v>
      </c>
      <c r="H26" s="32">
        <v>-41244</v>
      </c>
      <c r="I26" s="32">
        <v>6122</v>
      </c>
      <c r="J26" s="32">
        <v>33332</v>
      </c>
      <c r="K26" s="32">
        <v>34113</v>
      </c>
      <c r="L26" s="32">
        <v>41762</v>
      </c>
      <c r="M26" s="32">
        <v>31687</v>
      </c>
      <c r="N26" s="32">
        <v>21113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="121" zoomScaleNormal="120" zoomScalePageLayoutView="120" workbookViewId="0">
      <pane xSplit="1" ySplit="1" topLeftCell="B59" activePane="bottomRight" state="frozen"/>
      <selection activeCell="C4" sqref="C4"/>
      <selection pane="topRight" activeCell="C4" sqref="C4"/>
      <selection pane="bottomLeft" activeCell="C4" sqref="C4"/>
      <selection pane="bottomRight" activeCell="G75" sqref="G75"/>
    </sheetView>
  </sheetViews>
  <sheetFormatPr defaultColWidth="8.77734375" defaultRowHeight="14.4" x14ac:dyDescent="0.3"/>
  <cols>
    <col min="1" max="1" width="27.6640625" style="2" bestFit="1" customWidth="1"/>
    <col min="2" max="11" width="13.44140625" style="2" bestFit="1" customWidth="1"/>
    <col min="12" max="16384" width="8.77734375" style="2"/>
  </cols>
  <sheetData>
    <row r="1" spans="1:11" s="1" customFormat="1" x14ac:dyDescent="0.3">
      <c r="A1" s="1" t="s">
        <v>0</v>
      </c>
      <c r="B1" s="1" t="s">
        <v>32</v>
      </c>
      <c r="E1" s="81"/>
      <c r="F1" s="81"/>
      <c r="G1" s="81"/>
      <c r="H1" s="81"/>
      <c r="I1" s="81"/>
      <c r="J1" s="81"/>
      <c r="K1" s="81"/>
    </row>
    <row r="2" spans="1:11" x14ac:dyDescent="0.3">
      <c r="A2" s="1" t="s">
        <v>30</v>
      </c>
      <c r="B2" s="2">
        <v>2.1</v>
      </c>
      <c r="E2" s="82" t="s">
        <v>21</v>
      </c>
      <c r="F2" s="82"/>
      <c r="G2" s="82"/>
      <c r="H2" s="82"/>
      <c r="I2" s="82"/>
      <c r="J2" s="82"/>
      <c r="K2" s="82"/>
    </row>
    <row r="3" spans="1:11" x14ac:dyDescent="0.3">
      <c r="A3" s="1" t="s">
        <v>31</v>
      </c>
      <c r="B3" s="2">
        <v>2.1</v>
      </c>
    </row>
    <row r="4" spans="1:11" x14ac:dyDescent="0.3">
      <c r="A4" s="1"/>
    </row>
    <row r="5" spans="1:11" x14ac:dyDescent="0.3">
      <c r="A5" s="1" t="s">
        <v>33</v>
      </c>
    </row>
    <row r="6" spans="1:11" x14ac:dyDescent="0.3">
      <c r="A6" s="2" t="s">
        <v>27</v>
      </c>
      <c r="B6" s="2">
        <f>IF(B9&gt;0, B9/B8, 0)</f>
        <v>766.79136609788486</v>
      </c>
    </row>
    <row r="7" spans="1:11" x14ac:dyDescent="0.3">
      <c r="A7" s="2" t="s">
        <v>16</v>
      </c>
      <c r="B7">
        <v>1</v>
      </c>
    </row>
    <row r="8" spans="1:11" x14ac:dyDescent="0.3">
      <c r="A8" s="2" t="s">
        <v>28</v>
      </c>
      <c r="B8">
        <v>1957.4</v>
      </c>
    </row>
    <row r="9" spans="1:11" x14ac:dyDescent="0.3">
      <c r="A9" s="2" t="s">
        <v>43</v>
      </c>
      <c r="B9">
        <v>1500917.42</v>
      </c>
    </row>
    <row r="15" spans="1:11" x14ac:dyDescent="0.3">
      <c r="A15" s="1" t="s">
        <v>22</v>
      </c>
    </row>
    <row r="16" spans="1:11" s="6" customFormat="1" x14ac:dyDescent="0.3">
      <c r="A16" s="5" t="s">
        <v>23</v>
      </c>
      <c r="B16" s="4">
        <v>42460</v>
      </c>
      <c r="C16" s="4">
        <v>42825</v>
      </c>
      <c r="D16" s="4">
        <v>43190</v>
      </c>
      <c r="E16" s="4">
        <v>43555</v>
      </c>
      <c r="F16" s="4">
        <v>43921</v>
      </c>
      <c r="G16" s="4">
        <v>44286</v>
      </c>
      <c r="H16" s="4">
        <v>44651</v>
      </c>
      <c r="I16" s="4">
        <v>45016</v>
      </c>
      <c r="J16" s="4">
        <v>45382</v>
      </c>
      <c r="K16" s="4">
        <v>45747</v>
      </c>
    </row>
    <row r="17" spans="1:11" s="3" customFormat="1" x14ac:dyDescent="0.3">
      <c r="A17" s="3" t="s">
        <v>1</v>
      </c>
      <c r="B17">
        <v>63161.56</v>
      </c>
      <c r="C17">
        <v>73271.350000000006</v>
      </c>
      <c r="D17">
        <v>85287.84</v>
      </c>
      <c r="E17">
        <v>105160.74</v>
      </c>
      <c r="F17">
        <v>122189.29</v>
      </c>
      <c r="G17">
        <v>128552.4</v>
      </c>
      <c r="H17">
        <v>135936.41</v>
      </c>
      <c r="I17">
        <v>170754.05</v>
      </c>
      <c r="J17">
        <v>283649.02</v>
      </c>
      <c r="K17">
        <v>336367.43</v>
      </c>
    </row>
    <row r="18" spans="1:11" s="3" customFormat="1" x14ac:dyDescent="0.3">
      <c r="A18" s="2" t="s">
        <v>44</v>
      </c>
    </row>
    <row r="19" spans="1:11" s="3" customFormat="1" x14ac:dyDescent="0.3">
      <c r="A19" s="2" t="s">
        <v>45</v>
      </c>
    </row>
    <row r="20" spans="1:11" s="3" customFormat="1" x14ac:dyDescent="0.3">
      <c r="A20" s="2" t="s">
        <v>46</v>
      </c>
    </row>
    <row r="21" spans="1:11" s="3" customFormat="1" x14ac:dyDescent="0.3">
      <c r="A21" s="2" t="s">
        <v>47</v>
      </c>
      <c r="B21">
        <v>1041.79</v>
      </c>
      <c r="C21">
        <v>1271.8</v>
      </c>
      <c r="D21">
        <v>1314.97</v>
      </c>
      <c r="E21">
        <v>1283.53</v>
      </c>
      <c r="F21">
        <v>1293.44</v>
      </c>
      <c r="G21">
        <v>1649.11</v>
      </c>
      <c r="H21">
        <v>1772.27</v>
      </c>
      <c r="I21">
        <v>2176.5</v>
      </c>
      <c r="J21">
        <v>3255.75</v>
      </c>
      <c r="K21">
        <v>3943.56</v>
      </c>
    </row>
    <row r="22" spans="1:11" s="3" customFormat="1" x14ac:dyDescent="0.3">
      <c r="A22" s="2" t="s">
        <v>48</v>
      </c>
      <c r="B22">
        <v>6309.03</v>
      </c>
      <c r="C22">
        <v>8508.2199999999993</v>
      </c>
      <c r="D22">
        <v>9197.15</v>
      </c>
      <c r="E22">
        <v>10454.75</v>
      </c>
      <c r="F22">
        <v>12924.1</v>
      </c>
      <c r="G22">
        <v>13682.35</v>
      </c>
      <c r="H22">
        <v>15904.81</v>
      </c>
      <c r="I22">
        <v>20031.36</v>
      </c>
      <c r="J22">
        <v>31050.07</v>
      </c>
      <c r="K22">
        <v>34167.89</v>
      </c>
    </row>
    <row r="23" spans="1:11" s="3" customFormat="1" x14ac:dyDescent="0.3">
      <c r="A23" s="2" t="s">
        <v>49</v>
      </c>
      <c r="B23">
        <v>3043.15</v>
      </c>
      <c r="C23">
        <v>3328.39</v>
      </c>
      <c r="D23">
        <v>3658.43</v>
      </c>
      <c r="E23">
        <v>3900.17</v>
      </c>
      <c r="F23">
        <v>4192.1499999999996</v>
      </c>
      <c r="G23">
        <v>4780.54</v>
      </c>
      <c r="H23">
        <v>5406.79</v>
      </c>
      <c r="I23">
        <v>6580</v>
      </c>
      <c r="J23">
        <v>87580.05</v>
      </c>
      <c r="K23">
        <v>105188.45</v>
      </c>
    </row>
    <row r="24" spans="1:11" s="3" customFormat="1" x14ac:dyDescent="0.3">
      <c r="A24" s="2" t="s">
        <v>50</v>
      </c>
      <c r="B24">
        <v>9660.65</v>
      </c>
      <c r="C24">
        <v>10747.28</v>
      </c>
      <c r="D24">
        <v>15361.71</v>
      </c>
      <c r="E24">
        <v>19217.82</v>
      </c>
      <c r="F24">
        <v>27049.52</v>
      </c>
      <c r="G24">
        <v>32344.53</v>
      </c>
      <c r="H24">
        <v>33473.089999999997</v>
      </c>
      <c r="I24">
        <v>34254.44</v>
      </c>
      <c r="J24">
        <v>52309.67</v>
      </c>
      <c r="K24">
        <v>43674.55</v>
      </c>
    </row>
    <row r="25" spans="1:11" s="3" customFormat="1" x14ac:dyDescent="0.3">
      <c r="A25" s="3" t="s">
        <v>4</v>
      </c>
      <c r="B25">
        <v>11211.65</v>
      </c>
      <c r="C25">
        <v>12905.08</v>
      </c>
      <c r="D25">
        <v>16056.6</v>
      </c>
      <c r="E25">
        <v>18947.05</v>
      </c>
      <c r="F25">
        <v>24878.97</v>
      </c>
      <c r="G25">
        <v>27332.880000000001</v>
      </c>
      <c r="H25">
        <v>31758.99</v>
      </c>
      <c r="I25">
        <v>33912.050000000003</v>
      </c>
      <c r="J25">
        <v>124345.75</v>
      </c>
      <c r="K25">
        <v>134548.5</v>
      </c>
    </row>
    <row r="26" spans="1:11" s="3" customFormat="1" x14ac:dyDescent="0.3">
      <c r="A26" s="3" t="s">
        <v>5</v>
      </c>
      <c r="B26">
        <v>738.03</v>
      </c>
      <c r="C26">
        <v>886.19</v>
      </c>
      <c r="D26">
        <v>966.78</v>
      </c>
      <c r="E26">
        <v>1220.67</v>
      </c>
      <c r="F26">
        <v>1276.77</v>
      </c>
      <c r="G26">
        <v>1385.01</v>
      </c>
      <c r="H26">
        <v>1680.73</v>
      </c>
      <c r="I26">
        <v>2345.4699999999998</v>
      </c>
      <c r="J26">
        <v>3092.08</v>
      </c>
      <c r="K26">
        <v>3805.23</v>
      </c>
    </row>
    <row r="27" spans="1:11" s="3" customFormat="1" x14ac:dyDescent="0.3">
      <c r="A27" s="3" t="s">
        <v>6</v>
      </c>
      <c r="B27">
        <v>34069.57</v>
      </c>
      <c r="C27">
        <v>38041.58</v>
      </c>
      <c r="D27">
        <v>42381.48</v>
      </c>
      <c r="E27">
        <v>53712.69</v>
      </c>
      <c r="F27">
        <v>62137.42</v>
      </c>
      <c r="G27">
        <v>59247.59</v>
      </c>
      <c r="H27">
        <v>58584.33</v>
      </c>
      <c r="I27">
        <v>77779.94</v>
      </c>
      <c r="J27">
        <v>154138.54999999999</v>
      </c>
      <c r="K27">
        <v>183894.2</v>
      </c>
    </row>
    <row r="28" spans="1:11" s="3" customFormat="1" x14ac:dyDescent="0.3">
      <c r="A28" s="3" t="s">
        <v>7</v>
      </c>
      <c r="B28">
        <v>19510.990000000002</v>
      </c>
      <c r="C28">
        <v>23392.97</v>
      </c>
      <c r="D28">
        <v>28463.919999999998</v>
      </c>
      <c r="E28">
        <v>34318.160000000003</v>
      </c>
      <c r="F28">
        <v>38194.86</v>
      </c>
      <c r="G28">
        <v>42796.15</v>
      </c>
      <c r="H28">
        <v>50873.38</v>
      </c>
      <c r="I28">
        <v>61498.39</v>
      </c>
      <c r="J28">
        <v>76568.600000000006</v>
      </c>
      <c r="K28">
        <v>96242.05</v>
      </c>
    </row>
    <row r="29" spans="1:11" s="3" customFormat="1" x14ac:dyDescent="0.3">
      <c r="A29" s="3" t="s">
        <v>8</v>
      </c>
      <c r="B29">
        <v>6693.66</v>
      </c>
      <c r="C29">
        <v>8078.12</v>
      </c>
      <c r="D29">
        <v>9903.08</v>
      </c>
      <c r="E29">
        <v>11872.55</v>
      </c>
      <c r="F29">
        <v>10898.59</v>
      </c>
      <c r="G29">
        <v>10939.38</v>
      </c>
      <c r="H29">
        <v>12722.48</v>
      </c>
      <c r="I29">
        <v>15349.69</v>
      </c>
      <c r="J29">
        <v>11122.1</v>
      </c>
      <c r="K29">
        <v>22801.88</v>
      </c>
    </row>
    <row r="30" spans="1:11" s="3" customFormat="1" x14ac:dyDescent="0.3">
      <c r="A30" s="3" t="s">
        <v>9</v>
      </c>
      <c r="B30">
        <v>12801.33</v>
      </c>
      <c r="C30">
        <v>15280.48</v>
      </c>
      <c r="D30">
        <v>18510.02</v>
      </c>
      <c r="E30">
        <v>22332.43</v>
      </c>
      <c r="F30">
        <v>27253.95</v>
      </c>
      <c r="G30">
        <v>31833.21</v>
      </c>
      <c r="H30">
        <v>38052.75</v>
      </c>
      <c r="I30">
        <v>45997.11</v>
      </c>
      <c r="J30">
        <v>64062.04</v>
      </c>
      <c r="K30">
        <v>70792.25</v>
      </c>
    </row>
    <row r="31" spans="1:11" s="3" customFormat="1" x14ac:dyDescent="0.3">
      <c r="A31" s="3" t="s">
        <v>34</v>
      </c>
      <c r="B31">
        <v>2401.79</v>
      </c>
      <c r="C31">
        <v>2818.8</v>
      </c>
      <c r="D31">
        <v>3373.63</v>
      </c>
      <c r="E31">
        <v>4084.95</v>
      </c>
      <c r="F31">
        <v>1370.82</v>
      </c>
      <c r="G31">
        <v>3583.32</v>
      </c>
      <c r="H31">
        <v>8595.52</v>
      </c>
      <c r="I31">
        <v>10601.43</v>
      </c>
      <c r="J31">
        <v>14813.96</v>
      </c>
      <c r="K31">
        <v>16834.84</v>
      </c>
    </row>
    <row r="32" spans="1:11" s="3" customFormat="1" x14ac:dyDescent="0.3">
      <c r="A32" s="3" t="s">
        <v>67</v>
      </c>
      <c r="B32" s="3">
        <f>B30+B29+B27+B26</f>
        <v>54302.59</v>
      </c>
      <c r="C32" s="3">
        <f t="shared" ref="C32:K32" si="0">C30+C29+C27+C26</f>
        <v>62286.37</v>
      </c>
      <c r="D32" s="3">
        <f t="shared" si="0"/>
        <v>71761.36</v>
      </c>
      <c r="E32" s="3">
        <f t="shared" si="0"/>
        <v>89138.34</v>
      </c>
      <c r="F32" s="3">
        <f t="shared" si="0"/>
        <v>101566.73</v>
      </c>
      <c r="G32" s="3">
        <f t="shared" si="0"/>
        <v>103405.18999999999</v>
      </c>
      <c r="H32" s="3">
        <f t="shared" si="0"/>
        <v>111040.29</v>
      </c>
      <c r="I32" s="3">
        <f t="shared" si="0"/>
        <v>141472.21</v>
      </c>
      <c r="J32" s="3">
        <f>J30+J29+J27+J26</f>
        <v>232414.77</v>
      </c>
      <c r="K32" s="3">
        <f t="shared" si="0"/>
        <v>281293.56</v>
      </c>
    </row>
    <row r="33" spans="1:11" x14ac:dyDescent="0.3">
      <c r="A33" s="3"/>
    </row>
    <row r="34" spans="1:11" x14ac:dyDescent="0.3">
      <c r="A34" s="3"/>
    </row>
    <row r="35" spans="1:11" x14ac:dyDescent="0.3">
      <c r="A35" s="3"/>
    </row>
    <row r="36" spans="1:11" x14ac:dyDescent="0.3">
      <c r="A36" s="3"/>
    </row>
    <row r="37" spans="1:11" x14ac:dyDescent="0.3">
      <c r="A37" s="3"/>
    </row>
    <row r="38" spans="1:11" x14ac:dyDescent="0.3">
      <c r="A38" s="3"/>
    </row>
    <row r="39" spans="1:11" x14ac:dyDescent="0.3">
      <c r="A39" s="3"/>
    </row>
    <row r="40" spans="1:11" x14ac:dyDescent="0.3">
      <c r="A40" s="1" t="s">
        <v>24</v>
      </c>
    </row>
    <row r="41" spans="1:11" s="6" customFormat="1" x14ac:dyDescent="0.3">
      <c r="A41" s="5" t="s">
        <v>23</v>
      </c>
      <c r="B41" s="4">
        <v>45016</v>
      </c>
      <c r="C41" s="4">
        <v>45107</v>
      </c>
      <c r="D41" s="4">
        <v>45199</v>
      </c>
      <c r="E41" s="4">
        <v>45291</v>
      </c>
      <c r="F41" s="4">
        <v>45382</v>
      </c>
      <c r="G41" s="4">
        <v>45473</v>
      </c>
      <c r="H41" s="4">
        <v>45565</v>
      </c>
      <c r="I41" s="4">
        <v>45657</v>
      </c>
      <c r="J41" s="4">
        <v>45747</v>
      </c>
      <c r="K41" s="4">
        <v>45838</v>
      </c>
    </row>
    <row r="42" spans="1:11" s="3" customFormat="1" x14ac:dyDescent="0.3">
      <c r="A42" s="3" t="s">
        <v>1</v>
      </c>
      <c r="B42">
        <v>47548.34</v>
      </c>
      <c r="C42">
        <v>51168.14</v>
      </c>
      <c r="D42">
        <v>75039.100000000006</v>
      </c>
      <c r="E42">
        <v>78008.17</v>
      </c>
      <c r="F42">
        <v>79433.61</v>
      </c>
      <c r="G42">
        <v>81546.2</v>
      </c>
      <c r="H42">
        <v>83001.72</v>
      </c>
      <c r="I42">
        <v>85040.17</v>
      </c>
      <c r="J42">
        <v>86779.34</v>
      </c>
      <c r="K42">
        <v>87371.87</v>
      </c>
    </row>
    <row r="43" spans="1:11" s="3" customFormat="1" x14ac:dyDescent="0.3">
      <c r="A43" s="3" t="s">
        <v>2</v>
      </c>
      <c r="B43">
        <v>17770.12</v>
      </c>
      <c r="C43">
        <v>18469.810000000001</v>
      </c>
      <c r="D43">
        <v>45349.33</v>
      </c>
      <c r="E43">
        <v>50530.03</v>
      </c>
      <c r="F43">
        <v>62938.45</v>
      </c>
      <c r="G43">
        <v>49689.62</v>
      </c>
      <c r="H43">
        <v>52074.11</v>
      </c>
      <c r="I43">
        <v>41306.79</v>
      </c>
      <c r="J43">
        <v>47709.16</v>
      </c>
      <c r="K43">
        <v>64496.63</v>
      </c>
    </row>
    <row r="44" spans="1:11" s="3" customFormat="1" x14ac:dyDescent="0.3">
      <c r="A44" s="3" t="s">
        <v>4</v>
      </c>
      <c r="B44">
        <v>9610.5</v>
      </c>
      <c r="C44">
        <v>9853.15</v>
      </c>
      <c r="D44">
        <v>32527.52</v>
      </c>
      <c r="E44">
        <v>37007.339999999997</v>
      </c>
      <c r="F44">
        <v>44957.74</v>
      </c>
      <c r="G44">
        <v>35450.29</v>
      </c>
      <c r="H44">
        <v>38455.019999999997</v>
      </c>
      <c r="I44">
        <v>27153.77</v>
      </c>
      <c r="J44">
        <v>33489.42</v>
      </c>
      <c r="K44">
        <v>45683.1</v>
      </c>
    </row>
    <row r="45" spans="1:11" s="3" customFormat="1" x14ac:dyDescent="0.3">
      <c r="A45" s="3" t="s">
        <v>5</v>
      </c>
    </row>
    <row r="46" spans="1:11" s="3" customFormat="1" x14ac:dyDescent="0.3">
      <c r="A46" s="3" t="s">
        <v>6</v>
      </c>
      <c r="B46">
        <v>22606.03</v>
      </c>
      <c r="C46">
        <v>25954.76</v>
      </c>
      <c r="D46">
        <v>41249.910000000003</v>
      </c>
      <c r="E46">
        <v>43242.37</v>
      </c>
      <c r="F46">
        <v>43691.51</v>
      </c>
      <c r="G46">
        <v>44579.5</v>
      </c>
      <c r="H46">
        <v>45414.21</v>
      </c>
      <c r="I46">
        <v>46914.28</v>
      </c>
      <c r="J46">
        <v>46986.21</v>
      </c>
      <c r="K46">
        <v>47708.51</v>
      </c>
    </row>
    <row r="47" spans="1:11" s="3" customFormat="1" x14ac:dyDescent="0.3">
      <c r="A47" s="3" t="s">
        <v>7</v>
      </c>
      <c r="B47">
        <v>16782.689999999999</v>
      </c>
      <c r="C47">
        <v>16596.72</v>
      </c>
      <c r="D47">
        <v>20967.38</v>
      </c>
      <c r="E47">
        <v>21243.11</v>
      </c>
      <c r="F47">
        <v>17761.39</v>
      </c>
      <c r="G47">
        <v>22727.37</v>
      </c>
      <c r="H47">
        <v>23968.42</v>
      </c>
      <c r="I47">
        <v>23972.87</v>
      </c>
      <c r="J47">
        <v>25573.39</v>
      </c>
      <c r="K47">
        <v>20849.830000000002</v>
      </c>
    </row>
    <row r="48" spans="1:11" s="3" customFormat="1" x14ac:dyDescent="0.3">
      <c r="A48" s="3" t="s">
        <v>8</v>
      </c>
      <c r="B48">
        <v>4148.68</v>
      </c>
      <c r="C48">
        <v>4193.47</v>
      </c>
      <c r="D48">
        <v>3655</v>
      </c>
      <c r="E48">
        <v>3525.11</v>
      </c>
      <c r="F48">
        <v>-251.48</v>
      </c>
      <c r="G48">
        <v>5539.32</v>
      </c>
      <c r="H48">
        <v>5340.98</v>
      </c>
      <c r="I48">
        <v>5632.76</v>
      </c>
      <c r="J48">
        <v>6288.82</v>
      </c>
      <c r="K48">
        <v>3759.4</v>
      </c>
    </row>
    <row r="49" spans="1:11" s="3" customFormat="1" x14ac:dyDescent="0.3">
      <c r="A49" s="3" t="s">
        <v>9</v>
      </c>
      <c r="B49">
        <v>12594.47</v>
      </c>
      <c r="C49">
        <v>12370.38</v>
      </c>
      <c r="D49">
        <v>16811.41</v>
      </c>
      <c r="E49">
        <v>17257.87</v>
      </c>
      <c r="F49">
        <v>17622.38</v>
      </c>
      <c r="G49">
        <v>16474.849999999999</v>
      </c>
      <c r="H49">
        <v>17825.91</v>
      </c>
      <c r="I49">
        <v>17656.61</v>
      </c>
      <c r="J49">
        <v>18834.88</v>
      </c>
      <c r="K49">
        <v>16257.91</v>
      </c>
    </row>
    <row r="50" spans="1:11" x14ac:dyDescent="0.3">
      <c r="A50" s="3" t="s">
        <v>3</v>
      </c>
      <c r="B50">
        <v>29778.22</v>
      </c>
      <c r="C50">
        <v>32698.33</v>
      </c>
      <c r="D50">
        <v>29689.77</v>
      </c>
      <c r="E50">
        <v>27478.14</v>
      </c>
      <c r="F50">
        <v>16495.16</v>
      </c>
      <c r="G50">
        <v>31856.58</v>
      </c>
      <c r="H50">
        <v>30927.61</v>
      </c>
      <c r="I50">
        <v>43733.38</v>
      </c>
      <c r="J50">
        <v>39070.18</v>
      </c>
      <c r="K50">
        <v>22875.24</v>
      </c>
    </row>
    <row r="51" spans="1:11" x14ac:dyDescent="0.3">
      <c r="A51" s="3"/>
    </row>
    <row r="52" spans="1:11" x14ac:dyDescent="0.3">
      <c r="A52" s="3"/>
    </row>
    <row r="53" spans="1:11" x14ac:dyDescent="0.3">
      <c r="A53" s="3"/>
    </row>
    <row r="54" spans="1:11" x14ac:dyDescent="0.3">
      <c r="A54" s="3"/>
    </row>
    <row r="55" spans="1:11" x14ac:dyDescent="0.3">
      <c r="A55" s="1" t="s">
        <v>25</v>
      </c>
    </row>
    <row r="56" spans="1:11" s="6" customFormat="1" x14ac:dyDescent="0.3">
      <c r="A56" s="5" t="s">
        <v>23</v>
      </c>
      <c r="B56" s="4">
        <v>42460</v>
      </c>
      <c r="C56" s="4">
        <v>42825</v>
      </c>
      <c r="D56" s="4">
        <v>43190</v>
      </c>
      <c r="E56" s="4">
        <v>43555</v>
      </c>
      <c r="F56" s="4">
        <v>43921</v>
      </c>
      <c r="G56" s="4">
        <v>44286</v>
      </c>
      <c r="H56" s="4">
        <v>44651</v>
      </c>
      <c r="I56" s="4">
        <v>45016</v>
      </c>
      <c r="J56" s="4">
        <v>45382</v>
      </c>
      <c r="K56" s="4">
        <v>45747</v>
      </c>
    </row>
    <row r="57" spans="1:11" x14ac:dyDescent="0.3">
      <c r="A57" s="3" t="s">
        <v>10</v>
      </c>
      <c r="B57">
        <v>505.64</v>
      </c>
      <c r="C57">
        <v>512.51</v>
      </c>
      <c r="D57">
        <v>519.02</v>
      </c>
      <c r="E57">
        <v>544.66</v>
      </c>
      <c r="F57">
        <v>548.33000000000004</v>
      </c>
      <c r="G57">
        <v>551.28</v>
      </c>
      <c r="H57">
        <v>554.54999999999995</v>
      </c>
      <c r="I57">
        <v>557.97</v>
      </c>
      <c r="J57">
        <v>759.69</v>
      </c>
      <c r="K57">
        <v>765.22</v>
      </c>
    </row>
    <row r="58" spans="1:11" x14ac:dyDescent="0.3">
      <c r="A58" s="3" t="s">
        <v>11</v>
      </c>
      <c r="B58">
        <v>73798.490000000005</v>
      </c>
      <c r="C58">
        <v>91281.44</v>
      </c>
      <c r="D58">
        <v>109080.11</v>
      </c>
      <c r="E58">
        <v>153128</v>
      </c>
      <c r="F58">
        <v>175810.38</v>
      </c>
      <c r="G58">
        <v>209258.9</v>
      </c>
      <c r="H58">
        <v>246771.62</v>
      </c>
      <c r="I58">
        <v>288879.53000000003</v>
      </c>
      <c r="J58">
        <v>455635.56</v>
      </c>
      <c r="K58">
        <v>521024.17</v>
      </c>
    </row>
    <row r="59" spans="1:11" x14ac:dyDescent="0.3">
      <c r="A59" s="3" t="s">
        <v>35</v>
      </c>
      <c r="B59">
        <v>649587.25</v>
      </c>
      <c r="C59">
        <v>741549.89</v>
      </c>
      <c r="D59">
        <v>944817.22</v>
      </c>
      <c r="E59">
        <v>1080235.46</v>
      </c>
      <c r="F59">
        <v>1333041.45</v>
      </c>
      <c r="G59">
        <v>1511417.62</v>
      </c>
      <c r="H59">
        <v>1784969.53</v>
      </c>
      <c r="I59">
        <v>2139211.91</v>
      </c>
      <c r="J59">
        <v>3107502.74</v>
      </c>
      <c r="K59">
        <v>3345503.8</v>
      </c>
    </row>
    <row r="60" spans="1:11" x14ac:dyDescent="0.3">
      <c r="A60" s="3" t="s">
        <v>36</v>
      </c>
      <c r="B60">
        <v>38320.949999999997</v>
      </c>
      <c r="C60">
        <v>59000.32</v>
      </c>
      <c r="D60">
        <v>48769.82</v>
      </c>
      <c r="E60">
        <v>58897.59</v>
      </c>
      <c r="F60">
        <v>71430.27</v>
      </c>
      <c r="G60">
        <v>78278.83</v>
      </c>
      <c r="H60">
        <v>90638.6</v>
      </c>
      <c r="I60">
        <v>101783.03</v>
      </c>
      <c r="J60">
        <v>466296.27</v>
      </c>
      <c r="K60">
        <v>524816.64000000001</v>
      </c>
    </row>
    <row r="61" spans="1:11" s="1" customFormat="1" x14ac:dyDescent="0.3">
      <c r="A61" s="1" t="s">
        <v>12</v>
      </c>
      <c r="B61">
        <v>762212.33</v>
      </c>
      <c r="C61">
        <v>892344.16</v>
      </c>
      <c r="D61">
        <v>1103186.17</v>
      </c>
      <c r="E61">
        <v>1292805.71</v>
      </c>
      <c r="F61">
        <v>1580830.43</v>
      </c>
      <c r="G61">
        <v>1799506.63</v>
      </c>
      <c r="H61">
        <v>2122934.2999999998</v>
      </c>
      <c r="I61">
        <v>2530432.44</v>
      </c>
      <c r="J61">
        <v>4030194.26</v>
      </c>
      <c r="K61">
        <v>4392109.83</v>
      </c>
    </row>
    <row r="62" spans="1:11" x14ac:dyDescent="0.3">
      <c r="A62" s="3" t="s">
        <v>13</v>
      </c>
      <c r="B62">
        <v>3666.86</v>
      </c>
      <c r="C62">
        <v>3999.7</v>
      </c>
      <c r="D62">
        <v>4008.13</v>
      </c>
      <c r="E62">
        <v>4368.63</v>
      </c>
      <c r="F62">
        <v>4775.6499999999996</v>
      </c>
      <c r="G62">
        <v>5248.35</v>
      </c>
      <c r="H62">
        <v>6432.07</v>
      </c>
      <c r="I62">
        <v>8431.35</v>
      </c>
      <c r="J62">
        <v>12603.76</v>
      </c>
      <c r="K62">
        <v>15257.94</v>
      </c>
    </row>
    <row r="63" spans="1:11" x14ac:dyDescent="0.3">
      <c r="A63" s="3" t="s">
        <v>14</v>
      </c>
    </row>
    <row r="64" spans="1:11" x14ac:dyDescent="0.3">
      <c r="A64" s="3" t="s">
        <v>15</v>
      </c>
      <c r="B64">
        <v>193633.85</v>
      </c>
      <c r="C64">
        <v>210777.11</v>
      </c>
      <c r="D64">
        <v>238460.92</v>
      </c>
      <c r="E64">
        <v>289445.87</v>
      </c>
      <c r="F64">
        <v>389304.95</v>
      </c>
      <c r="G64">
        <v>438823.11</v>
      </c>
      <c r="H64">
        <v>449263.86</v>
      </c>
      <c r="I64">
        <v>511581.71</v>
      </c>
      <c r="J64">
        <v>1005681.63</v>
      </c>
      <c r="K64">
        <v>1186472.8899999999</v>
      </c>
    </row>
    <row r="65" spans="1:11" x14ac:dyDescent="0.3">
      <c r="A65" s="3" t="s">
        <v>37</v>
      </c>
      <c r="B65">
        <v>564911.62</v>
      </c>
      <c r="C65">
        <v>677567.35</v>
      </c>
      <c r="D65">
        <v>860717.12</v>
      </c>
      <c r="E65">
        <v>998991.21</v>
      </c>
      <c r="F65">
        <v>1186749.83</v>
      </c>
      <c r="G65">
        <v>1355435.17</v>
      </c>
      <c r="H65">
        <v>1667238.37</v>
      </c>
      <c r="I65">
        <v>2010419.38</v>
      </c>
      <c r="J65">
        <v>3011908.87</v>
      </c>
      <c r="K65">
        <v>3190379</v>
      </c>
    </row>
    <row r="66" spans="1:11" s="1" customFormat="1" x14ac:dyDescent="0.3">
      <c r="A66" s="1" t="s">
        <v>12</v>
      </c>
      <c r="B66">
        <v>762212.33</v>
      </c>
      <c r="C66">
        <v>892344.16</v>
      </c>
      <c r="D66">
        <v>1103186.17</v>
      </c>
      <c r="E66">
        <v>1292805.71</v>
      </c>
      <c r="F66">
        <v>1580830.43</v>
      </c>
      <c r="G66">
        <v>1799506.63</v>
      </c>
      <c r="H66">
        <v>2122934.2999999998</v>
      </c>
      <c r="I66">
        <v>2530432.44</v>
      </c>
      <c r="J66">
        <v>4030194.26</v>
      </c>
      <c r="K66">
        <v>4392109.83</v>
      </c>
    </row>
    <row r="67" spans="1:11" s="3" customFormat="1" x14ac:dyDescent="0.3">
      <c r="A67" s="3" t="s">
        <v>42</v>
      </c>
    </row>
    <row r="68" spans="1:11" x14ac:dyDescent="0.3">
      <c r="A68" s="3" t="s">
        <v>29</v>
      </c>
    </row>
    <row r="69" spans="1:11" x14ac:dyDescent="0.3">
      <c r="A69" s="2" t="s">
        <v>51</v>
      </c>
      <c r="B69">
        <v>24488.85</v>
      </c>
      <c r="C69">
        <v>33633.279999999999</v>
      </c>
      <c r="D69">
        <v>97138.14</v>
      </c>
      <c r="E69">
        <v>39372.129999999997</v>
      </c>
      <c r="F69">
        <v>62997.42</v>
      </c>
      <c r="G69">
        <v>86648.17</v>
      </c>
      <c r="H69">
        <v>118791.2</v>
      </c>
      <c r="I69">
        <v>103917.93</v>
      </c>
      <c r="J69">
        <v>165658.59</v>
      </c>
      <c r="K69">
        <v>132227.37</v>
      </c>
    </row>
    <row r="70" spans="1:11" x14ac:dyDescent="0.3">
      <c r="A70" s="2" t="s">
        <v>38</v>
      </c>
      <c r="B70">
        <v>2528186517</v>
      </c>
      <c r="C70">
        <v>2562545717</v>
      </c>
      <c r="D70">
        <v>2595090267</v>
      </c>
      <c r="E70">
        <v>2723306610</v>
      </c>
      <c r="F70">
        <v>5483286460</v>
      </c>
      <c r="G70">
        <v>5512776482</v>
      </c>
      <c r="H70">
        <v>5545540976</v>
      </c>
      <c r="I70">
        <v>5579742786</v>
      </c>
      <c r="J70">
        <v>7596910662</v>
      </c>
      <c r="K70">
        <v>7652221674</v>
      </c>
    </row>
    <row r="71" spans="1:11" x14ac:dyDescent="0.3">
      <c r="A71" s="2" t="s">
        <v>39</v>
      </c>
    </row>
    <row r="72" spans="1:11" x14ac:dyDescent="0.3">
      <c r="A72" s="2" t="s">
        <v>52</v>
      </c>
      <c r="B72">
        <v>2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">
      <c r="A74" s="2" t="s">
        <v>173</v>
      </c>
      <c r="B74" s="2">
        <f>B65-SUM(B67:B69)</f>
        <v>540422.77</v>
      </c>
      <c r="C74" s="2">
        <f t="shared" ref="C74:K74" si="1">C65-SUM(C67:C69)</f>
        <v>643934.06999999995</v>
      </c>
      <c r="D74" s="2">
        <f t="shared" si="1"/>
        <v>763578.98</v>
      </c>
      <c r="E74" s="2">
        <f t="shared" si="1"/>
        <v>959619.08</v>
      </c>
      <c r="F74" s="2">
        <f t="shared" si="1"/>
        <v>1123752.4100000001</v>
      </c>
      <c r="G74" s="2">
        <f>G65-SUM(G67:G69)</f>
        <v>1268787</v>
      </c>
      <c r="H74" s="2">
        <f t="shared" si="1"/>
        <v>1548447.1700000002</v>
      </c>
      <c r="I74" s="2">
        <f t="shared" si="1"/>
        <v>1906501.45</v>
      </c>
      <c r="J74" s="2">
        <f t="shared" si="1"/>
        <v>2846250.2800000003</v>
      </c>
      <c r="K74" s="2">
        <f t="shared" si="1"/>
        <v>3058151.63</v>
      </c>
    </row>
    <row r="75" spans="1:11" x14ac:dyDescent="0.3">
      <c r="A75" s="3"/>
    </row>
    <row r="76" spans="1:11" x14ac:dyDescent="0.3">
      <c r="A76" s="3" t="s">
        <v>172</v>
      </c>
      <c r="B76" s="2">
        <f>B61</f>
        <v>762212.33</v>
      </c>
      <c r="C76" s="2">
        <f>C61</f>
        <v>892344.16</v>
      </c>
      <c r="D76" s="2">
        <f>D61</f>
        <v>1103186.17</v>
      </c>
      <c r="E76" s="2">
        <f>E61</f>
        <v>1292805.71</v>
      </c>
      <c r="F76" s="2">
        <f>F61</f>
        <v>1580830.43</v>
      </c>
      <c r="G76" s="2">
        <f>G61</f>
        <v>1799506.63</v>
      </c>
      <c r="H76" s="2">
        <f>H61</f>
        <v>2122934.2999999998</v>
      </c>
      <c r="I76" s="2">
        <f>I61</f>
        <v>2530432.44</v>
      </c>
      <c r="J76" s="2">
        <f>J61</f>
        <v>4030194.26</v>
      </c>
      <c r="K76" s="2">
        <f>K61</f>
        <v>4392109.83</v>
      </c>
    </row>
    <row r="77" spans="1:11" x14ac:dyDescent="0.3">
      <c r="A77" s="3"/>
    </row>
    <row r="78" spans="1:11" x14ac:dyDescent="0.3">
      <c r="A78" s="3"/>
    </row>
    <row r="79" spans="1:11" x14ac:dyDescent="0.3">
      <c r="A79" s="3"/>
    </row>
    <row r="80" spans="1:11" x14ac:dyDescent="0.3">
      <c r="A80" s="1" t="s">
        <v>26</v>
      </c>
    </row>
    <row r="81" spans="1:11" s="6" customFormat="1" x14ac:dyDescent="0.3">
      <c r="A81" s="5" t="s">
        <v>23</v>
      </c>
      <c r="B81" s="4">
        <v>42460</v>
      </c>
      <c r="C81" s="4">
        <v>42825</v>
      </c>
      <c r="D81" s="4">
        <v>43190</v>
      </c>
      <c r="E81" s="4">
        <v>43555</v>
      </c>
      <c r="F81" s="4">
        <v>43921</v>
      </c>
      <c r="G81" s="4">
        <v>44286</v>
      </c>
      <c r="H81" s="4">
        <v>44651</v>
      </c>
      <c r="I81" s="4">
        <v>45016</v>
      </c>
      <c r="J81" s="4">
        <v>45382</v>
      </c>
      <c r="K81" s="4">
        <v>45747</v>
      </c>
    </row>
    <row r="82" spans="1:11" s="1" customFormat="1" x14ac:dyDescent="0.3">
      <c r="A82" s="3" t="s">
        <v>17</v>
      </c>
      <c r="B82">
        <v>-34435.370000000003</v>
      </c>
      <c r="C82">
        <v>17281.59</v>
      </c>
      <c r="D82">
        <v>17214.38</v>
      </c>
      <c r="E82">
        <v>-62871.54</v>
      </c>
      <c r="F82">
        <v>-16869.09</v>
      </c>
      <c r="G82">
        <v>42476.45</v>
      </c>
      <c r="H82">
        <v>-11959.57</v>
      </c>
      <c r="I82">
        <v>20813.7</v>
      </c>
      <c r="J82">
        <v>19069.34</v>
      </c>
      <c r="K82">
        <v>127241.84</v>
      </c>
    </row>
    <row r="83" spans="1:11" s="3" customFormat="1" x14ac:dyDescent="0.3">
      <c r="A83" s="3" t="s">
        <v>18</v>
      </c>
      <c r="B83">
        <v>-837.31</v>
      </c>
      <c r="C83">
        <v>-1146.3800000000001</v>
      </c>
      <c r="D83">
        <v>-841.6</v>
      </c>
      <c r="E83">
        <v>-1503.06</v>
      </c>
      <c r="F83">
        <v>-1402.94</v>
      </c>
      <c r="G83">
        <v>-1822.7</v>
      </c>
      <c r="H83">
        <v>-2051.23</v>
      </c>
      <c r="I83">
        <v>-2992.18</v>
      </c>
      <c r="J83">
        <v>16600.419999999998</v>
      </c>
      <c r="K83">
        <v>-3650.91</v>
      </c>
    </row>
    <row r="84" spans="1:11" s="3" customFormat="1" x14ac:dyDescent="0.3">
      <c r="A84" s="3" t="s">
        <v>19</v>
      </c>
      <c r="B84">
        <v>37815.129999999997</v>
      </c>
      <c r="C84">
        <v>-5892.97</v>
      </c>
      <c r="D84">
        <v>57377.66</v>
      </c>
      <c r="E84">
        <v>23130.69</v>
      </c>
      <c r="F84">
        <v>24394.5</v>
      </c>
      <c r="G84">
        <v>-7321.35</v>
      </c>
      <c r="H84">
        <v>48124.02</v>
      </c>
      <c r="I84">
        <v>23940.560000000001</v>
      </c>
      <c r="J84">
        <v>-3983.06</v>
      </c>
      <c r="K84">
        <v>-102477.54</v>
      </c>
    </row>
    <row r="85" spans="1:11" s="1" customFormat="1" x14ac:dyDescent="0.3">
      <c r="A85" s="3" t="s">
        <v>20</v>
      </c>
      <c r="B85">
        <v>2542.46</v>
      </c>
      <c r="C85">
        <v>10242.24</v>
      </c>
      <c r="D85">
        <v>73750.44</v>
      </c>
      <c r="E85">
        <v>-41243.910000000003</v>
      </c>
      <c r="F85">
        <v>6122.47</v>
      </c>
      <c r="G85">
        <v>33332.400000000001</v>
      </c>
      <c r="H85">
        <v>34113.22</v>
      </c>
      <c r="I85">
        <v>41762.080000000002</v>
      </c>
      <c r="J85">
        <v>31686.7</v>
      </c>
      <c r="K85">
        <v>21113.39</v>
      </c>
    </row>
    <row r="86" spans="1:11" x14ac:dyDescent="0.3">
      <c r="A86" s="3"/>
    </row>
    <row r="87" spans="1:11" x14ac:dyDescent="0.3">
      <c r="A87" s="3"/>
    </row>
    <row r="88" spans="1:11" x14ac:dyDescent="0.3">
      <c r="A88" s="3"/>
    </row>
    <row r="89" spans="1:11" x14ac:dyDescent="0.3">
      <c r="A89" s="3"/>
    </row>
    <row r="90" spans="1:11" s="1" customFormat="1" x14ac:dyDescent="0.3">
      <c r="A90" s="1" t="s">
        <v>41</v>
      </c>
      <c r="B90">
        <v>535.58000000000004</v>
      </c>
      <c r="C90">
        <v>721.28</v>
      </c>
      <c r="D90">
        <v>943.05</v>
      </c>
      <c r="E90">
        <v>1159.45</v>
      </c>
      <c r="F90">
        <v>861.9</v>
      </c>
      <c r="G90">
        <v>1493.65</v>
      </c>
      <c r="H90">
        <v>1470.35</v>
      </c>
      <c r="I90">
        <v>1609.55</v>
      </c>
      <c r="J90">
        <v>1447.9</v>
      </c>
      <c r="K90">
        <v>1828.2</v>
      </c>
    </row>
    <row r="92" spans="1:11" s="1" customFormat="1" x14ac:dyDescent="0.3">
      <c r="A92" s="1" t="s">
        <v>40</v>
      </c>
    </row>
    <row r="93" spans="1:11" x14ac:dyDescent="0.3">
      <c r="A93" s="2" t="s">
        <v>53</v>
      </c>
      <c r="B93" s="7">
        <v>505.64</v>
      </c>
      <c r="C93" s="7">
        <v>512.51</v>
      </c>
      <c r="D93" s="7">
        <v>519.02</v>
      </c>
      <c r="E93" s="7">
        <v>544.66</v>
      </c>
      <c r="F93" s="7">
        <v>548.33000000000004</v>
      </c>
      <c r="G93" s="7">
        <v>551.28</v>
      </c>
      <c r="H93" s="7">
        <v>554.54999999999995</v>
      </c>
      <c r="I93" s="7">
        <v>557.97</v>
      </c>
      <c r="J93" s="7">
        <v>759.69</v>
      </c>
      <c r="K93" s="7">
        <v>765.22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09C8-0BEF-497F-9BC3-2DD063B2420D}">
  <dimension ref="B3:N66"/>
  <sheetViews>
    <sheetView showGridLines="0" tabSelected="1" topLeftCell="A4" zoomScale="116" workbookViewId="0">
      <selection activeCell="L15" sqref="L15"/>
    </sheetView>
  </sheetViews>
  <sheetFormatPr defaultRowHeight="14.4" x14ac:dyDescent="0.3"/>
  <cols>
    <col min="1" max="1" width="1.88671875" customWidth="1"/>
    <col min="2" max="2" width="22" bestFit="1" customWidth="1"/>
    <col min="3" max="3" width="10.44140625" bestFit="1" customWidth="1"/>
    <col min="4" max="12" width="10.33203125" bestFit="1" customWidth="1"/>
  </cols>
  <sheetData>
    <row r="3" spans="2:14" ht="15.6" x14ac:dyDescent="0.3">
      <c r="B3" s="83" t="s">
        <v>168</v>
      </c>
      <c r="C3" s="83"/>
      <c r="D3" s="83"/>
      <c r="E3" s="83"/>
      <c r="F3" s="83"/>
      <c r="G3" s="83"/>
      <c r="H3" s="83"/>
      <c r="I3" s="83"/>
      <c r="J3" s="83"/>
      <c r="K3" s="83"/>
      <c r="L3" s="83"/>
      <c r="N3" s="8"/>
    </row>
    <row r="5" spans="2:14" x14ac:dyDescent="0.3">
      <c r="B5" s="74" t="s">
        <v>167</v>
      </c>
      <c r="C5" s="73">
        <f>'Data Sheet'!B16</f>
        <v>42460</v>
      </c>
      <c r="D5" s="73">
        <f>'Data Sheet'!C16</f>
        <v>42825</v>
      </c>
      <c r="E5" s="73">
        <f>'Data Sheet'!D16</f>
        <v>43190</v>
      </c>
      <c r="F5" s="73">
        <f>'Data Sheet'!E16</f>
        <v>43555</v>
      </c>
      <c r="G5" s="73">
        <f>'Data Sheet'!F16</f>
        <v>43921</v>
      </c>
      <c r="H5" s="73">
        <f>'Data Sheet'!G16</f>
        <v>44286</v>
      </c>
      <c r="I5" s="73">
        <f>'Data Sheet'!H16</f>
        <v>44651</v>
      </c>
      <c r="J5" s="73">
        <f>'Data Sheet'!I16</f>
        <v>45016</v>
      </c>
      <c r="K5" s="73">
        <f>'Data Sheet'!J16</f>
        <v>45382</v>
      </c>
      <c r="L5" s="73">
        <f>'Data Sheet'!K16</f>
        <v>45747</v>
      </c>
    </row>
    <row r="7" spans="2:14" x14ac:dyDescent="0.3">
      <c r="B7" s="70" t="str">
        <f>'Data Sheet'!A17</f>
        <v>Sales</v>
      </c>
      <c r="C7" s="71">
        <f>'Data Sheet'!B17/'Data Sheet'!B$17</f>
        <v>1</v>
      </c>
      <c r="D7" s="71">
        <f>'Data Sheet'!C17/'Data Sheet'!C$17</f>
        <v>1</v>
      </c>
      <c r="E7" s="71">
        <f>'Data Sheet'!D17/'Data Sheet'!D$17</f>
        <v>1</v>
      </c>
      <c r="F7" s="71">
        <f>'Data Sheet'!E17/'Data Sheet'!E$17</f>
        <v>1</v>
      </c>
      <c r="G7" s="71">
        <f>'Data Sheet'!F17/'Data Sheet'!F$17</f>
        <v>1</v>
      </c>
      <c r="H7" s="71">
        <f>'Data Sheet'!G17/'Data Sheet'!G$17</f>
        <v>1</v>
      </c>
      <c r="I7" s="71">
        <f>'Data Sheet'!H17/'Data Sheet'!H$17</f>
        <v>1</v>
      </c>
      <c r="J7" s="71">
        <f>'Data Sheet'!I17/'Data Sheet'!I$17</f>
        <v>1</v>
      </c>
      <c r="K7" s="71">
        <f>'Data Sheet'!J17/'Data Sheet'!J$17</f>
        <v>1</v>
      </c>
      <c r="L7" s="71">
        <f>'Data Sheet'!K17/'Data Sheet'!K$17</f>
        <v>1</v>
      </c>
    </row>
    <row r="8" spans="2:14" x14ac:dyDescent="0.3">
      <c r="B8" s="70" t="str">
        <f>'Data Sheet'!A21</f>
        <v>Other Mfr. Exp</v>
      </c>
      <c r="C8" s="71">
        <f>'Data Sheet'!B21/'Data Sheet'!B$17</f>
        <v>1.6494051128566171E-2</v>
      </c>
      <c r="D8" s="71">
        <f>'Data Sheet'!C21/'Data Sheet'!C$17</f>
        <v>1.7357398219085631E-2</v>
      </c>
      <c r="E8" s="71">
        <f>'Data Sheet'!D21/'Data Sheet'!D$17</f>
        <v>1.5418024421769858E-2</v>
      </c>
      <c r="F8" s="71">
        <f>'Data Sheet'!E21/'Data Sheet'!E$17</f>
        <v>1.2205410498252484E-2</v>
      </c>
      <c r="G8" s="71">
        <f>'Data Sheet'!F21/'Data Sheet'!F$17</f>
        <v>1.0585543135572684E-2</v>
      </c>
      <c r="H8" s="71">
        <f>'Data Sheet'!G21/'Data Sheet'!G$17</f>
        <v>1.282830970094685E-2</v>
      </c>
      <c r="I8" s="71">
        <f>'Data Sheet'!H21/'Data Sheet'!H$17</f>
        <v>1.3037493045461477E-2</v>
      </c>
      <c r="J8" s="71">
        <f>'Data Sheet'!I21/'Data Sheet'!I$17</f>
        <v>1.2746403379597732E-2</v>
      </c>
      <c r="K8" s="71">
        <f>'Data Sheet'!J21/'Data Sheet'!J$17</f>
        <v>1.1478093596092804E-2</v>
      </c>
      <c r="L8" s="71">
        <f>'Data Sheet'!K21/'Data Sheet'!K$17</f>
        <v>1.1723965069983144E-2</v>
      </c>
    </row>
    <row r="9" spans="2:14" x14ac:dyDescent="0.3">
      <c r="B9" s="70" t="str">
        <f>'Data Sheet'!A22</f>
        <v>Employee Cost</v>
      </c>
      <c r="C9" s="71">
        <f>'Data Sheet'!B22/'Data Sheet'!B$17</f>
        <v>9.9887178214090974E-2</v>
      </c>
      <c r="D9" s="71">
        <f>'Data Sheet'!C22/'Data Sheet'!C$17</f>
        <v>0.11611932904197887</v>
      </c>
      <c r="E9" s="71">
        <f>'Data Sheet'!D22/'Data Sheet'!D$17</f>
        <v>0.10783659194558098</v>
      </c>
      <c r="F9" s="71">
        <f>'Data Sheet'!E22/'Data Sheet'!E$17</f>
        <v>9.941685461703674E-2</v>
      </c>
      <c r="G9" s="71">
        <f>'Data Sheet'!F22/'Data Sheet'!F$17</f>
        <v>0.1057711359154309</v>
      </c>
      <c r="H9" s="71">
        <f>'Data Sheet'!G22/'Data Sheet'!G$17</f>
        <v>0.10643403001421989</v>
      </c>
      <c r="I9" s="71">
        <f>'Data Sheet'!H22/'Data Sheet'!H$17</f>
        <v>0.11700183931589778</v>
      </c>
      <c r="J9" s="71">
        <f>'Data Sheet'!I22/'Data Sheet'!I$17</f>
        <v>0.11731118529838679</v>
      </c>
      <c r="K9" s="71">
        <f>'Data Sheet'!J22/'Data Sheet'!J$17</f>
        <v>0.10946651604860118</v>
      </c>
      <c r="L9" s="71">
        <f>'Data Sheet'!K22/'Data Sheet'!K$17</f>
        <v>0.10157906786635079</v>
      </c>
    </row>
    <row r="10" spans="2:14" x14ac:dyDescent="0.3">
      <c r="B10" s="70" t="str">
        <f>'Data Sheet'!A23</f>
        <v>Selling and admin</v>
      </c>
      <c r="C10" s="71">
        <f>'Data Sheet'!B23/'Data Sheet'!B$17</f>
        <v>4.8180412263408315E-2</v>
      </c>
      <c r="D10" s="71">
        <f>'Data Sheet'!C23/'Data Sheet'!C$17</f>
        <v>4.5425531261536735E-2</v>
      </c>
      <c r="E10" s="71">
        <f>'Data Sheet'!D23/'Data Sheet'!D$17</f>
        <v>4.2895095010027223E-2</v>
      </c>
      <c r="F10" s="71">
        <f>'Data Sheet'!E23/'Data Sheet'!E$17</f>
        <v>3.7087700219682745E-2</v>
      </c>
      <c r="G10" s="71">
        <f>'Data Sheet'!F23/'Data Sheet'!F$17</f>
        <v>3.4308653401619732E-2</v>
      </c>
      <c r="H10" s="71">
        <f>'Data Sheet'!G23/'Data Sheet'!G$17</f>
        <v>3.7187481525043482E-2</v>
      </c>
      <c r="I10" s="71">
        <f>'Data Sheet'!H23/'Data Sheet'!H$17</f>
        <v>3.9774406283055438E-2</v>
      </c>
      <c r="J10" s="71">
        <f>'Data Sheet'!I23/'Data Sheet'!I$17</f>
        <v>3.8534957150357492E-2</v>
      </c>
      <c r="K10" s="71">
        <f>'Data Sheet'!J23/'Data Sheet'!J$17</f>
        <v>0.30876203979128852</v>
      </c>
      <c r="L10" s="71">
        <f>'Data Sheet'!K23/'Data Sheet'!K$17</f>
        <v>0.31271889195692937</v>
      </c>
    </row>
    <row r="11" spans="2:14" x14ac:dyDescent="0.3">
      <c r="B11" s="70" t="str">
        <f>'Data Sheet'!A24</f>
        <v>Other Expenses</v>
      </c>
      <c r="C11" s="71">
        <f>'Data Sheet'!B24/'Data Sheet'!B$17</f>
        <v>0.15295141538619375</v>
      </c>
      <c r="D11" s="71">
        <f>'Data Sheet'!C24/'Data Sheet'!C$17</f>
        <v>0.14667779425382499</v>
      </c>
      <c r="E11" s="71">
        <f>'Data Sheet'!D24/'Data Sheet'!D$17</f>
        <v>0.18011606343882081</v>
      </c>
      <c r="F11" s="71">
        <f>'Data Sheet'!E24/'Data Sheet'!E$17</f>
        <v>0.18274709744339948</v>
      </c>
      <c r="G11" s="71">
        <f>'Data Sheet'!F24/'Data Sheet'!F$17</f>
        <v>0.22137390273730212</v>
      </c>
      <c r="H11" s="71">
        <f>'Data Sheet'!G24/'Data Sheet'!G$17</f>
        <v>0.25160580432570689</v>
      </c>
      <c r="I11" s="71">
        <f>'Data Sheet'!H24/'Data Sheet'!H$17</f>
        <v>0.24624079744345165</v>
      </c>
      <c r="J11" s="71">
        <f>'Data Sheet'!I24/'Data Sheet'!I$17</f>
        <v>0.20060689629323583</v>
      </c>
      <c r="K11" s="71">
        <f>'Data Sheet'!J24/'Data Sheet'!J$17</f>
        <v>0.18441688957712596</v>
      </c>
      <c r="L11" s="71">
        <f>'Data Sheet'!K24/'Data Sheet'!K$17</f>
        <v>0.1298417923518933</v>
      </c>
    </row>
    <row r="12" spans="2:14" x14ac:dyDescent="0.3">
      <c r="B12" s="70" t="str">
        <f>'Data Sheet'!A25</f>
        <v>Other Income</v>
      </c>
      <c r="C12" s="71">
        <f>'Data Sheet'!B25/'Data Sheet'!B$17</f>
        <v>0.17750749031531204</v>
      </c>
      <c r="D12" s="71">
        <f>'Data Sheet'!C25/'Data Sheet'!C$17</f>
        <v>0.17612723117562321</v>
      </c>
      <c r="E12" s="71">
        <f>'Data Sheet'!D25/'Data Sheet'!D$17</f>
        <v>0.18826364930803735</v>
      </c>
      <c r="F12" s="71">
        <f>'Data Sheet'!E25/'Data Sheet'!E$17</f>
        <v>0.18017227722056728</v>
      </c>
      <c r="G12" s="71">
        <f>'Data Sheet'!F25/'Data Sheet'!F$17</f>
        <v>0.20361007089901254</v>
      </c>
      <c r="H12" s="71">
        <f>'Data Sheet'!G25/'Data Sheet'!G$17</f>
        <v>0.21262053450577353</v>
      </c>
      <c r="I12" s="71">
        <f>'Data Sheet'!H25/'Data Sheet'!H$17</f>
        <v>0.23363122507060471</v>
      </c>
      <c r="J12" s="71">
        <f>'Data Sheet'!I25/'Data Sheet'!I$17</f>
        <v>0.19860173155482991</v>
      </c>
      <c r="K12" s="71">
        <f>'Data Sheet'!J25/'Data Sheet'!J$17</f>
        <v>0.43837891631002285</v>
      </c>
      <c r="L12" s="71">
        <f>'Data Sheet'!K25/'Data Sheet'!K$17</f>
        <v>0.40000454265146895</v>
      </c>
    </row>
    <row r="13" spans="2:14" x14ac:dyDescent="0.3">
      <c r="B13" s="70" t="str">
        <f>'Data Sheet'!A26</f>
        <v>Depreciation</v>
      </c>
      <c r="C13" s="71">
        <f>'Data Sheet'!B26/'Data Sheet'!B$17</f>
        <v>1.1684796892287018E-2</v>
      </c>
      <c r="D13" s="71">
        <f>'Data Sheet'!C26/'Data Sheet'!C$17</f>
        <v>1.2094631803563056E-2</v>
      </c>
      <c r="E13" s="71">
        <f>'Data Sheet'!D26/'Data Sheet'!D$17</f>
        <v>1.1335496361497723E-2</v>
      </c>
      <c r="F13" s="71">
        <f>'Data Sheet'!E26/'Data Sheet'!E$17</f>
        <v>1.1607658903883713E-2</v>
      </c>
      <c r="G13" s="71">
        <f>'Data Sheet'!F26/'Data Sheet'!F$17</f>
        <v>1.0449115466666515E-2</v>
      </c>
      <c r="H13" s="71">
        <f>'Data Sheet'!G26/'Data Sheet'!G$17</f>
        <v>1.0773894536391387E-2</v>
      </c>
      <c r="I13" s="71">
        <f>'Data Sheet'!H26/'Data Sheet'!H$17</f>
        <v>1.2364089944702821E-2</v>
      </c>
      <c r="J13" s="71">
        <f>'Data Sheet'!I26/'Data Sheet'!I$17</f>
        <v>1.3735955311162458E-2</v>
      </c>
      <c r="K13" s="71">
        <f>'Data Sheet'!J26/'Data Sheet'!J$17</f>
        <v>1.090107767691212E-2</v>
      </c>
      <c r="L13" s="71">
        <f>'Data Sheet'!K26/'Data Sheet'!K$17</f>
        <v>1.1312718356827831E-2</v>
      </c>
    </row>
    <row r="14" spans="2:14" x14ac:dyDescent="0.3">
      <c r="B14" s="70" t="str">
        <f>'Data Sheet'!A27</f>
        <v>Interest</v>
      </c>
      <c r="C14" s="71">
        <f>'Data Sheet'!B27/'Data Sheet'!B$17</f>
        <v>0.53940355494702796</v>
      </c>
      <c r="D14" s="71">
        <f>'Data Sheet'!C27/'Data Sheet'!C$17</f>
        <v>0.51918764974304421</v>
      </c>
      <c r="E14" s="71">
        <f>'Data Sheet'!D27/'Data Sheet'!D$17</f>
        <v>0.49692289076613977</v>
      </c>
      <c r="F14" s="71">
        <f>'Data Sheet'!E27/'Data Sheet'!E$17</f>
        <v>0.51076751647050034</v>
      </c>
      <c r="G14" s="71">
        <f>'Data Sheet'!F27/'Data Sheet'!F$17</f>
        <v>0.50853409492763235</v>
      </c>
      <c r="H14" s="71">
        <f>'Data Sheet'!G27/'Data Sheet'!G$17</f>
        <v>0.46088279954322126</v>
      </c>
      <c r="I14" s="71">
        <f>'Data Sheet'!H27/'Data Sheet'!H$17</f>
        <v>0.43096864188189171</v>
      </c>
      <c r="J14" s="71">
        <f>'Data Sheet'!I27/'Data Sheet'!I$17</f>
        <v>0.45550861019109068</v>
      </c>
      <c r="K14" s="71">
        <f>'Data Sheet'!J27/'Data Sheet'!J$17</f>
        <v>0.54341294745174862</v>
      </c>
      <c r="L14" s="71">
        <f>'Data Sheet'!K27/'Data Sheet'!K$17</f>
        <v>0.54670632052574175</v>
      </c>
    </row>
    <row r="15" spans="2:14" x14ac:dyDescent="0.3">
      <c r="B15" s="70" t="str">
        <f>'Data Sheet'!A28</f>
        <v>Profit before tax</v>
      </c>
      <c r="C15" s="71">
        <f>'Data Sheet'!B28/'Data Sheet'!B$17</f>
        <v>0.30890608148373794</v>
      </c>
      <c r="D15" s="71">
        <f>'Data Sheet'!C28/'Data Sheet'!C$17</f>
        <v>0.31926489685258974</v>
      </c>
      <c r="E15" s="71">
        <f>'Data Sheet'!D28/'Data Sheet'!D$17</f>
        <v>0.33373948736420106</v>
      </c>
      <c r="F15" s="71">
        <f>'Data Sheet'!E28/'Data Sheet'!E$17</f>
        <v>0.32634003906781184</v>
      </c>
      <c r="G15" s="71">
        <f>'Data Sheet'!F28/'Data Sheet'!F$17</f>
        <v>0.31258762531478823</v>
      </c>
      <c r="H15" s="71">
        <f>'Data Sheet'!G28/'Data Sheet'!G$17</f>
        <v>0.3329082148602438</v>
      </c>
      <c r="I15" s="71">
        <f>'Data Sheet'!H28/'Data Sheet'!H$17</f>
        <v>0.37424395715614378</v>
      </c>
      <c r="J15" s="71">
        <f>'Data Sheet'!I28/'Data Sheet'!I$17</f>
        <v>0.36015772393099904</v>
      </c>
      <c r="K15" s="71">
        <f>'Data Sheet'!J28/'Data Sheet'!J$17</f>
        <v>0.26994135216825355</v>
      </c>
      <c r="L15" s="71">
        <f>'Data Sheet'!K28/'Data Sheet'!K$17</f>
        <v>0.28612178652374282</v>
      </c>
    </row>
    <row r="16" spans="2:14" x14ac:dyDescent="0.3">
      <c r="B16" s="70" t="str">
        <f>'Data Sheet'!A29</f>
        <v>Tax</v>
      </c>
      <c r="C16" s="71">
        <f>'Data Sheet'!B29/'Data Sheet'!B$17</f>
        <v>0.10597679981305085</v>
      </c>
      <c r="D16" s="71">
        <f>'Data Sheet'!C29/'Data Sheet'!C$17</f>
        <v>0.1102493675904702</v>
      </c>
      <c r="E16" s="71">
        <f>'Data Sheet'!D29/'Data Sheet'!D$17</f>
        <v>0.11611362182463526</v>
      </c>
      <c r="F16" s="71">
        <f>'Data Sheet'!E29/'Data Sheet'!E$17</f>
        <v>0.11289907241048322</v>
      </c>
      <c r="G16" s="71">
        <f>'Data Sheet'!F29/'Data Sheet'!F$17</f>
        <v>8.9194314820881609E-2</v>
      </c>
      <c r="H16" s="71">
        <f>'Data Sheet'!G29/'Data Sheet'!G$17</f>
        <v>8.5096660972490593E-2</v>
      </c>
      <c r="I16" s="71">
        <f>'Data Sheet'!H29/'Data Sheet'!H$17</f>
        <v>9.3591407923749051E-2</v>
      </c>
      <c r="J16" s="71">
        <f>'Data Sheet'!I29/'Data Sheet'!I$17</f>
        <v>8.9893563285907432E-2</v>
      </c>
      <c r="K16" s="71">
        <f>'Data Sheet'!J29/'Data Sheet'!J$17</f>
        <v>3.9210782395793224E-2</v>
      </c>
      <c r="L16" s="71">
        <f>'Data Sheet'!K29/'Data Sheet'!K$17</f>
        <v>6.7788608427397395E-2</v>
      </c>
    </row>
    <row r="17" spans="2:12" x14ac:dyDescent="0.3">
      <c r="B17" s="70" t="str">
        <f>'Data Sheet'!A30</f>
        <v>Net profit</v>
      </c>
      <c r="C17" s="71">
        <f>'Data Sheet'!B30/'Data Sheet'!B$17</f>
        <v>0.20267596303827834</v>
      </c>
      <c r="D17" s="71">
        <f>'Data Sheet'!C30/'Data Sheet'!C$17</f>
        <v>0.20854645096616889</v>
      </c>
      <c r="E17" s="71">
        <f>'Data Sheet'!D30/'Data Sheet'!D$17</f>
        <v>0.2170300009942801</v>
      </c>
      <c r="F17" s="71">
        <f>'Data Sheet'!E30/'Data Sheet'!E$17</f>
        <v>0.21236470949139383</v>
      </c>
      <c r="G17" s="71">
        <f>'Data Sheet'!F30/'Data Sheet'!F$17</f>
        <v>0.22304696262659357</v>
      </c>
      <c r="H17" s="71">
        <f>'Data Sheet'!G30/'Data Sheet'!G$17</f>
        <v>0.24762828231911657</v>
      </c>
      <c r="I17" s="71">
        <f>'Data Sheet'!H30/'Data Sheet'!H$17</f>
        <v>0.27993052045438011</v>
      </c>
      <c r="J17" s="71">
        <f>'Data Sheet'!I30/'Data Sheet'!I$17</f>
        <v>0.26937639253651674</v>
      </c>
      <c r="K17" s="71">
        <f>'Data Sheet'!J30/'Data Sheet'!J$17</f>
        <v>0.2258496785922264</v>
      </c>
      <c r="L17" s="71">
        <f>'Data Sheet'!K30/'Data Sheet'!K$17</f>
        <v>0.21046107228633879</v>
      </c>
    </row>
    <row r="18" spans="2:12" x14ac:dyDescent="0.3">
      <c r="B18" s="70" t="str">
        <f>'Data Sheet'!A31</f>
        <v>Dividend Amount</v>
      </c>
      <c r="C18" s="71">
        <f>'Data Sheet'!B31/'Data Sheet'!B$17</f>
        <v>3.8026134883305605E-2</v>
      </c>
      <c r="D18" s="71">
        <f>'Data Sheet'!C31/'Data Sheet'!C$17</f>
        <v>3.8470698301587183E-2</v>
      </c>
      <c r="E18" s="71">
        <f>'Data Sheet'!D31/'Data Sheet'!D$17</f>
        <v>3.9555814756241925E-2</v>
      </c>
      <c r="F18" s="71">
        <f>'Data Sheet'!E31/'Data Sheet'!E$17</f>
        <v>3.884481984436397E-2</v>
      </c>
      <c r="G18" s="71">
        <f>'Data Sheet'!F31/'Data Sheet'!F$17</f>
        <v>1.1218822860825201E-2</v>
      </c>
      <c r="H18" s="71">
        <f>'Data Sheet'!G31/'Data Sheet'!G$17</f>
        <v>2.787439207669402E-2</v>
      </c>
      <c r="I18" s="71">
        <f>'Data Sheet'!H31/'Data Sheet'!H$17</f>
        <v>6.3231918512486829E-2</v>
      </c>
      <c r="J18" s="71">
        <f>'Data Sheet'!I31/'Data Sheet'!I$17</f>
        <v>6.2085965164515866E-2</v>
      </c>
      <c r="K18" s="71">
        <f>'Data Sheet'!J31/'Data Sheet'!J$17</f>
        <v>5.2226374693626648E-2</v>
      </c>
      <c r="L18" s="71">
        <f>'Data Sheet'!K31/'Data Sheet'!K$17</f>
        <v>5.004895985321766E-2</v>
      </c>
    </row>
    <row r="19" spans="2:12" x14ac:dyDescent="0.3">
      <c r="B19" s="70" t="str">
        <f>'Data Sheet'!A32</f>
        <v>EBITDA</v>
      </c>
      <c r="C19" s="71">
        <f>'Data Sheet'!B32/'Data Sheet'!B$17</f>
        <v>0.85974111469064407</v>
      </c>
      <c r="D19" s="71">
        <f>'Data Sheet'!C32/'Data Sheet'!C$17</f>
        <v>0.85007810010324636</v>
      </c>
      <c r="E19" s="71">
        <f>'Data Sheet'!D32/'Data Sheet'!D$17</f>
        <v>0.84140200994655279</v>
      </c>
      <c r="F19" s="71">
        <f>'Data Sheet'!E32/'Data Sheet'!E$17</f>
        <v>0.84763895727626104</v>
      </c>
      <c r="G19" s="71">
        <f>'Data Sheet'!F32/'Data Sheet'!F$17</f>
        <v>0.83122448784177405</v>
      </c>
      <c r="H19" s="71">
        <f>'Data Sheet'!G32/'Data Sheet'!G$17</f>
        <v>0.80438163737121982</v>
      </c>
      <c r="I19" s="71">
        <f>'Data Sheet'!H32/'Data Sheet'!H$17</f>
        <v>0.81685466020472364</v>
      </c>
      <c r="J19" s="71">
        <f>'Data Sheet'!I32/'Data Sheet'!I$17</f>
        <v>0.82851452132467718</v>
      </c>
      <c r="K19" s="71">
        <f>'Data Sheet'!J32/'Data Sheet'!J$17</f>
        <v>0.81937448611668029</v>
      </c>
      <c r="L19" s="71">
        <f>'Data Sheet'!K32/'Data Sheet'!K$17</f>
        <v>0.83626871959630578</v>
      </c>
    </row>
    <row r="20" spans="2:12" x14ac:dyDescent="0.3">
      <c r="B20" s="70"/>
    </row>
    <row r="21" spans="2:12" ht="15.6" x14ac:dyDescent="0.3">
      <c r="B21" s="83" t="s">
        <v>169</v>
      </c>
      <c r="C21" s="83"/>
      <c r="D21" s="83"/>
      <c r="E21" s="83"/>
      <c r="F21" s="83"/>
      <c r="G21" s="83"/>
      <c r="H21" s="83"/>
      <c r="I21" s="83"/>
      <c r="J21" s="83"/>
      <c r="K21" s="83"/>
      <c r="L21" s="83"/>
    </row>
    <row r="22" spans="2:12" ht="15.6" x14ac:dyDescent="0.3"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</row>
    <row r="23" spans="2:12" x14ac:dyDescent="0.3">
      <c r="B23" s="73" t="str">
        <f>B5</f>
        <v xml:space="preserve">Particular </v>
      </c>
      <c r="C23" s="73">
        <f t="shared" ref="C23:L23" si="0">C5</f>
        <v>42460</v>
      </c>
      <c r="D23" s="73">
        <f t="shared" si="0"/>
        <v>42825</v>
      </c>
      <c r="E23" s="73">
        <f t="shared" si="0"/>
        <v>43190</v>
      </c>
      <c r="F23" s="73">
        <f t="shared" si="0"/>
        <v>43555</v>
      </c>
      <c r="G23" s="73">
        <f t="shared" si="0"/>
        <v>43921</v>
      </c>
      <c r="H23" s="73">
        <f t="shared" si="0"/>
        <v>44286</v>
      </c>
      <c r="I23" s="73">
        <f t="shared" si="0"/>
        <v>44651</v>
      </c>
      <c r="J23" s="73">
        <f t="shared" si="0"/>
        <v>45016</v>
      </c>
      <c r="K23" s="73">
        <f t="shared" si="0"/>
        <v>45382</v>
      </c>
      <c r="L23" s="73">
        <f t="shared" si="0"/>
        <v>45747</v>
      </c>
    </row>
    <row r="24" spans="2:12" x14ac:dyDescent="0.3"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</row>
    <row r="25" spans="2:12" x14ac:dyDescent="0.3">
      <c r="B25" s="75" t="s">
        <v>170</v>
      </c>
      <c r="C25" s="20">
        <f>'Data Sheet'!B61/'Data Sheet'!B$61</f>
        <v>1</v>
      </c>
      <c r="D25" s="20">
        <f>'Data Sheet'!C61/'Data Sheet'!C$61</f>
        <v>1</v>
      </c>
      <c r="E25" s="20">
        <f>'Data Sheet'!D61/'Data Sheet'!D$61</f>
        <v>1</v>
      </c>
      <c r="F25" s="20">
        <f>'Data Sheet'!E61/'Data Sheet'!E$61</f>
        <v>1</v>
      </c>
      <c r="G25" s="20">
        <f>'Data Sheet'!F61/'Data Sheet'!F$61</f>
        <v>1</v>
      </c>
      <c r="H25" s="20">
        <f>'Data Sheet'!G61/'Data Sheet'!G$61</f>
        <v>1</v>
      </c>
      <c r="I25" s="20">
        <f>'Data Sheet'!H61/'Data Sheet'!H$61</f>
        <v>1</v>
      </c>
      <c r="J25" s="20">
        <f>'Data Sheet'!I61/'Data Sheet'!I$61</f>
        <v>1</v>
      </c>
      <c r="K25" s="20">
        <f>'Data Sheet'!J61/'Data Sheet'!J$61</f>
        <v>1</v>
      </c>
      <c r="L25" s="20">
        <f>'Data Sheet'!K61/'Data Sheet'!K$61</f>
        <v>1</v>
      </c>
    </row>
    <row r="26" spans="2:12" x14ac:dyDescent="0.3">
      <c r="B26" s="70" t="str">
        <f>'Data Sheet'!A57</f>
        <v>Equity Share Capital</v>
      </c>
      <c r="C26" s="20">
        <f>'Data Sheet'!B57/'Data Sheet'!B$61</f>
        <v>6.6338470279010046E-4</v>
      </c>
      <c r="D26" s="20">
        <f>'Data Sheet'!C57/'Data Sheet'!C$61</f>
        <v>5.7434118244243336E-4</v>
      </c>
      <c r="E26" s="20">
        <f>'Data Sheet'!D57/'Data Sheet'!D$61</f>
        <v>4.7047362821816375E-4</v>
      </c>
      <c r="F26" s="20">
        <f>'Data Sheet'!E57/'Data Sheet'!E$61</f>
        <v>4.2130073822152286E-4</v>
      </c>
      <c r="G26" s="20">
        <f>'Data Sheet'!F57/'Data Sheet'!F$61</f>
        <v>3.4686199708339373E-4</v>
      </c>
      <c r="H26" s="20">
        <f>'Data Sheet'!G57/'Data Sheet'!G$61</f>
        <v>3.0635063567395693E-4</v>
      </c>
      <c r="I26" s="20">
        <f>'Data Sheet'!H57/'Data Sheet'!H$61</f>
        <v>2.6121863498083762E-4</v>
      </c>
      <c r="J26" s="20">
        <f>'Data Sheet'!I57/'Data Sheet'!I$61</f>
        <v>2.2050381238394179E-4</v>
      </c>
      <c r="K26" s="20">
        <f>'Data Sheet'!J57/'Data Sheet'!J$61</f>
        <v>1.8849959852803723E-4</v>
      </c>
      <c r="L26" s="20">
        <f>'Data Sheet'!K57/'Data Sheet'!K$61</f>
        <v>1.7422606210191243E-4</v>
      </c>
    </row>
    <row r="27" spans="2:12" x14ac:dyDescent="0.3">
      <c r="B27" s="70" t="str">
        <f>'Data Sheet'!A58</f>
        <v>Reserves</v>
      </c>
      <c r="C27" s="20">
        <f>'Data Sheet'!B58/'Data Sheet'!B$61</f>
        <v>9.6821432946381236E-2</v>
      </c>
      <c r="D27" s="20">
        <f>'Data Sheet'!C58/'Data Sheet'!C$61</f>
        <v>0.10229398486790119</v>
      </c>
      <c r="E27" s="20">
        <f>'Data Sheet'!D58/'Data Sheet'!D$61</f>
        <v>9.8877336361096704E-2</v>
      </c>
      <c r="F27" s="20">
        <f>'Data Sheet'!E58/'Data Sheet'!E$61</f>
        <v>0.11844625902835779</v>
      </c>
      <c r="G27" s="20">
        <f>'Data Sheet'!F58/'Data Sheet'!F$61</f>
        <v>0.11121393962539045</v>
      </c>
      <c r="H27" s="20">
        <f>'Data Sheet'!G58/'Data Sheet'!G$61</f>
        <v>0.11628681801522454</v>
      </c>
      <c r="I27" s="20">
        <f>'Data Sheet'!H58/'Data Sheet'!H$61</f>
        <v>0.11624081819206558</v>
      </c>
      <c r="J27" s="20">
        <f>'Data Sheet'!I58/'Data Sheet'!I$61</f>
        <v>0.11416211926211317</v>
      </c>
      <c r="K27" s="20">
        <f>'Data Sheet'!J58/'Data Sheet'!J$61</f>
        <v>0.11305548333543605</v>
      </c>
      <c r="L27" s="20">
        <f>'Data Sheet'!K58/'Data Sheet'!K$61</f>
        <v>0.11862730900788972</v>
      </c>
    </row>
    <row r="28" spans="2:12" x14ac:dyDescent="0.3">
      <c r="B28" s="70" t="str">
        <f>'Data Sheet'!A59</f>
        <v>Borrowings</v>
      </c>
      <c r="C28" s="20">
        <f>'Data Sheet'!B59/'Data Sheet'!B$61</f>
        <v>0.8522392310289707</v>
      </c>
      <c r="D28" s="20">
        <f>'Data Sheet'!C59/'Data Sheet'!C$61</f>
        <v>0.83101332786220061</v>
      </c>
      <c r="E28" s="20">
        <f>'Data Sheet'!D59/'Data Sheet'!D$61</f>
        <v>0.85644403972178151</v>
      </c>
      <c r="F28" s="20">
        <f>'Data Sheet'!E59/'Data Sheet'!E$61</f>
        <v>0.8355744808707567</v>
      </c>
      <c r="G28" s="20">
        <f>'Data Sheet'!F59/'Data Sheet'!F$61</f>
        <v>0.8432539156018144</v>
      </c>
      <c r="H28" s="20">
        <f>'Data Sheet'!G59/'Data Sheet'!G$61</f>
        <v>0.83990666930746471</v>
      </c>
      <c r="I28" s="20">
        <f>'Data Sheet'!H59/'Data Sheet'!H$61</f>
        <v>0.84080300082767523</v>
      </c>
      <c r="J28" s="20">
        <f>'Data Sheet'!I59/'Data Sheet'!I$61</f>
        <v>0.84539380549515886</v>
      </c>
      <c r="K28" s="20">
        <f>'Data Sheet'!J59/'Data Sheet'!J$61</f>
        <v>0.7710553237699268</v>
      </c>
      <c r="L28" s="20">
        <f>'Data Sheet'!K59/'Data Sheet'!K$61</f>
        <v>0.76170768252395904</v>
      </c>
    </row>
    <row r="29" spans="2:12" x14ac:dyDescent="0.3">
      <c r="B29" s="70" t="str">
        <f>'Data Sheet'!A60</f>
        <v>Other Liabilities</v>
      </c>
      <c r="C29" s="20">
        <f>'Data Sheet'!B60/'Data Sheet'!B$61</f>
        <v>5.0275951321858046E-2</v>
      </c>
      <c r="D29" s="20">
        <f>'Data Sheet'!C60/'Data Sheet'!C$61</f>
        <v>6.6118346087455759E-2</v>
      </c>
      <c r="E29" s="20">
        <f>'Data Sheet'!D60/'Data Sheet'!D$61</f>
        <v>4.4208150288903646E-2</v>
      </c>
      <c r="F29" s="20">
        <f>'Data Sheet'!E60/'Data Sheet'!E$61</f>
        <v>4.5557959362664012E-2</v>
      </c>
      <c r="G29" s="20">
        <f>'Data Sheet'!F60/'Data Sheet'!F$61</f>
        <v>4.5185282775711752E-2</v>
      </c>
      <c r="H29" s="20">
        <f>'Data Sheet'!G60/'Data Sheet'!G$61</f>
        <v>4.3500162041636939E-2</v>
      </c>
      <c r="I29" s="20">
        <f>'Data Sheet'!H60/'Data Sheet'!H$61</f>
        <v>4.2694962345278427E-2</v>
      </c>
      <c r="J29" s="20">
        <f>'Data Sheet'!I60/'Data Sheet'!I$61</f>
        <v>4.0223571430344135E-2</v>
      </c>
      <c r="K29" s="20">
        <f>'Data Sheet'!J60/'Data Sheet'!J$61</f>
        <v>0.11570069329610927</v>
      </c>
      <c r="L29" s="20">
        <f>'Data Sheet'!K60/'Data Sheet'!K$61</f>
        <v>0.11949078240604925</v>
      </c>
    </row>
    <row r="30" spans="2:12" x14ac:dyDescent="0.3">
      <c r="B30" s="70"/>
    </row>
    <row r="31" spans="2:12" x14ac:dyDescent="0.3">
      <c r="B31" s="76" t="s">
        <v>171</v>
      </c>
      <c r="C31" s="71">
        <f>'Data Sheet'!B76/'Data Sheet'!B$76</f>
        <v>1</v>
      </c>
      <c r="D31" s="71">
        <f>'Data Sheet'!C76/'Data Sheet'!C$76</f>
        <v>1</v>
      </c>
      <c r="E31" s="71">
        <f>'Data Sheet'!D76/'Data Sheet'!D$76</f>
        <v>1</v>
      </c>
      <c r="F31" s="71">
        <f>'Data Sheet'!E76/'Data Sheet'!E$76</f>
        <v>1</v>
      </c>
      <c r="G31" s="71">
        <f>'Data Sheet'!F76/'Data Sheet'!F$76</f>
        <v>1</v>
      </c>
      <c r="H31" s="71">
        <f>'Data Sheet'!G76/'Data Sheet'!G$76</f>
        <v>1</v>
      </c>
      <c r="I31" s="71">
        <f>'Data Sheet'!H76/'Data Sheet'!H$76</f>
        <v>1</v>
      </c>
      <c r="J31" s="71">
        <f>'Data Sheet'!I76/'Data Sheet'!I$76</f>
        <v>1</v>
      </c>
      <c r="K31" s="71">
        <f>'Data Sheet'!J76/'Data Sheet'!J$76</f>
        <v>1</v>
      </c>
      <c r="L31" s="71">
        <f>'Data Sheet'!K76/'Data Sheet'!K$76</f>
        <v>1</v>
      </c>
    </row>
    <row r="32" spans="2:12" x14ac:dyDescent="0.3">
      <c r="B32" s="70" t="str">
        <f>'Data Sheet'!A62</f>
        <v>Net Block</v>
      </c>
      <c r="C32" s="71">
        <f>'Data Sheet'!B62/'Data Sheet'!B$76</f>
        <v>4.8108117064965357E-3</v>
      </c>
      <c r="D32" s="71">
        <f>'Data Sheet'!C62/'Data Sheet'!C$76</f>
        <v>4.4822392293126E-3</v>
      </c>
      <c r="E32" s="71">
        <f>'Data Sheet'!D62/'Data Sheet'!D$76</f>
        <v>3.6332308263074039E-3</v>
      </c>
      <c r="F32" s="71">
        <f>'Data Sheet'!E62/'Data Sheet'!E$76</f>
        <v>3.3791852605601505E-3</v>
      </c>
      <c r="G32" s="71">
        <f>'Data Sheet'!F62/'Data Sheet'!F$76</f>
        <v>3.0209755008321795E-3</v>
      </c>
      <c r="H32" s="71">
        <f>'Data Sheet'!G62/'Data Sheet'!G$76</f>
        <v>2.9165494099902263E-3</v>
      </c>
      <c r="I32" s="71">
        <f>'Data Sheet'!H62/'Data Sheet'!H$76</f>
        <v>3.0298017230208211E-3</v>
      </c>
      <c r="J32" s="71">
        <f>'Data Sheet'!I62/'Data Sheet'!I$76</f>
        <v>3.3319798887813819E-3</v>
      </c>
      <c r="K32" s="71">
        <f>'Data Sheet'!J62/'Data Sheet'!J$76</f>
        <v>3.1273331226470461E-3</v>
      </c>
      <c r="L32" s="71">
        <f>'Data Sheet'!K62/'Data Sheet'!K$76</f>
        <v>3.4739431823361303E-3</v>
      </c>
    </row>
    <row r="33" spans="2:12" x14ac:dyDescent="0.3">
      <c r="B33" s="70" t="str">
        <f>'Data Sheet'!A64</f>
        <v>Investments</v>
      </c>
      <c r="C33" s="71">
        <f>'Data Sheet'!B64/'Data Sheet'!B$76</f>
        <v>0.25404187570673387</v>
      </c>
      <c r="D33" s="71">
        <f>'Data Sheet'!C64/'Data Sheet'!C$76</f>
        <v>0.23620607322627626</v>
      </c>
      <c r="E33" s="71">
        <f>'Data Sheet'!D64/'Data Sheet'!D$76</f>
        <v>0.21615655315911006</v>
      </c>
      <c r="F33" s="71">
        <f>'Data Sheet'!E64/'Data Sheet'!E$76</f>
        <v>0.22388969027681663</v>
      </c>
      <c r="G33" s="71">
        <f>'Data Sheet'!F64/'Data Sheet'!F$76</f>
        <v>0.24626610331634369</v>
      </c>
      <c r="H33" s="71">
        <f>'Data Sheet'!G64/'Data Sheet'!G$76</f>
        <v>0.24385745664076827</v>
      </c>
      <c r="I33" s="71">
        <f>'Data Sheet'!H64/'Data Sheet'!H$76</f>
        <v>0.21162400550973245</v>
      </c>
      <c r="J33" s="71">
        <f>'Data Sheet'!I64/'Data Sheet'!I$76</f>
        <v>0.20217165331630038</v>
      </c>
      <c r="K33" s="71">
        <f>'Data Sheet'!J64/'Data Sheet'!J$76</f>
        <v>0.24953676302442057</v>
      </c>
      <c r="L33" s="71">
        <f>'Data Sheet'!K64/'Data Sheet'!K$76</f>
        <v>0.27013734535868833</v>
      </c>
    </row>
    <row r="34" spans="2:12" x14ac:dyDescent="0.3">
      <c r="B34" s="70" t="str">
        <f>'Data Sheet'!A65</f>
        <v>Other Assets</v>
      </c>
      <c r="C34" s="71">
        <f>'Data Sheet'!B74/'Data Sheet'!B$76</f>
        <v>0.70901866675392156</v>
      </c>
      <c r="D34" s="71">
        <f>'Data Sheet'!C74/'Data Sheet'!C$76</f>
        <v>0.72162075896815414</v>
      </c>
      <c r="E34" s="71">
        <f>'Data Sheet'!D74/'Data Sheet'!D$76</f>
        <v>0.69215786126107803</v>
      </c>
      <c r="F34" s="71">
        <f>'Data Sheet'!E74/'Data Sheet'!E$76</f>
        <v>0.74227633168482832</v>
      </c>
      <c r="G34" s="71">
        <f>'Data Sheet'!F74/'Data Sheet'!F$76</f>
        <v>0.7108620815200275</v>
      </c>
      <c r="H34" s="71">
        <f>'Data Sheet'!G74/'Data Sheet'!G$76</f>
        <v>0.70507492378619363</v>
      </c>
      <c r="I34" s="71">
        <f>'Data Sheet'!H74/'Data Sheet'!H$76</f>
        <v>0.72939005696031212</v>
      </c>
      <c r="J34" s="71">
        <f>'Data Sheet'!I74/'Data Sheet'!I$76</f>
        <v>0.75342910558007237</v>
      </c>
      <c r="K34" s="71">
        <f>'Data Sheet'!J74/'Data Sheet'!J$76</f>
        <v>0.7062315353503581</v>
      </c>
      <c r="L34" s="71">
        <f>'Data Sheet'!K74/'Data Sheet'!K$76</f>
        <v>0.69628305037171623</v>
      </c>
    </row>
    <row r="35" spans="2:12" x14ac:dyDescent="0.3">
      <c r="B35" s="70" t="str">
        <f>'Data Sheet'!A69</f>
        <v>Cash &amp; Bank</v>
      </c>
      <c r="C35" s="71">
        <f>'Data Sheet'!B69/'Data Sheet'!B$74</f>
        <v>4.5314245363865774E-2</v>
      </c>
      <c r="D35" s="71">
        <f>'Data Sheet'!C69/'Data Sheet'!C$74</f>
        <v>5.2230937244864217E-2</v>
      </c>
      <c r="E35" s="71">
        <f>'Data Sheet'!D69/'Data Sheet'!D$74</f>
        <v>0.12721426668921662</v>
      </c>
      <c r="F35" s="71">
        <f>'Data Sheet'!E69/'Data Sheet'!E$74</f>
        <v>4.102891534836927E-2</v>
      </c>
      <c r="G35" s="71">
        <f>'Data Sheet'!F69/'Data Sheet'!F$74</f>
        <v>5.6059875324316312E-2</v>
      </c>
      <c r="H35" s="71">
        <f>'Data Sheet'!G69/'Data Sheet'!G$74</f>
        <v>6.8292132564409941E-2</v>
      </c>
      <c r="I35" s="71">
        <f>'Data Sheet'!H69/'Data Sheet'!H$74</f>
        <v>7.6716340280437195E-2</v>
      </c>
      <c r="J35" s="71">
        <f>'Data Sheet'!I69/'Data Sheet'!I$74</f>
        <v>5.4507133996672279E-2</v>
      </c>
      <c r="K35" s="71">
        <f>'Data Sheet'!J69/'Data Sheet'!J$74</f>
        <v>5.8202397436391287E-2</v>
      </c>
      <c r="L35" s="71">
        <f>'Data Sheet'!K69/'Data Sheet'!K$74</f>
        <v>4.3237676216859137E-2</v>
      </c>
    </row>
    <row r="36" spans="2:12" x14ac:dyDescent="0.3">
      <c r="B36" s="70"/>
    </row>
    <row r="37" spans="2:12" x14ac:dyDescent="0.3">
      <c r="B37" s="70"/>
    </row>
    <row r="38" spans="2:12" x14ac:dyDescent="0.3">
      <c r="B38" s="70"/>
    </row>
    <row r="39" spans="2:12" x14ac:dyDescent="0.3">
      <c r="B39" s="70"/>
    </row>
    <row r="40" spans="2:12" x14ac:dyDescent="0.3">
      <c r="B40" s="70"/>
    </row>
    <row r="41" spans="2:12" x14ac:dyDescent="0.3">
      <c r="B41" s="70"/>
    </row>
    <row r="42" spans="2:12" x14ac:dyDescent="0.3">
      <c r="B42" s="70"/>
    </row>
    <row r="43" spans="2:12" x14ac:dyDescent="0.3">
      <c r="B43" s="70"/>
    </row>
    <row r="44" spans="2:12" x14ac:dyDescent="0.3">
      <c r="B44" s="70"/>
    </row>
    <row r="45" spans="2:12" x14ac:dyDescent="0.3">
      <c r="B45" s="70"/>
    </row>
    <row r="46" spans="2:12" x14ac:dyDescent="0.3">
      <c r="B46" s="70"/>
    </row>
    <row r="47" spans="2:12" x14ac:dyDescent="0.3">
      <c r="B47" s="70"/>
    </row>
    <row r="48" spans="2:12" x14ac:dyDescent="0.3">
      <c r="B48" s="70"/>
    </row>
    <row r="49" spans="2:2" x14ac:dyDescent="0.3">
      <c r="B49" s="70"/>
    </row>
    <row r="50" spans="2:2" x14ac:dyDescent="0.3">
      <c r="B50" s="70"/>
    </row>
    <row r="51" spans="2:2" x14ac:dyDescent="0.3">
      <c r="B51" s="70"/>
    </row>
    <row r="52" spans="2:2" x14ac:dyDescent="0.3">
      <c r="B52" s="70"/>
    </row>
    <row r="53" spans="2:2" x14ac:dyDescent="0.3">
      <c r="B53" s="70"/>
    </row>
    <row r="54" spans="2:2" x14ac:dyDescent="0.3">
      <c r="B54" s="70"/>
    </row>
    <row r="55" spans="2:2" x14ac:dyDescent="0.3">
      <c r="B55" s="70"/>
    </row>
    <row r="56" spans="2:2" x14ac:dyDescent="0.3">
      <c r="B56" s="70"/>
    </row>
    <row r="57" spans="2:2" x14ac:dyDescent="0.3">
      <c r="B57" s="70"/>
    </row>
    <row r="58" spans="2:2" x14ac:dyDescent="0.3">
      <c r="B58" s="70"/>
    </row>
    <row r="59" spans="2:2" x14ac:dyDescent="0.3">
      <c r="B59" s="70"/>
    </row>
    <row r="60" spans="2:2" x14ac:dyDescent="0.3">
      <c r="B60" s="70"/>
    </row>
    <row r="61" spans="2:2" x14ac:dyDescent="0.3">
      <c r="B61" s="70"/>
    </row>
    <row r="62" spans="2:2" x14ac:dyDescent="0.3">
      <c r="B62" s="70"/>
    </row>
    <row r="63" spans="2:2" x14ac:dyDescent="0.3">
      <c r="B63" s="70"/>
    </row>
    <row r="64" spans="2:2" x14ac:dyDescent="0.3">
      <c r="B64" s="70"/>
    </row>
    <row r="65" spans="2:2" x14ac:dyDescent="0.3">
      <c r="B65" s="70"/>
    </row>
    <row r="66" spans="2:2" x14ac:dyDescent="0.3">
      <c r="B66" s="70"/>
    </row>
  </sheetData>
  <mergeCells count="2">
    <mergeCell ref="B3:L3"/>
    <mergeCell ref="B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Historical </vt:lpstr>
      <vt:lpstr>Ratio Analysis </vt:lpstr>
      <vt:lpstr>forcasting</vt:lpstr>
      <vt:lpstr>Cash flow data </vt:lpstr>
      <vt:lpstr>Data Sheet</vt:lpstr>
      <vt:lpstr>common size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SHUBHAM .</cp:lastModifiedBy>
  <cp:lastPrinted>2025-07-20T15:17:29Z</cp:lastPrinted>
  <dcterms:created xsi:type="dcterms:W3CDTF">2012-08-17T09:55:37Z</dcterms:created>
  <dcterms:modified xsi:type="dcterms:W3CDTF">2025-08-21T14:17:40Z</dcterms:modified>
</cp:coreProperties>
</file>