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2" i="1" l="1"/>
  <c r="C36" i="1" l="1"/>
  <c r="L23" i="1"/>
  <c r="L25" i="1"/>
  <c r="C24" i="1"/>
  <c r="L13" i="1"/>
  <c r="L17" i="1"/>
  <c r="C15" i="1"/>
  <c r="C16" i="1"/>
  <c r="L19" i="1" l="1"/>
  <c r="L21" i="1" l="1"/>
  <c r="C28" i="1"/>
  <c r="L18" i="1"/>
  <c r="L16" i="1"/>
  <c r="L15" i="1"/>
  <c r="L30" i="1"/>
  <c r="C18" i="1" l="1"/>
  <c r="C4" i="1" s="1"/>
  <c r="G14" i="1"/>
  <c r="G15" i="1" s="1"/>
  <c r="G16" i="1" s="1"/>
  <c r="G13" i="1"/>
  <c r="F24" i="1"/>
  <c r="C6" i="1" l="1"/>
  <c r="L24" i="1"/>
  <c r="C21" i="1" s="1"/>
  <c r="C23" i="1" s="1"/>
  <c r="C22" i="1" l="1"/>
  <c r="C31" i="1" s="1"/>
  <c r="C25" i="1"/>
  <c r="C26" i="1" s="1"/>
  <c r="C27" i="1" s="1"/>
  <c r="C29" i="1" s="1"/>
  <c r="C20" i="1"/>
  <c r="L26" i="1"/>
  <c r="L28" i="1" s="1"/>
  <c r="L29" i="1" s="1"/>
  <c r="L31" i="1" s="1"/>
</calcChain>
</file>

<file path=xl/sharedStrings.xml><?xml version="1.0" encoding="utf-8"?>
<sst xmlns="http://schemas.openxmlformats.org/spreadsheetml/2006/main" count="99" uniqueCount="69">
  <si>
    <t>SHELL</t>
  </si>
  <si>
    <t>TUBE</t>
  </si>
  <si>
    <t>DATA</t>
  </si>
  <si>
    <t>(WATER)</t>
  </si>
  <si>
    <t>(OIL)</t>
  </si>
  <si>
    <t>Cp</t>
  </si>
  <si>
    <t>p</t>
  </si>
  <si>
    <t>u</t>
  </si>
  <si>
    <t>K</t>
  </si>
  <si>
    <t>tin</t>
  </si>
  <si>
    <t>tout</t>
  </si>
  <si>
    <t>FR</t>
  </si>
  <si>
    <t>LPM</t>
  </si>
  <si>
    <t>J/KgK</t>
  </si>
  <si>
    <t>Kg/m3</t>
  </si>
  <si>
    <t>Pa.s</t>
  </si>
  <si>
    <t>W/m2K</t>
  </si>
  <si>
    <t>Kg/s</t>
  </si>
  <si>
    <t>FRm</t>
  </si>
  <si>
    <t>Uassume</t>
  </si>
  <si>
    <t>din</t>
  </si>
  <si>
    <t>m</t>
  </si>
  <si>
    <t>in</t>
  </si>
  <si>
    <t>L</t>
  </si>
  <si>
    <t>A</t>
  </si>
  <si>
    <t>Q</t>
  </si>
  <si>
    <t>w</t>
  </si>
  <si>
    <t>w/m2K</t>
  </si>
  <si>
    <t>Dlmtd</t>
  </si>
  <si>
    <t>At</t>
  </si>
  <si>
    <t>Nt</t>
  </si>
  <si>
    <t>Across</t>
  </si>
  <si>
    <t>m2</t>
  </si>
  <si>
    <t>v</t>
  </si>
  <si>
    <t>m/s</t>
  </si>
  <si>
    <t>Passes</t>
  </si>
  <si>
    <t>Vactual</t>
  </si>
  <si>
    <t>dout</t>
  </si>
  <si>
    <t>t</t>
  </si>
  <si>
    <t>Re</t>
  </si>
  <si>
    <t>Pr</t>
  </si>
  <si>
    <t>hi</t>
  </si>
  <si>
    <t>Clearance</t>
  </si>
  <si>
    <t>Bd</t>
  </si>
  <si>
    <t>Tube B d</t>
  </si>
  <si>
    <t>B</t>
  </si>
  <si>
    <t>Ds</t>
  </si>
  <si>
    <t>De</t>
  </si>
  <si>
    <t>Assuming triangular pitch</t>
  </si>
  <si>
    <t>a</t>
  </si>
  <si>
    <t>b</t>
  </si>
  <si>
    <t>Pt</t>
  </si>
  <si>
    <t>Asflow</t>
  </si>
  <si>
    <t>ho</t>
  </si>
  <si>
    <t>NB</t>
  </si>
  <si>
    <t>Bt</t>
  </si>
  <si>
    <t>U</t>
  </si>
  <si>
    <t>error</t>
  </si>
  <si>
    <t>0.6to2 in</t>
  </si>
  <si>
    <t>6 to 16 ft</t>
  </si>
  <si>
    <t>1-2 m/s</t>
  </si>
  <si>
    <t>P</t>
  </si>
  <si>
    <t>R</t>
  </si>
  <si>
    <t>F</t>
  </si>
  <si>
    <t>SHELL side data</t>
  </si>
  <si>
    <t>rho</t>
  </si>
  <si>
    <t>viscosity</t>
  </si>
  <si>
    <t>heat capacity</t>
  </si>
  <si>
    <t>flow area  per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</si>
</sst>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25</xdr:row>
      <xdr:rowOff>171450</xdr:rowOff>
    </xdr:from>
    <xdr:to>
      <xdr:col>7</xdr:col>
      <xdr:colOff>371475</xdr:colOff>
      <xdr:row>30</xdr:row>
      <xdr:rowOff>47625</xdr:rowOff>
    </xdr:to>
    <xdr:pic>
      <xdr:nvPicPr>
        <xdr:cNvPr id="2" name="Picture 1" descr="C:\Users\Admin1\Pictures\Screenshots\Screenshot (52)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4943475"/>
          <a:ext cx="20764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7</xdr:col>
      <xdr:colOff>288290</xdr:colOff>
      <xdr:row>34</xdr:row>
      <xdr:rowOff>86360</xdr:rowOff>
    </xdr:to>
    <xdr:pic>
      <xdr:nvPicPr>
        <xdr:cNvPr id="3" name="Picture 2" descr="C:\Users\Admin1\Pictures\Screenshots\Screenshot (53)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05525"/>
          <a:ext cx="2117090" cy="46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6"/>
  <sheetViews>
    <sheetView tabSelected="1" topLeftCell="A12" zoomScaleNormal="100" workbookViewId="0">
      <selection activeCell="C29" sqref="C29"/>
    </sheetView>
  </sheetViews>
  <sheetFormatPr defaultRowHeight="15" x14ac:dyDescent="0.25"/>
  <cols>
    <col min="1" max="1" width="16.28515625" customWidth="1"/>
    <col min="2" max="2" width="12.7109375" customWidth="1"/>
    <col min="12" max="12" width="12" bestFit="1" customWidth="1"/>
    <col min="14" max="14" width="18.28515625" customWidth="1"/>
  </cols>
  <sheetData>
    <row r="4" spans="1:13" x14ac:dyDescent="0.25">
      <c r="B4" t="s">
        <v>25</v>
      </c>
      <c r="C4">
        <f>C18*C11*(C16-C15)</f>
        <v>2188750</v>
      </c>
      <c r="D4" t="s">
        <v>26</v>
      </c>
    </row>
    <row r="5" spans="1:13" x14ac:dyDescent="0.25">
      <c r="B5" t="s">
        <v>19</v>
      </c>
      <c r="C5">
        <v>282.39291326932226</v>
      </c>
      <c r="D5" t="s">
        <v>27</v>
      </c>
    </row>
    <row r="6" spans="1:13" x14ac:dyDescent="0.25">
      <c r="B6" t="s">
        <v>24</v>
      </c>
      <c r="C6">
        <f>C4/C5/$G$16</f>
        <v>135.93840750308794</v>
      </c>
    </row>
    <row r="9" spans="1:13" ht="15.75" x14ac:dyDescent="0.25">
      <c r="B9" s="2" t="s">
        <v>0</v>
      </c>
      <c r="C9" s="2" t="s">
        <v>3</v>
      </c>
      <c r="K9" s="2" t="s">
        <v>1</v>
      </c>
      <c r="L9" s="2" t="s">
        <v>4</v>
      </c>
    </row>
    <row r="10" spans="1:13" x14ac:dyDescent="0.25">
      <c r="B10" s="1" t="s">
        <v>2</v>
      </c>
      <c r="K10" s="1" t="s">
        <v>2</v>
      </c>
    </row>
    <row r="11" spans="1:13" x14ac:dyDescent="0.25">
      <c r="B11" t="s">
        <v>5</v>
      </c>
      <c r="C11">
        <v>4000</v>
      </c>
      <c r="D11" t="s">
        <v>13</v>
      </c>
      <c r="K11" t="s">
        <v>5</v>
      </c>
      <c r="L11">
        <v>3000</v>
      </c>
      <c r="M11" t="s">
        <v>13</v>
      </c>
    </row>
    <row r="12" spans="1:13" x14ac:dyDescent="0.25">
      <c r="A12" t="s">
        <v>64</v>
      </c>
      <c r="B12" t="s">
        <v>65</v>
      </c>
      <c r="C12">
        <v>1000</v>
      </c>
      <c r="D12" t="s">
        <v>14</v>
      </c>
      <c r="K12" t="s">
        <v>6</v>
      </c>
      <c r="L12">
        <v>850</v>
      </c>
      <c r="M12" t="s">
        <v>14</v>
      </c>
    </row>
    <row r="13" spans="1:13" x14ac:dyDescent="0.25">
      <c r="B13" t="s">
        <v>66</v>
      </c>
      <c r="C13">
        <v>1E-3</v>
      </c>
      <c r="D13" t="s">
        <v>15</v>
      </c>
      <c r="F13" t="s">
        <v>61</v>
      </c>
      <c r="G13">
        <f>5/(L15-(C15))</f>
        <v>5.6715063520871127E-2</v>
      </c>
      <c r="K13" t="s">
        <v>7</v>
      </c>
      <c r="L13">
        <f>0.001*(53/50)</f>
        <v>1.0600000000000002E-3</v>
      </c>
      <c r="M13" t="s">
        <v>15</v>
      </c>
    </row>
    <row r="14" spans="1:13" x14ac:dyDescent="0.25">
      <c r="B14" t="s">
        <v>8</v>
      </c>
      <c r="C14">
        <v>0.6</v>
      </c>
      <c r="D14" t="s">
        <v>16</v>
      </c>
      <c r="F14" t="s">
        <v>62</v>
      </c>
      <c r="G14">
        <f>((C16-C15)/(L15-L16))^-1</f>
        <v>10</v>
      </c>
      <c r="K14" t="s">
        <v>8</v>
      </c>
      <c r="L14">
        <v>0.45</v>
      </c>
      <c r="M14" t="s">
        <v>16</v>
      </c>
    </row>
    <row r="15" spans="1:13" x14ac:dyDescent="0.25">
      <c r="B15" t="s">
        <v>9</v>
      </c>
      <c r="C15">
        <f>273+32</f>
        <v>305</v>
      </c>
      <c r="D15" t="s">
        <v>8</v>
      </c>
      <c r="F15" t="s">
        <v>63</v>
      </c>
      <c r="G15">
        <f>((G14^2+1)^0.5*LN((1-G13)/(1-G13*G14)))/((G14-1)*LN((2-G13*(G14+1-(G14*G14+1)^0.5))/(2-G13*(G14+1+(G14*G14+1)^0.5))))</f>
        <v>0.98699103909368102</v>
      </c>
      <c r="K15" t="s">
        <v>9</v>
      </c>
      <c r="L15">
        <f>120+273.16</f>
        <v>393.16</v>
      </c>
      <c r="M15" t="s">
        <v>8</v>
      </c>
    </row>
    <row r="16" spans="1:13" x14ac:dyDescent="0.25">
      <c r="B16" t="s">
        <v>10</v>
      </c>
      <c r="C16">
        <f>273+37</f>
        <v>310</v>
      </c>
      <c r="D16" t="s">
        <v>8</v>
      </c>
      <c r="F16" t="s">
        <v>28</v>
      </c>
      <c r="G16">
        <f>((L15-C16)-(L16-C15))/LN((L15-C16)/(L16-C15))*G15</f>
        <v>57.016451830116118</v>
      </c>
      <c r="K16" t="s">
        <v>10</v>
      </c>
      <c r="L16">
        <f>70+273.16</f>
        <v>343.16</v>
      </c>
      <c r="M16" t="s">
        <v>8</v>
      </c>
    </row>
    <row r="17" spans="2:14" x14ac:dyDescent="0.25">
      <c r="B17" t="s">
        <v>67</v>
      </c>
      <c r="C17">
        <v>4000</v>
      </c>
      <c r="K17" t="s">
        <v>11</v>
      </c>
      <c r="L17">
        <f>500+10*53</f>
        <v>1030</v>
      </c>
      <c r="M17" t="s">
        <v>12</v>
      </c>
    </row>
    <row r="18" spans="2:14" x14ac:dyDescent="0.25">
      <c r="B18" t="s">
        <v>18</v>
      </c>
      <c r="C18">
        <f>(L18*L11*(L15-L16))/(C11*(C16-C15))</f>
        <v>109.4375</v>
      </c>
      <c r="D18" t="s">
        <v>17</v>
      </c>
      <c r="K18" t="s">
        <v>18</v>
      </c>
      <c r="L18">
        <f>$L$17*0.001/60*$L$12</f>
        <v>14.591666666666667</v>
      </c>
      <c r="M18" t="s">
        <v>17</v>
      </c>
    </row>
    <row r="19" spans="2:14" x14ac:dyDescent="0.25">
      <c r="B19" t="s">
        <v>42</v>
      </c>
      <c r="C19">
        <v>3.5000000000000003E-2</v>
      </c>
      <c r="D19" t="s">
        <v>21</v>
      </c>
      <c r="E19" s="3" t="s">
        <v>48</v>
      </c>
      <c r="F19" s="3"/>
      <c r="G19" s="3"/>
      <c r="K19" t="s">
        <v>20</v>
      </c>
      <c r="L19">
        <f>0.5*0.0254</f>
        <v>1.2699999999999999E-2</v>
      </c>
      <c r="M19" t="s">
        <v>21</v>
      </c>
      <c r="N19" t="s">
        <v>58</v>
      </c>
    </row>
    <row r="20" spans="2:14" x14ac:dyDescent="0.25">
      <c r="B20" t="s">
        <v>43</v>
      </c>
      <c r="C20">
        <f>0.75*C23</f>
        <v>0.40969532525209873</v>
      </c>
      <c r="D20" t="s">
        <v>21</v>
      </c>
      <c r="E20" t="s">
        <v>49</v>
      </c>
      <c r="F20">
        <v>0.17499999999999999</v>
      </c>
      <c r="K20" t="s">
        <v>38</v>
      </c>
      <c r="L20">
        <v>0.05</v>
      </c>
      <c r="M20" t="s">
        <v>22</v>
      </c>
    </row>
    <row r="21" spans="2:14" x14ac:dyDescent="0.25">
      <c r="B21" t="s">
        <v>44</v>
      </c>
      <c r="C21">
        <f>(L24/F20)^(1/F21)*L21</f>
        <v>0.51126043366946494</v>
      </c>
      <c r="D21" t="s">
        <v>21</v>
      </c>
      <c r="E21" t="s">
        <v>50</v>
      </c>
      <c r="F21">
        <v>2.2850000000000001</v>
      </c>
      <c r="K21" t="s">
        <v>37</v>
      </c>
      <c r="L21">
        <f>L19+2*0.05*0.0254</f>
        <v>1.524E-2</v>
      </c>
    </row>
    <row r="22" spans="2:14" x14ac:dyDescent="0.25">
      <c r="B22" t="s">
        <v>45</v>
      </c>
      <c r="C22">
        <f>0.6*C23</f>
        <v>0.32775626020167897</v>
      </c>
      <c r="D22" t="s">
        <v>21</v>
      </c>
      <c r="K22" t="s">
        <v>23</v>
      </c>
      <c r="L22">
        <v>5.3</v>
      </c>
      <c r="M22" t="s">
        <v>21</v>
      </c>
      <c r="N22" t="s">
        <v>59</v>
      </c>
    </row>
    <row r="23" spans="2:14" x14ac:dyDescent="0.25">
      <c r="B23" t="s">
        <v>46</v>
      </c>
      <c r="C23">
        <f>C21+C19</f>
        <v>0.54626043366946497</v>
      </c>
      <c r="D23" t="s">
        <v>21</v>
      </c>
      <c r="K23" t="s">
        <v>29</v>
      </c>
      <c r="L23">
        <f>3.14*$L$21*$L$22</f>
        <v>0.25362408000000003</v>
      </c>
      <c r="M23" t="s">
        <v>32</v>
      </c>
    </row>
    <row r="24" spans="2:14" x14ac:dyDescent="0.25">
      <c r="B24" t="s">
        <v>47</v>
      </c>
      <c r="C24">
        <f>4*((F24^2*0.5*0.86)-(3.14*L21^2/8))/(3.14*L21/2)</f>
        <v>1.0847579617834396E-2</v>
      </c>
      <c r="D24" t="s">
        <v>21</v>
      </c>
      <c r="E24" t="s">
        <v>51</v>
      </c>
      <c r="F24">
        <f>1.25*L21</f>
        <v>1.9050000000000001E-2</v>
      </c>
      <c r="G24" t="s">
        <v>21</v>
      </c>
      <c r="K24" t="s">
        <v>30</v>
      </c>
      <c r="L24">
        <f>CEILING(C6/L23,1)</f>
        <v>536</v>
      </c>
    </row>
    <row r="25" spans="2:14" x14ac:dyDescent="0.25">
      <c r="B25" t="s">
        <v>52</v>
      </c>
      <c r="C25">
        <f>(C19*C23*C22)/F24</f>
        <v>0.32894539051169508</v>
      </c>
      <c r="D25" t="s">
        <v>32</v>
      </c>
      <c r="K25" t="s">
        <v>31</v>
      </c>
      <c r="L25">
        <f>(3.14/4)*L19^2</f>
        <v>1.2661264999999999E-4</v>
      </c>
      <c r="M25" t="s">
        <v>32</v>
      </c>
      <c r="N25" t="s">
        <v>68</v>
      </c>
    </row>
    <row r="26" spans="2:14" x14ac:dyDescent="0.25">
      <c r="B26" t="s">
        <v>33</v>
      </c>
      <c r="C26">
        <f>(C18/(C12*C25))</f>
        <v>0.33269200042524733</v>
      </c>
      <c r="D26" t="s">
        <v>34</v>
      </c>
      <c r="K26" t="s">
        <v>33</v>
      </c>
      <c r="L26">
        <f>L17*0.001/60/L25/L24</f>
        <v>0.25295547628202719</v>
      </c>
      <c r="M26" t="s">
        <v>34</v>
      </c>
    </row>
    <row r="27" spans="2:14" x14ac:dyDescent="0.25">
      <c r="B27" t="s">
        <v>39</v>
      </c>
      <c r="C27">
        <f>C24*C26*C12/C13</f>
        <v>3608.9029628294652</v>
      </c>
      <c r="K27" t="s">
        <v>35</v>
      </c>
      <c r="L27">
        <v>4</v>
      </c>
    </row>
    <row r="28" spans="2:14" x14ac:dyDescent="0.25">
      <c r="B28" t="s">
        <v>40</v>
      </c>
      <c r="C28">
        <f>C11*C13/C14</f>
        <v>6.666666666666667</v>
      </c>
      <c r="K28" t="s">
        <v>36</v>
      </c>
      <c r="L28">
        <f>L27*L26</f>
        <v>1.0118219051281088</v>
      </c>
      <c r="M28" t="s">
        <v>34</v>
      </c>
      <c r="N28" t="s">
        <v>60</v>
      </c>
    </row>
    <row r="29" spans="2:14" x14ac:dyDescent="0.25">
      <c r="B29" t="s">
        <v>53</v>
      </c>
      <c r="C29">
        <f>0.36*C14/C24*C27*C28^(1/3)</f>
        <v>135248.46865372517</v>
      </c>
      <c r="K29" t="s">
        <v>39</v>
      </c>
      <c r="L29">
        <f>L19*L28*L12/L13</f>
        <v>10304.356099865974</v>
      </c>
    </row>
    <row r="30" spans="2:14" x14ac:dyDescent="0.25">
      <c r="B30" t="s">
        <v>55</v>
      </c>
      <c r="C30">
        <v>5.0000000000000001E-3</v>
      </c>
      <c r="K30" t="s">
        <v>40</v>
      </c>
      <c r="L30">
        <f>L11*L13/L14</f>
        <v>7.0666666666666682</v>
      </c>
    </row>
    <row r="31" spans="2:14" x14ac:dyDescent="0.25">
      <c r="B31" t="s">
        <v>54</v>
      </c>
      <c r="C31">
        <f>CEILING(L22/(C22+C30)-1,1)</f>
        <v>15</v>
      </c>
      <c r="K31" t="s">
        <v>41</v>
      </c>
      <c r="L31">
        <f>L14/L19*0.023*L29^0.8*L30^0.4</f>
        <v>2892.2721669960365</v>
      </c>
    </row>
    <row r="32" spans="2:14" x14ac:dyDescent="0.25">
      <c r="B32" t="s">
        <v>56</v>
      </c>
      <c r="C32">
        <f>1/((1/C29)+(L21/L19/L31)+(L21/2*LN(L21/L19)/0.45))</f>
        <v>284.9324143019403</v>
      </c>
    </row>
    <row r="36" spans="2:3" x14ac:dyDescent="0.25">
      <c r="B36" t="s">
        <v>57</v>
      </c>
      <c r="C36">
        <f>(C32-C5)/C5*100</f>
        <v>0.89927930669990808</v>
      </c>
    </row>
  </sheetData>
  <mergeCells count="1">
    <mergeCell ref="E19:G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2016-02-23T19:11:10Z</dcterms:modified>
</cp:coreProperties>
</file>