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-1\BAV\Assignment\"/>
    </mc:Choice>
  </mc:AlternateContent>
  <xr:revisionPtr revIDLastSave="0" documentId="13_ncr:1_{D2B9B507-1818-4E4D-A9B5-B3E2D172FA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ame of Group Members" sheetId="16" r:id="rId1"/>
    <sheet name="TECH M Income Statement" sheetId="1" r:id="rId2"/>
    <sheet name="TECH M Balance Sheet" sheetId="6" r:id="rId3"/>
    <sheet name="FCFF and FCFE" sheetId="3" r:id="rId4"/>
    <sheet name="Historical Weekly Data" sheetId="4" r:id="rId5"/>
    <sheet name="Company Betas" sheetId="15" r:id="rId6"/>
    <sheet name="1.2" sheetId="10" r:id="rId7"/>
    <sheet name="1.3" sheetId="11" r:id="rId8"/>
    <sheet name="Question2" sheetId="14" r:id="rId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3" l="1"/>
  <c r="F20" i="3"/>
  <c r="G20" i="3"/>
  <c r="H20" i="3"/>
  <c r="D20" i="3"/>
  <c r="E7" i="3"/>
  <c r="F7" i="3"/>
  <c r="G7" i="3"/>
  <c r="H7" i="3"/>
  <c r="D7" i="3"/>
  <c r="G59" i="1"/>
  <c r="F25" i="1"/>
  <c r="E25" i="1"/>
  <c r="D25" i="1"/>
  <c r="F8" i="11" l="1"/>
  <c r="E8" i="11"/>
  <c r="D48" i="1"/>
  <c r="E48" i="1"/>
  <c r="D8" i="11"/>
  <c r="C61" i="10" l="1"/>
  <c r="C60" i="10"/>
  <c r="C63" i="10" s="1"/>
  <c r="C52" i="10"/>
  <c r="C20" i="14" l="1"/>
  <c r="C18" i="14"/>
  <c r="C17" i="14"/>
  <c r="M6" i="14"/>
  <c r="M7" i="14" s="1"/>
  <c r="M9" i="14" s="1"/>
  <c r="J6" i="14"/>
  <c r="J7" i="14" s="1"/>
  <c r="J9" i="14" s="1"/>
  <c r="G6" i="14"/>
  <c r="G7" i="14" s="1"/>
  <c r="G9" i="14" s="1"/>
  <c r="D6" i="14"/>
  <c r="D7" i="14" s="1"/>
  <c r="D9" i="14" s="1"/>
  <c r="D8" i="6"/>
  <c r="J20" i="10"/>
  <c r="J21" i="10" s="1"/>
  <c r="D20" i="10"/>
  <c r="J17" i="10"/>
  <c r="J22" i="10" s="1"/>
  <c r="H17" i="10"/>
  <c r="F17" i="10"/>
  <c r="D17" i="10"/>
  <c r="C6" i="10"/>
  <c r="D15" i="6"/>
  <c r="F47" i="6" l="1"/>
  <c r="E47" i="6"/>
  <c r="D47" i="6"/>
  <c r="F45" i="6"/>
  <c r="E45" i="6"/>
  <c r="D45" i="6"/>
  <c r="F44" i="6"/>
  <c r="E44" i="6"/>
  <c r="D44" i="6"/>
  <c r="F43" i="6"/>
  <c r="E43" i="6"/>
  <c r="D43" i="6"/>
  <c r="F42" i="6"/>
  <c r="E42" i="6"/>
  <c r="D42" i="6"/>
  <c r="F37" i="6"/>
  <c r="E37" i="6"/>
  <c r="D37" i="6"/>
  <c r="F36" i="6"/>
  <c r="E36" i="6"/>
  <c r="D36" i="6"/>
  <c r="F35" i="6"/>
  <c r="E35" i="6"/>
  <c r="D35" i="6"/>
  <c r="F31" i="6"/>
  <c r="E31" i="6"/>
  <c r="D31" i="6"/>
  <c r="F30" i="6"/>
  <c r="E30" i="6"/>
  <c r="D30" i="6"/>
  <c r="F22" i="6"/>
  <c r="E22" i="6"/>
  <c r="D22" i="6"/>
  <c r="F21" i="6"/>
  <c r="E21" i="6"/>
  <c r="D21" i="6"/>
  <c r="F20" i="6"/>
  <c r="E20" i="6"/>
  <c r="D20" i="6"/>
  <c r="F15" i="6"/>
  <c r="E15" i="6"/>
  <c r="F14" i="6"/>
  <c r="E14" i="6"/>
  <c r="D14" i="6"/>
  <c r="E13" i="6"/>
  <c r="D13" i="6"/>
  <c r="C58" i="10" s="1"/>
  <c r="F13" i="6"/>
  <c r="E9" i="6"/>
  <c r="F9" i="6"/>
  <c r="D9" i="6"/>
  <c r="F8" i="6"/>
  <c r="E8" i="6"/>
  <c r="S37" i="1"/>
  <c r="S8" i="1"/>
  <c r="F31" i="1" l="1"/>
  <c r="E31" i="1"/>
  <c r="D31" i="1"/>
  <c r="F21" i="1"/>
  <c r="E21" i="1"/>
  <c r="D21" i="1"/>
  <c r="D47" i="1" s="1"/>
  <c r="F7" i="1"/>
  <c r="M18" i="1" s="1"/>
  <c r="E7" i="1"/>
  <c r="S7" i="1" s="1"/>
  <c r="D10" i="15"/>
  <c r="C10" i="15"/>
  <c r="D9" i="15"/>
  <c r="C9" i="15"/>
  <c r="D8" i="15"/>
  <c r="C8" i="15"/>
  <c r="D7" i="15"/>
  <c r="C7" i="15"/>
  <c r="D6" i="15"/>
  <c r="C6" i="15"/>
  <c r="S31" i="1" l="1"/>
  <c r="E6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5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5" i="4"/>
  <c r="C5" i="4"/>
  <c r="C19" i="14" l="1"/>
  <c r="B12" i="14"/>
  <c r="B25" i="14" s="1"/>
  <c r="C53" i="10" l="1"/>
  <c r="C45" i="10" l="1"/>
  <c r="C46" i="10" s="1"/>
  <c r="C37" i="10"/>
  <c r="H20" i="10"/>
  <c r="H21" i="10" s="1"/>
  <c r="F20" i="10"/>
  <c r="D21" i="10" l="1"/>
  <c r="F21" i="10"/>
  <c r="E26" i="3" l="1"/>
  <c r="G47" i="11" s="1"/>
  <c r="F26" i="3"/>
  <c r="F47" i="11" s="1"/>
  <c r="G26" i="3"/>
  <c r="E47" i="11" s="1"/>
  <c r="H26" i="3"/>
  <c r="D47" i="11" s="1"/>
  <c r="I26" i="3"/>
  <c r="J26" i="3"/>
  <c r="D26" i="3"/>
  <c r="J11" i="3"/>
  <c r="I11" i="3"/>
  <c r="H48" i="1" l="1"/>
  <c r="G73" i="6" s="1"/>
  <c r="F59" i="1" s="1"/>
  <c r="H47" i="11"/>
  <c r="C33" i="11"/>
  <c r="E47" i="1"/>
  <c r="H70" i="6"/>
  <c r="E64" i="6"/>
  <c r="F64" i="6"/>
  <c r="D64" i="6"/>
  <c r="E61" i="6"/>
  <c r="F61" i="6"/>
  <c r="D61" i="6"/>
  <c r="E60" i="6"/>
  <c r="F60" i="6"/>
  <c r="D60" i="6"/>
  <c r="H60" i="6" s="1"/>
  <c r="E59" i="6"/>
  <c r="F59" i="6"/>
  <c r="D59" i="6"/>
  <c r="H64" i="6" l="1"/>
  <c r="H59" i="6"/>
  <c r="H61" i="6"/>
  <c r="H47" i="1"/>
  <c r="E73" i="6"/>
  <c r="D59" i="1" s="1"/>
  <c r="F73" i="6"/>
  <c r="E59" i="1" s="1"/>
  <c r="C73" i="6"/>
  <c r="D73" i="6"/>
  <c r="C59" i="1" s="1"/>
  <c r="D48" i="6"/>
  <c r="E48" i="6"/>
  <c r="F48" i="6"/>
  <c r="D34" i="6"/>
  <c r="D38" i="6" s="1"/>
  <c r="E34" i="6"/>
  <c r="F34" i="6"/>
  <c r="D10" i="6"/>
  <c r="D24" i="6"/>
  <c r="D62" i="6" s="1"/>
  <c r="E24" i="6"/>
  <c r="E62" i="6" s="1"/>
  <c r="F24" i="6"/>
  <c r="F62" i="6" s="1"/>
  <c r="D17" i="6"/>
  <c r="E17" i="6"/>
  <c r="F17" i="6"/>
  <c r="E10" i="6"/>
  <c r="E7" i="11" s="1"/>
  <c r="F10" i="6"/>
  <c r="F7" i="11" s="1"/>
  <c r="E38" i="6" l="1"/>
  <c r="E39" i="6" s="1"/>
  <c r="F38" i="6"/>
  <c r="F39" i="6" s="1"/>
  <c r="F50" i="6" s="1"/>
  <c r="M24" i="6" s="1"/>
  <c r="G58" i="1"/>
  <c r="C8" i="10"/>
  <c r="D7" i="11"/>
  <c r="C7" i="10"/>
  <c r="H62" i="6"/>
  <c r="F51" i="6"/>
  <c r="F63" i="6" s="1"/>
  <c r="D39" i="6"/>
  <c r="D50" i="6" s="1"/>
  <c r="K45" i="6" s="1"/>
  <c r="E51" i="6"/>
  <c r="F26" i="6"/>
  <c r="D26" i="6"/>
  <c r="E26" i="6"/>
  <c r="D51" i="6"/>
  <c r="H72" i="6" s="1"/>
  <c r="K26" i="6" l="1"/>
  <c r="E50" i="6"/>
  <c r="L39" i="6" s="1"/>
  <c r="L22" i="6"/>
  <c r="K31" i="6"/>
  <c r="K48" i="6"/>
  <c r="K35" i="6"/>
  <c r="K24" i="6"/>
  <c r="K33" i="6"/>
  <c r="K21" i="6"/>
  <c r="K9" i="6"/>
  <c r="K50" i="6"/>
  <c r="K20" i="6"/>
  <c r="K14" i="6"/>
  <c r="K47" i="6"/>
  <c r="K38" i="6"/>
  <c r="H71" i="6"/>
  <c r="D63" i="6"/>
  <c r="E52" i="6"/>
  <c r="E63" i="6"/>
  <c r="C68" i="10"/>
  <c r="M48" i="6"/>
  <c r="F6" i="11"/>
  <c r="K44" i="6"/>
  <c r="D6" i="11"/>
  <c r="C29" i="10"/>
  <c r="K37" i="6"/>
  <c r="K23" i="6"/>
  <c r="K39" i="6"/>
  <c r="K15" i="6"/>
  <c r="K13" i="6"/>
  <c r="K42" i="6"/>
  <c r="K22" i="6"/>
  <c r="K34" i="6"/>
  <c r="K10" i="6"/>
  <c r="K8" i="6"/>
  <c r="K16" i="6"/>
  <c r="K43" i="6"/>
  <c r="D52" i="6"/>
  <c r="K46" i="6"/>
  <c r="K30" i="6"/>
  <c r="K17" i="6"/>
  <c r="K32" i="6"/>
  <c r="K36" i="6"/>
  <c r="M10" i="6"/>
  <c r="M9" i="6"/>
  <c r="M21" i="6"/>
  <c r="M33" i="6"/>
  <c r="M43" i="6"/>
  <c r="M22" i="6"/>
  <c r="M44" i="6"/>
  <c r="M30" i="6"/>
  <c r="M13" i="6"/>
  <c r="M23" i="6"/>
  <c r="M35" i="6"/>
  <c r="M45" i="6"/>
  <c r="M16" i="6"/>
  <c r="M20" i="6"/>
  <c r="M14" i="6"/>
  <c r="M36" i="6"/>
  <c r="M46" i="6"/>
  <c r="M38" i="6"/>
  <c r="M42" i="6"/>
  <c r="M15" i="6"/>
  <c r="M37" i="6"/>
  <c r="M47" i="6"/>
  <c r="M8" i="6"/>
  <c r="M31" i="6"/>
  <c r="M50" i="6"/>
  <c r="M32" i="6"/>
  <c r="M26" i="6"/>
  <c r="M34" i="6"/>
  <c r="M17" i="6"/>
  <c r="M39" i="6"/>
  <c r="H59" i="1"/>
  <c r="C70" i="10" l="1"/>
  <c r="C69" i="10"/>
  <c r="L34" i="6"/>
  <c r="L44" i="6"/>
  <c r="L26" i="6"/>
  <c r="E6" i="11"/>
  <c r="L13" i="6"/>
  <c r="L36" i="6"/>
  <c r="L50" i="6"/>
  <c r="L15" i="6"/>
  <c r="L10" i="6"/>
  <c r="L45" i="6"/>
  <c r="L43" i="6"/>
  <c r="L8" i="6"/>
  <c r="L20" i="6"/>
  <c r="L24" i="6"/>
  <c r="L9" i="6"/>
  <c r="L23" i="6"/>
  <c r="L46" i="6"/>
  <c r="L32" i="6"/>
  <c r="L35" i="6"/>
  <c r="L33" i="6"/>
  <c r="L37" i="6"/>
  <c r="L30" i="6"/>
  <c r="L47" i="6"/>
  <c r="L48" i="6"/>
  <c r="L38" i="6"/>
  <c r="L17" i="6"/>
  <c r="L21" i="6"/>
  <c r="L42" i="6"/>
  <c r="L16" i="6"/>
  <c r="L14" i="6"/>
  <c r="L31" i="6"/>
  <c r="H63" i="6"/>
  <c r="H58" i="1"/>
  <c r="H57" i="1" l="1"/>
  <c r="H55" i="1"/>
  <c r="H54" i="1"/>
  <c r="E46" i="1"/>
  <c r="F46" i="1"/>
  <c r="D46" i="1"/>
  <c r="E44" i="1"/>
  <c r="D44" i="1"/>
  <c r="H44" i="1" l="1"/>
  <c r="G54" i="1" s="1"/>
  <c r="H46" i="1"/>
  <c r="G70" i="6" l="1"/>
  <c r="G71" i="6"/>
  <c r="G72" i="6" s="1"/>
  <c r="G57" i="1"/>
  <c r="F54" i="1"/>
  <c r="R8" i="1"/>
  <c r="R13" i="1"/>
  <c r="R14" i="1"/>
  <c r="R15" i="1"/>
  <c r="R16" i="1"/>
  <c r="R17" i="1"/>
  <c r="R21" i="1"/>
  <c r="R25" i="1"/>
  <c r="R31" i="1"/>
  <c r="R35" i="1"/>
  <c r="R37" i="1"/>
  <c r="R7" i="1"/>
  <c r="S13" i="1"/>
  <c r="S14" i="1"/>
  <c r="S15" i="1"/>
  <c r="S16" i="1"/>
  <c r="S17" i="1"/>
  <c r="S21" i="1"/>
  <c r="S25" i="1"/>
  <c r="S35" i="1"/>
  <c r="M8" i="1"/>
  <c r="M13" i="1"/>
  <c r="M14" i="1"/>
  <c r="M15" i="1"/>
  <c r="M16" i="1"/>
  <c r="M17" i="1"/>
  <c r="M21" i="1"/>
  <c r="M25" i="1"/>
  <c r="M30" i="1"/>
  <c r="M31" i="1"/>
  <c r="M35" i="1"/>
  <c r="M36" i="1"/>
  <c r="M37" i="1"/>
  <c r="M7" i="1"/>
  <c r="L8" i="1"/>
  <c r="L13" i="1"/>
  <c r="L14" i="1"/>
  <c r="L15" i="1"/>
  <c r="L16" i="1"/>
  <c r="L17" i="1"/>
  <c r="L21" i="1"/>
  <c r="L25" i="1"/>
  <c r="L30" i="1"/>
  <c r="L31" i="1"/>
  <c r="L35" i="1"/>
  <c r="L36" i="1"/>
  <c r="L37" i="1"/>
  <c r="L7" i="1"/>
  <c r="K8" i="1"/>
  <c r="K13" i="1"/>
  <c r="K14" i="1"/>
  <c r="K15" i="1"/>
  <c r="K16" i="1"/>
  <c r="K17" i="1"/>
  <c r="K21" i="1"/>
  <c r="K25" i="1"/>
  <c r="K30" i="1"/>
  <c r="K31" i="1"/>
  <c r="K35" i="1"/>
  <c r="K36" i="1"/>
  <c r="K37" i="1"/>
  <c r="K7" i="1"/>
  <c r="E27" i="1"/>
  <c r="E10" i="1"/>
  <c r="E45" i="1" s="1"/>
  <c r="D27" i="1"/>
  <c r="D28" i="1" s="1"/>
  <c r="D10" i="1"/>
  <c r="D19" i="1" s="1"/>
  <c r="D23" i="1" s="1"/>
  <c r="F27" i="1"/>
  <c r="M27" i="1" s="1"/>
  <c r="F10" i="1"/>
  <c r="F45" i="1" s="1"/>
  <c r="R27" i="1" l="1"/>
  <c r="S27" i="1"/>
  <c r="K27" i="1"/>
  <c r="E28" i="1"/>
  <c r="E32" i="1" s="1"/>
  <c r="E49" i="1" s="1"/>
  <c r="C43" i="10"/>
  <c r="K23" i="1"/>
  <c r="K28" i="1"/>
  <c r="D32" i="1"/>
  <c r="L10" i="1"/>
  <c r="S10" i="1"/>
  <c r="F70" i="6"/>
  <c r="F57" i="1"/>
  <c r="F71" i="6"/>
  <c r="F72" i="6" s="1"/>
  <c r="E54" i="1"/>
  <c r="D45" i="1"/>
  <c r="H45" i="1" s="1"/>
  <c r="G56" i="1" s="1"/>
  <c r="H56" i="1"/>
  <c r="K10" i="1"/>
  <c r="R10" i="1"/>
  <c r="M10" i="1"/>
  <c r="F19" i="1"/>
  <c r="K19" i="1"/>
  <c r="L27" i="1"/>
  <c r="E19" i="1"/>
  <c r="H11" i="3"/>
  <c r="F58" i="1"/>
  <c r="F56" i="1" l="1"/>
  <c r="F55" i="1" s="1"/>
  <c r="L28" i="1"/>
  <c r="L32" i="1"/>
  <c r="E38" i="1"/>
  <c r="L38" i="1" s="1"/>
  <c r="R28" i="1"/>
  <c r="L19" i="1"/>
  <c r="E23" i="1"/>
  <c r="S19" i="1"/>
  <c r="E58" i="1"/>
  <c r="G11" i="3"/>
  <c r="G62" i="1"/>
  <c r="G55" i="1"/>
  <c r="M19" i="1"/>
  <c r="F23" i="1"/>
  <c r="E70" i="6"/>
  <c r="E71" i="6"/>
  <c r="E72" i="6" s="1"/>
  <c r="E57" i="1"/>
  <c r="D54" i="1"/>
  <c r="E56" i="1"/>
  <c r="D38" i="1"/>
  <c r="D49" i="1"/>
  <c r="R32" i="1"/>
  <c r="K32" i="1"/>
  <c r="R19" i="1"/>
  <c r="R38" i="1" l="1"/>
  <c r="F62" i="1"/>
  <c r="E5" i="11"/>
  <c r="E9" i="11" s="1"/>
  <c r="E10" i="11" s="1"/>
  <c r="E62" i="1"/>
  <c r="E55" i="1"/>
  <c r="D70" i="6"/>
  <c r="C58" i="1" s="1"/>
  <c r="D71" i="6"/>
  <c r="D72" i="6" s="1"/>
  <c r="D57" i="1"/>
  <c r="C54" i="1"/>
  <c r="D56" i="1"/>
  <c r="D58" i="1"/>
  <c r="F11" i="3"/>
  <c r="M23" i="1"/>
  <c r="F28" i="1"/>
  <c r="D5" i="11"/>
  <c r="K38" i="1"/>
  <c r="S23" i="1"/>
  <c r="L23" i="1"/>
  <c r="R23" i="1"/>
  <c r="E12" i="11" l="1"/>
  <c r="E11" i="11"/>
  <c r="E11" i="3"/>
  <c r="B26" i="14"/>
  <c r="B27" i="14" s="1"/>
  <c r="B28" i="14" s="1"/>
  <c r="C21" i="14"/>
  <c r="D62" i="1"/>
  <c r="F32" i="1"/>
  <c r="M28" i="1"/>
  <c r="S28" i="1"/>
  <c r="C70" i="6"/>
  <c r="D11" i="3" s="1"/>
  <c r="C57" i="1"/>
  <c r="C71" i="6"/>
  <c r="C72" i="6" s="1"/>
  <c r="C56" i="1"/>
  <c r="D55" i="1"/>
  <c r="D9" i="11"/>
  <c r="D10" i="11" s="1"/>
  <c r="D12" i="11"/>
  <c r="D11" i="11"/>
  <c r="F49" i="1" l="1"/>
  <c r="H49" i="1" s="1"/>
  <c r="D63" i="1" s="1"/>
  <c r="D65" i="1" s="1"/>
  <c r="M32" i="1"/>
  <c r="F38" i="1"/>
  <c r="S32" i="1"/>
  <c r="C62" i="1"/>
  <c r="C55" i="1"/>
  <c r="C63" i="1" l="1"/>
  <c r="C65" i="1" s="1"/>
  <c r="F5" i="11"/>
  <c r="M38" i="1"/>
  <c r="S38" i="1"/>
  <c r="G9" i="3"/>
  <c r="G13" i="3" s="1"/>
  <c r="E42" i="11" s="1"/>
  <c r="C5" i="10"/>
  <c r="J9" i="3"/>
  <c r="J13" i="3" s="1"/>
  <c r="D9" i="3"/>
  <c r="D13" i="3" s="1"/>
  <c r="K9" i="3"/>
  <c r="I9" i="3"/>
  <c r="I13" i="3" s="1"/>
  <c r="E9" i="3"/>
  <c r="E13" i="3" s="1"/>
  <c r="G42" i="11" s="1"/>
  <c r="F9" i="3"/>
  <c r="F13" i="3" s="1"/>
  <c r="F42" i="11" s="1"/>
  <c r="H9" i="3"/>
  <c r="H13" i="3" s="1"/>
  <c r="D42" i="11" s="1"/>
  <c r="G63" i="1"/>
  <c r="G65" i="1" s="1"/>
  <c r="F63" i="1"/>
  <c r="F65" i="1" s="1"/>
  <c r="E63" i="1"/>
  <c r="E65" i="1" s="1"/>
  <c r="C21" i="11" l="1"/>
  <c r="H42" i="11"/>
  <c r="C71" i="10"/>
  <c r="H22" i="10"/>
  <c r="F22" i="10"/>
  <c r="D22" i="10"/>
  <c r="F9" i="11"/>
  <c r="F10" i="11" s="1"/>
  <c r="C18" i="11" s="1"/>
  <c r="C30" i="11" s="1"/>
  <c r="F12" i="11"/>
  <c r="C29" i="11" s="1"/>
  <c r="F11" i="11"/>
  <c r="C17" i="11" s="1"/>
  <c r="C24" i="10" l="1"/>
  <c r="C30" i="10" s="1"/>
  <c r="C38" i="10" s="1"/>
  <c r="C73" i="10" s="1"/>
  <c r="C20" i="11" s="1"/>
  <c r="C32" i="11" s="1"/>
  <c r="C31" i="11"/>
  <c r="C19" i="11"/>
  <c r="C23" i="11" l="1"/>
  <c r="C24" i="11" s="1"/>
  <c r="I42" i="11" s="1"/>
  <c r="D44" i="11" s="1"/>
  <c r="C36" i="11"/>
  <c r="C37" i="11" s="1"/>
  <c r="I47" i="11" s="1"/>
  <c r="D49" i="11" s="1"/>
  <c r="M63" i="15"/>
  <c r="C63" i="15"/>
  <c r="M42" i="15"/>
  <c r="C42" i="15"/>
  <c r="H21" i="15"/>
</calcChain>
</file>

<file path=xl/sharedStrings.xml><?xml version="1.0" encoding="utf-8"?>
<sst xmlns="http://schemas.openxmlformats.org/spreadsheetml/2006/main" count="902" uniqueCount="460">
  <si>
    <t>Tech Mahindra Ltd (TECHM IN) - Adjusted</t>
  </si>
  <si>
    <t>Income Statement Common Sizing on Total Revenue</t>
  </si>
  <si>
    <t>Income Statement Horizontal Analysis</t>
  </si>
  <si>
    <t>In Millions of INR except Per Share</t>
  </si>
  <si>
    <t>FY 2017</t>
  </si>
  <si>
    <t>FY 2018</t>
  </si>
  <si>
    <t>FY 2019</t>
  </si>
  <si>
    <t>FY 2020</t>
  </si>
  <si>
    <t>FY 2021</t>
  </si>
  <si>
    <t>FY 2022</t>
  </si>
  <si>
    <t>FY 2023</t>
  </si>
  <si>
    <t>Last 12M</t>
  </si>
  <si>
    <t>FY 2024 Est</t>
  </si>
  <si>
    <t>FY 2025 Est</t>
  </si>
  <si>
    <t>12 Months Ending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</si>
  <si>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</si>
  <si>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</si>
  <si>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</si>
  <si>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</si>
  <si>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</si>
  <si>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</si>
  <si>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</si>
  <si>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09/30/2023</t>
  </si>
  <si>
    <t>03/31/2024</t>
  </si>
  <si>
    <t>03/31/2025</t>
  </si>
  <si>
    <t>2023-22</t>
  </si>
  <si>
    <t>2022-21</t>
  </si>
  <si>
    <t>2021-20</t>
  </si>
  <si>
    <t>Revenue</t>
  </si>
  <si>
    <t>Total Revenue</t>
  </si>
  <si>
    <t xml:space="preserve">    + Sales &amp; Services Revenue</t>
  </si>
  <si>
    <t>Cost of Materials Consumed</t>
  </si>
  <si>
    <t xml:space="preserve">  - Cost of Revenue</t>
  </si>
  <si>
    <t xml:space="preserve">    + Cost of Goods &amp; Services</t>
  </si>
  <si>
    <t>Gross Profit</t>
  </si>
  <si>
    <t xml:space="preserve">  + Other Operating Income</t>
  </si>
  <si>
    <t>Operating Expenses:</t>
  </si>
  <si>
    <t xml:space="preserve">  - Operating Expenses</t>
  </si>
  <si>
    <t>Selling and Marketing</t>
  </si>
  <si>
    <t>Purchase of stock in trade</t>
  </si>
  <si>
    <t xml:space="preserve">    + Selling, General &amp; Admin</t>
  </si>
  <si>
    <t>Research and Development</t>
  </si>
  <si>
    <t>Changes in inventories of finished goods</t>
  </si>
  <si>
    <t xml:space="preserve">    + Selling &amp; Marketing</t>
  </si>
  <si>
    <t>—</t>
  </si>
  <si>
    <t>DA</t>
  </si>
  <si>
    <t>Excise duty</t>
  </si>
  <si>
    <t xml:space="preserve">    + General &amp; Administrative</t>
  </si>
  <si>
    <t>Prov for doubtful accts</t>
  </si>
  <si>
    <t>Employee benefit expenses</t>
  </si>
  <si>
    <t xml:space="preserve">    + Research &amp; Development</t>
  </si>
  <si>
    <t>Other expenses</t>
  </si>
  <si>
    <t xml:space="preserve">    + Depreciation &amp; Amortization</t>
  </si>
  <si>
    <t xml:space="preserve">    + Prov For Doubtful Accts</t>
  </si>
  <si>
    <t>EBITDA</t>
  </si>
  <si>
    <t xml:space="preserve">    + Other Operating Expense</t>
  </si>
  <si>
    <t>Operating Income (Loss)</t>
  </si>
  <si>
    <t>Depriciation and Amortization</t>
  </si>
  <si>
    <t xml:space="preserve">  - Non-Operating (Income) Loss</t>
  </si>
  <si>
    <t xml:space="preserve">    + Interest Expense, Net</t>
  </si>
  <si>
    <t>Earnings before Interest and Tax (EBIT)</t>
  </si>
  <si>
    <t xml:space="preserve">    + Interest Expense</t>
  </si>
  <si>
    <t xml:space="preserve">    - Interest Income</t>
  </si>
  <si>
    <t>Interest expenses (finance costs)</t>
  </si>
  <si>
    <t xml:space="preserve">    + Other Investment (Inc) Loss</t>
  </si>
  <si>
    <t xml:space="preserve">    + Foreign Exch (Gain) Loss</t>
  </si>
  <si>
    <t>Total Expenses</t>
  </si>
  <si>
    <t xml:space="preserve">    + (Income) Loss from Affiliates</t>
  </si>
  <si>
    <t>Earnings before Taxes and exceptional cases</t>
  </si>
  <si>
    <t xml:space="preserve">    + Other Non-Op (Income) Loss</t>
  </si>
  <si>
    <t>Pretax Income (Loss), Adjusted</t>
  </si>
  <si>
    <t>Exceptional items (revenue)</t>
  </si>
  <si>
    <t xml:space="preserve">  - Abnormal Losses (Gains)</t>
  </si>
  <si>
    <t>Exceptional items (cost)</t>
  </si>
  <si>
    <t xml:space="preserve">    + Disposal of Assets</t>
  </si>
  <si>
    <t>Earnings before Tax</t>
  </si>
  <si>
    <t xml:space="preserve">    + Asset Write-Down</t>
  </si>
  <si>
    <t xml:space="preserve">    + Impairment of Goodwill</t>
  </si>
  <si>
    <t>Tax Expenses:</t>
  </si>
  <si>
    <t xml:space="preserve">    + Gain/Loss on Sale/Acquisition of Business</t>
  </si>
  <si>
    <t>Current Tax</t>
  </si>
  <si>
    <t xml:space="preserve">    + Sale of Investments</t>
  </si>
  <si>
    <t>Deferred Tax Credit</t>
  </si>
  <si>
    <t xml:space="preserve">    + Unrealized Investments</t>
  </si>
  <si>
    <t>Deferred Tax Credit (+ve)</t>
  </si>
  <si>
    <t xml:space="preserve">    + Other Abnormal Items</t>
  </si>
  <si>
    <t>Profit for the year</t>
  </si>
  <si>
    <t>Pretax Income (Loss), GAAP</t>
  </si>
  <si>
    <t xml:space="preserve">  - Income Tax Expense (Benefit)</t>
  </si>
  <si>
    <t xml:space="preserve">    + Current Income Tax</t>
  </si>
  <si>
    <t xml:space="preserve">    + Deferred Income Tax</t>
  </si>
  <si>
    <t>Certain Important  Ratios</t>
  </si>
  <si>
    <t>Averages</t>
  </si>
  <si>
    <t xml:space="preserve">    + Tax Allowance/Credit</t>
  </si>
  <si>
    <t xml:space="preserve">  - (Income) Loss from Affiliates</t>
  </si>
  <si>
    <t>Sales Growth Rate</t>
  </si>
  <si>
    <t>Income (Loss) from Cont Ops</t>
  </si>
  <si>
    <t>Gross Profit Margin</t>
  </si>
  <si>
    <t xml:space="preserve">  - Net Extraordinary Losses (Gains)</t>
  </si>
  <si>
    <t>Operating Expenses/Sales Revenue</t>
  </si>
  <si>
    <t xml:space="preserve">    + Discontinued Operations</t>
  </si>
  <si>
    <t>DA/Net PPE</t>
  </si>
  <si>
    <t xml:space="preserve">    + XO &amp; Accounting Changes</t>
  </si>
  <si>
    <t>Interest/other long term liabilities prior period</t>
  </si>
  <si>
    <t>Income (Loss) Incl. MI</t>
  </si>
  <si>
    <t>Income tax</t>
  </si>
  <si>
    <t xml:space="preserve">  - Minority Interest</t>
  </si>
  <si>
    <t>Net Income, GAAP</t>
  </si>
  <si>
    <t xml:space="preserve">  - Preferred Dividends</t>
  </si>
  <si>
    <t>Income Statement projections</t>
  </si>
  <si>
    <t>2028-27</t>
  </si>
  <si>
    <t>2027-26</t>
  </si>
  <si>
    <t>2026-25</t>
  </si>
  <si>
    <t>2025-24</t>
  </si>
  <si>
    <t>2024-23</t>
  </si>
  <si>
    <t xml:space="preserve">  - Other Adjustments</t>
  </si>
  <si>
    <t>Net Income Avail to Common, GAAP</t>
  </si>
  <si>
    <t>Net Income Avail to Common, Adj</t>
  </si>
  <si>
    <t xml:space="preserve">  Net Abnormal Losses (Gains)</t>
  </si>
  <si>
    <t>All Operating Expenses</t>
  </si>
  <si>
    <t xml:space="preserve">  Net Extraordinary Losses (Gains)</t>
  </si>
  <si>
    <t>Interest Expense</t>
  </si>
  <si>
    <t>Basic Weighted Avg Shares</t>
  </si>
  <si>
    <t>Exceptional cases</t>
  </si>
  <si>
    <t>Basic EPS, GAAP</t>
  </si>
  <si>
    <t>Basic EPS from Cont Ops, GAAP</t>
  </si>
  <si>
    <t>Basic EPS from Cont Ops, Adjusted</t>
  </si>
  <si>
    <t>Tax expense</t>
  </si>
  <si>
    <t>Diluted Weighted Avg Shares</t>
  </si>
  <si>
    <t>Net income</t>
  </si>
  <si>
    <t>Diluted EPS, GAAP</t>
  </si>
  <si>
    <t>Diluted EPS from Cont Ops, GAAP</t>
  </si>
  <si>
    <t>Diluted EPS from Cont Ops, Adjusted</t>
  </si>
  <si>
    <t>Reference Items</t>
  </si>
  <si>
    <t>Accounting Standard</t>
  </si>
  <si>
    <t>IN GAAP</t>
  </si>
  <si>
    <t>EBITDA Margin (T12M)</t>
  </si>
  <si>
    <t>EBITA</t>
  </si>
  <si>
    <t>EBIT</t>
  </si>
  <si>
    <t>Gross Margin</t>
  </si>
  <si>
    <t>Operating Margin</t>
  </si>
  <si>
    <t>Profit Margin</t>
  </si>
  <si>
    <t>Current Profit</t>
  </si>
  <si>
    <t>Sales per Employee</t>
  </si>
  <si>
    <t>Dividends per Share</t>
  </si>
  <si>
    <t>Total Cash Common Dividends</t>
  </si>
  <si>
    <t>Capitalized Interest Expense</t>
  </si>
  <si>
    <t>Personnel Expenses</t>
  </si>
  <si>
    <t>Depreciation Expense</t>
  </si>
  <si>
    <t>Rental Expense</t>
  </si>
  <si>
    <t>Tech Mahindra Ltd (TECHM IN) - Standardized</t>
  </si>
  <si>
    <t>Balance Sheet</t>
  </si>
  <si>
    <t>Common Sizing Balance Sheet</t>
  </si>
  <si>
    <t>FY 2014</t>
  </si>
  <si>
    <t>FY 2015</t>
  </si>
  <si>
    <t>FY 2016</t>
  </si>
  <si>
    <t>03/31/2014</t>
  </si>
  <si>
    <t>03/31/2015</t>
  </si>
  <si>
    <t>03/31/2016</t>
  </si>
  <si>
    <t>Total Assets</t>
  </si>
  <si>
    <t>EQUITIES AND LIABILITIES:</t>
  </si>
  <si>
    <t xml:space="preserve">  + Cash, Cash Equivalents &amp; STI</t>
  </si>
  <si>
    <t>Equity share capital</t>
  </si>
  <si>
    <t xml:space="preserve">    + Cash &amp; Cash Equivalents</t>
  </si>
  <si>
    <t>Other equity (reserves and surplus)</t>
  </si>
  <si>
    <t xml:space="preserve">    + ST Investments</t>
  </si>
  <si>
    <t>Total Shareholders funds</t>
  </si>
  <si>
    <t xml:space="preserve">  + Accounts &amp; Notes Receiv</t>
  </si>
  <si>
    <t xml:space="preserve">    + Accounts Receivable, Net</t>
  </si>
  <si>
    <t>NON-CURRENT LIABILITIES:</t>
  </si>
  <si>
    <t xml:space="preserve">    + Notes Receivable, Net</t>
  </si>
  <si>
    <t>Long term borrowings</t>
  </si>
  <si>
    <t xml:space="preserve">  + Unbilled Revenues</t>
  </si>
  <si>
    <t>Deferred Tax liabilities</t>
  </si>
  <si>
    <t xml:space="preserve">  + Inventories</t>
  </si>
  <si>
    <t>Other long term liabilities</t>
  </si>
  <si>
    <t>Other Long term liabilites</t>
  </si>
  <si>
    <t xml:space="preserve">    + Raw Materials</t>
  </si>
  <si>
    <t>Long term provisions</t>
  </si>
  <si>
    <t xml:space="preserve">    + Work In Process</t>
  </si>
  <si>
    <t>Total Non-Current Liabilities</t>
  </si>
  <si>
    <t xml:space="preserve">    + Finished Goods</t>
  </si>
  <si>
    <t xml:space="preserve">    + Other Inventory</t>
  </si>
  <si>
    <t>CURRENT LIABILITIES</t>
  </si>
  <si>
    <t xml:space="preserve">  + Other ST Assets</t>
  </si>
  <si>
    <t>Short-term borrowings</t>
  </si>
  <si>
    <t xml:space="preserve">    + Prepaid Expenses</t>
  </si>
  <si>
    <t>Trade Payables</t>
  </si>
  <si>
    <t xml:space="preserve">    + Derivative &amp; Hedging Assets</t>
  </si>
  <si>
    <t xml:space="preserve">Other current liabilities </t>
  </si>
  <si>
    <t xml:space="preserve">    + Assets Held-for-Sale</t>
  </si>
  <si>
    <t>Short term provisions</t>
  </si>
  <si>
    <t xml:space="preserve">    + Taxes Receivable</t>
  </si>
  <si>
    <t>Total Current Liabilities</t>
  </si>
  <si>
    <t xml:space="preserve">    + Misc ST Assets</t>
  </si>
  <si>
    <t>Total Current Assets</t>
  </si>
  <si>
    <t>Total Liabilities and shareholders equity</t>
  </si>
  <si>
    <t xml:space="preserve">  + Property, Plant &amp; Equip, Net</t>
  </si>
  <si>
    <t xml:space="preserve">    + Property, Plant &amp; Equip</t>
  </si>
  <si>
    <t>ASSETS:</t>
  </si>
  <si>
    <t xml:space="preserve">    - Accumulated Depreciation</t>
  </si>
  <si>
    <t>NON-CURRENT ASSETS</t>
  </si>
  <si>
    <t xml:space="preserve">  + LT Investments &amp; Receivables</t>
  </si>
  <si>
    <t>Net PPE (tangible assets)</t>
  </si>
  <si>
    <t xml:space="preserve">    + LT Investments</t>
  </si>
  <si>
    <t>Intangible assets</t>
  </si>
  <si>
    <t xml:space="preserve">    + LT Receivables</t>
  </si>
  <si>
    <t>Capital Work in Progress</t>
  </si>
  <si>
    <t xml:space="preserve">  + Other LT Assets</t>
  </si>
  <si>
    <t>Other Assets</t>
  </si>
  <si>
    <t xml:space="preserve">    + Total Intangible Assets</t>
  </si>
  <si>
    <t>Total fixed assets</t>
  </si>
  <si>
    <t xml:space="preserve">    + Goodwill</t>
  </si>
  <si>
    <t>Non-Current investments</t>
  </si>
  <si>
    <t xml:space="preserve">    + Other Intangible Assets</t>
  </si>
  <si>
    <t>Deferred Tax assets</t>
  </si>
  <si>
    <t xml:space="preserve">    + Prepaid Expense</t>
  </si>
  <si>
    <t>Long term loans and advances</t>
  </si>
  <si>
    <t xml:space="preserve">    + Deferred Tax Assets</t>
  </si>
  <si>
    <t>Other non-current Assets</t>
  </si>
  <si>
    <t>Total Non-Current Assets</t>
  </si>
  <si>
    <t xml:space="preserve">    + Investments in Affiliates</t>
  </si>
  <si>
    <t xml:space="preserve">    + Misc LT Assets</t>
  </si>
  <si>
    <t>CURRENT ASSETS</t>
  </si>
  <si>
    <t>Total Noncurrent Assets</t>
  </si>
  <si>
    <t>Current Investments</t>
  </si>
  <si>
    <t>Inventories</t>
  </si>
  <si>
    <t>Trade Receivables</t>
  </si>
  <si>
    <t>Liabilities &amp; Shareholders' Equity</t>
  </si>
  <si>
    <t>Cash and Cash Equivalents</t>
  </si>
  <si>
    <t xml:space="preserve">  + Payables &amp; Accruals</t>
  </si>
  <si>
    <t>Short term loans and Advancements</t>
  </si>
  <si>
    <t xml:space="preserve">    + Accounts Payable</t>
  </si>
  <si>
    <t>Other Current Assets</t>
  </si>
  <si>
    <t xml:space="preserve">    + Accrued Taxes</t>
  </si>
  <si>
    <t xml:space="preserve">    + Interest &amp; Dividends Payable</t>
  </si>
  <si>
    <t xml:space="preserve">    + Other Payables &amp; Accruals</t>
  </si>
  <si>
    <t xml:space="preserve">  + ST Debt</t>
  </si>
  <si>
    <t>Working Capital</t>
  </si>
  <si>
    <t xml:space="preserve">    + ST Borrowings</t>
  </si>
  <si>
    <t>Change in Working Capital</t>
  </si>
  <si>
    <t xml:space="preserve">    + ST Lease Liabilities</t>
  </si>
  <si>
    <t xml:space="preserve">      + ST Finance Leases</t>
  </si>
  <si>
    <t xml:space="preserve">    + Current Portion of LT Debt</t>
  </si>
  <si>
    <t xml:space="preserve">  + Other ST Liabilities</t>
  </si>
  <si>
    <t xml:space="preserve">    + Deferred Revenue</t>
  </si>
  <si>
    <t>Certain Important Ratios</t>
  </si>
  <si>
    <t xml:space="preserve">    + Derivatives &amp; Hedging</t>
  </si>
  <si>
    <t xml:space="preserve">    + Misc ST Liabilities</t>
  </si>
  <si>
    <t xml:space="preserve">Trade receivable turnover ratio </t>
  </si>
  <si>
    <t>Inventory turnover ratio</t>
  </si>
  <si>
    <t xml:space="preserve">  + LT Debt</t>
  </si>
  <si>
    <t>Accounts Payable turnover ratio</t>
  </si>
  <si>
    <t xml:space="preserve">    + LT Borrowings</t>
  </si>
  <si>
    <t>Cash ratio</t>
  </si>
  <si>
    <t xml:space="preserve">    + LT Lease Liabilities</t>
  </si>
  <si>
    <t>Working Capital Turnover ratio</t>
  </si>
  <si>
    <t xml:space="preserve">      + LT Finance Leases</t>
  </si>
  <si>
    <t>Net PPE turnover ratio</t>
  </si>
  <si>
    <t xml:space="preserve">  + Other LT Liabilities</t>
  </si>
  <si>
    <t xml:space="preserve">    + Accrued Liabilities</t>
  </si>
  <si>
    <t xml:space="preserve">    + Pension Liabilities</t>
  </si>
  <si>
    <t xml:space="preserve">    + Deferred Compensation</t>
  </si>
  <si>
    <t>Projections</t>
  </si>
  <si>
    <t xml:space="preserve">    + Deferred Tax Liabilities</t>
  </si>
  <si>
    <t>Net PPE</t>
  </si>
  <si>
    <t xml:space="preserve">    + Misc LT Liabilities</t>
  </si>
  <si>
    <t>Total Noncurrent Liabilities</t>
  </si>
  <si>
    <t>Other Long term Liabilities</t>
  </si>
  <si>
    <t>Total Liabilities</t>
  </si>
  <si>
    <t xml:space="preserve">  + Preferred Equity and Hybrid Capital</t>
  </si>
  <si>
    <t xml:space="preserve">  + Share Capital &amp; APIC</t>
  </si>
  <si>
    <t xml:space="preserve">    + Common Stock</t>
  </si>
  <si>
    <t xml:space="preserve">    + Additional Paid in Capital</t>
  </si>
  <si>
    <t xml:space="preserve">  - Treasury Stock</t>
  </si>
  <si>
    <t xml:space="preserve">  + Retained Earnings</t>
  </si>
  <si>
    <t xml:space="preserve">  + Other Equity</t>
  </si>
  <si>
    <t>Equity Before Minority Interest</t>
  </si>
  <si>
    <t xml:space="preserve">  + Minority/Non Controlling Interest</t>
  </si>
  <si>
    <t>Total Equity</t>
  </si>
  <si>
    <t>Total Liabilities &amp; Equity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</si>
  <si>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</si>
  <si>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</si>
  <si>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</si>
  <si>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</si>
  <si>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</si>
  <si>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Percent Of Foreign Ownership</t>
  </si>
  <si>
    <t>Number Of Shareholders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</si>
  <si>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</si>
  <si>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</si>
  <si>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</si>
  <si>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</si>
  <si>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</si>
  <si>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</si>
  <si>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</si>
  <si>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Number of Employees</t>
  </si>
  <si>
    <t>Free Cash Flow to Firm</t>
  </si>
  <si>
    <t>Particulars</t>
  </si>
  <si>
    <t>Net Income</t>
  </si>
  <si>
    <t>Depreciation</t>
  </si>
  <si>
    <t>Interest Expense(1-T)</t>
  </si>
  <si>
    <t>CAPEX</t>
  </si>
  <si>
    <t>FCFF</t>
  </si>
  <si>
    <t>Free Cash Flow to Equity</t>
  </si>
  <si>
    <t>Long Term Borrowings</t>
  </si>
  <si>
    <t>FCFE</t>
  </si>
  <si>
    <t>NIFTY 50 (^NSEI)</t>
  </si>
  <si>
    <t>TECH M Limited</t>
  </si>
  <si>
    <t>WIPRO Limited</t>
  </si>
  <si>
    <t>HCL Tech Limited</t>
  </si>
  <si>
    <t>INFOSYS</t>
  </si>
  <si>
    <t>TCS Consultancy Services</t>
  </si>
  <si>
    <t>Historical Weekly Returns</t>
  </si>
  <si>
    <t>Date</t>
  </si>
  <si>
    <t>Open</t>
  </si>
  <si>
    <t>High</t>
  </si>
  <si>
    <t>Low</t>
  </si>
  <si>
    <t>Volume</t>
  </si>
  <si>
    <t>NIFTY 50</t>
  </si>
  <si>
    <t>TECH M</t>
  </si>
  <si>
    <t>WIPRO</t>
  </si>
  <si>
    <t>HCL TECH</t>
  </si>
  <si>
    <t>TCS</t>
  </si>
  <si>
    <t>Beta</t>
  </si>
  <si>
    <t>P-value</t>
  </si>
  <si>
    <t>Regression Statistics</t>
  </si>
  <si>
    <t>Multiple R</t>
  </si>
  <si>
    <t>R Square</t>
  </si>
  <si>
    <t>HCL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</si>
  <si>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</si>
  <si>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</si>
  <si>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</si>
  <si>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</si>
  <si>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</si>
  <si>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</si>
  <si>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</si>
  <si>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</si>
  <si>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</si>
  <si>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</si>
  <si>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</si>
  <si>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</si>
  <si>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</si>
  <si>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</si>
  <si>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Lower 95%</t>
  </si>
  <si>
    <t>Upper 95%</t>
  </si>
  <si>
    <t>Lower 95.0%</t>
  </si>
  <si>
    <t>Upper 95.0%</t>
  </si>
  <si>
    <t>Intercept</t>
  </si>
  <si>
    <t>SUMMARY OUTPUT (WIPRO)</t>
  </si>
  <si>
    <t>SUMMARY OUTPUT (HCL)</t>
  </si>
  <si>
    <t>SUMMARY OUTPUT (INFOSYS)</t>
  </si>
  <si>
    <t>SUMMARY OUTPUT (TCS)</t>
  </si>
  <si>
    <t>Risk free rate (Rf)</t>
  </si>
  <si>
    <t>As of 31st March 2023</t>
  </si>
  <si>
    <t>Corporate Tax</t>
  </si>
  <si>
    <t>Beta from Regression</t>
  </si>
  <si>
    <t>Total equity</t>
  </si>
  <si>
    <t>Levering and Unlevering of Beta</t>
  </si>
  <si>
    <t>Competitive Firms</t>
  </si>
  <si>
    <t>Wipro</t>
  </si>
  <si>
    <t>HCl</t>
  </si>
  <si>
    <t>Infosys</t>
  </si>
  <si>
    <t>Wipro Balance Sheet, Wipro Financial Statement &amp; Accounts (moneycontrol.com)</t>
  </si>
  <si>
    <t>HCL Technologies Balance Sheet, HCL Technologies Financial Statement &amp; Accounts (moneycontrol.com)</t>
  </si>
  <si>
    <t>Infosys Balance Sheet, Infosys Financial Statement &amp; Accounts (moneycontrol.com)</t>
  </si>
  <si>
    <t>Total non current Liabilities</t>
  </si>
  <si>
    <t>Tata Consultancy Services Balance Sheet, Tata Consultancy Services Financial Statement &amp; Accounts (moneycontrol.com)</t>
  </si>
  <si>
    <t>D/E ratio</t>
  </si>
  <si>
    <t>E/V ratio</t>
  </si>
  <si>
    <t>Beta Unlevered</t>
  </si>
  <si>
    <t>Average unlevered Beta</t>
  </si>
  <si>
    <t>D/E of Tech M</t>
  </si>
  <si>
    <t>Beta equity for Tech M</t>
  </si>
  <si>
    <t>Calculating cost of Equity Capital</t>
  </si>
  <si>
    <t>Rm</t>
  </si>
  <si>
    <t>Rf</t>
  </si>
  <si>
    <t>Rm-Rf</t>
  </si>
  <si>
    <t>Cost of equity capital</t>
  </si>
  <si>
    <t>Cost of Debt Calculations</t>
  </si>
  <si>
    <t>Interest Coverage ratio</t>
  </si>
  <si>
    <t>Spread</t>
  </si>
  <si>
    <t>Risk Free rate</t>
  </si>
  <si>
    <t>Cost of Debt</t>
  </si>
  <si>
    <t xml:space="preserve">Market Value of Equity </t>
  </si>
  <si>
    <t>Share Price March 2023</t>
  </si>
  <si>
    <t>Share Outstanding</t>
  </si>
  <si>
    <t>Market Value of Equity</t>
  </si>
  <si>
    <t>Market value of Debt</t>
  </si>
  <si>
    <t>Book Value of Debt (other long term Liabilities)</t>
  </si>
  <si>
    <t>Maturity</t>
  </si>
  <si>
    <t>Cost of debt</t>
  </si>
  <si>
    <t>Market Value of debt</t>
  </si>
  <si>
    <t>WACC</t>
  </si>
  <si>
    <t>Enterprise Value</t>
  </si>
  <si>
    <t>D/V</t>
  </si>
  <si>
    <t>E/V</t>
  </si>
  <si>
    <t>Tax Rate</t>
  </si>
  <si>
    <t>Cost of Capital</t>
  </si>
  <si>
    <t>Ratios Required</t>
  </si>
  <si>
    <t>Total shareholders equity</t>
  </si>
  <si>
    <t>Dividends paid</t>
  </si>
  <si>
    <t>Payout Ratio</t>
  </si>
  <si>
    <t>Retention ratio</t>
  </si>
  <si>
    <t>ROA</t>
  </si>
  <si>
    <t>ROE</t>
  </si>
  <si>
    <t>Growth rate using reinvestment rate and ROA capital</t>
  </si>
  <si>
    <t>Reinvestment rate</t>
  </si>
  <si>
    <t>g</t>
  </si>
  <si>
    <t>FCFF in 2028</t>
  </si>
  <si>
    <t>Terminal value at end of 2028</t>
  </si>
  <si>
    <t>Terminal value at end of 2023</t>
  </si>
  <si>
    <t>Growth rate using reinvestment rate and ROE capital</t>
  </si>
  <si>
    <t>FCFE in 2028</t>
  </si>
  <si>
    <t xml:space="preserve">We can't use the growing perpetuity condition since g &gt; r, i.e firm cash flow will grow to infinity and can't be discounted to get terminal value </t>
  </si>
  <si>
    <t>Terminal value in 2028</t>
  </si>
  <si>
    <t>DCF Analysis</t>
  </si>
  <si>
    <t>Terminal Value</t>
  </si>
  <si>
    <t>NPV</t>
  </si>
  <si>
    <t xml:space="preserve">Relative valuation of company </t>
  </si>
  <si>
    <t>Market Capitalization (Billion) in rupees</t>
  </si>
  <si>
    <t>Net income (billion) in rupees</t>
  </si>
  <si>
    <t>P/E</t>
  </si>
  <si>
    <t>Industry P/E ratio</t>
  </si>
  <si>
    <t xml:space="preserve">Industry P/E </t>
  </si>
  <si>
    <t>Predicted MV of Equity</t>
  </si>
  <si>
    <t>Offer price for 1 share (in rupees)</t>
  </si>
  <si>
    <t>Source: Bloomberg</t>
  </si>
  <si>
    <t>Adjusted Close</t>
  </si>
  <si>
    <t>SUMMARY OUTPUT (TECH M Beta)</t>
  </si>
  <si>
    <t>Comparable Companies:</t>
  </si>
  <si>
    <t>Outstanding shares (as of March 27th, 2023)</t>
  </si>
  <si>
    <t>Share price (as of March 27th, 2023) in rupees</t>
  </si>
  <si>
    <t>(TECH mahindra belongs to Telecommunication Industry)</t>
  </si>
  <si>
    <t>Given data on Tech Mahindra</t>
  </si>
  <si>
    <t>Income Statement (In millions of INR)</t>
  </si>
  <si>
    <t>Valuation of Tech Mahindra using relative valuation</t>
  </si>
  <si>
    <t xml:space="preserve">Thus using relative valuation we can see that the P/E value of Tech M is lower than the industry average </t>
  </si>
  <si>
    <t xml:space="preserve">and hence it has underpriced shares. Its current share price is 1103 rupees while using relative valuation </t>
  </si>
  <si>
    <t>it should be priced at 4472.81 rupees</t>
  </si>
  <si>
    <t>Net income (billion) in rupees for TECH M</t>
  </si>
  <si>
    <t>Outstanding shares (as of March 28th, 2023)</t>
  </si>
  <si>
    <t>Share price (as of March 28th, 2023) in rupees</t>
  </si>
  <si>
    <t>Relevering beta for Tech M using D/E ratio</t>
  </si>
  <si>
    <t>2021A8PS2953H</t>
  </si>
  <si>
    <t>SHUBHAM GUPTA</t>
  </si>
  <si>
    <t>2021A7PS3188H</t>
  </si>
  <si>
    <t>HARDIK MITTAL</t>
  </si>
  <si>
    <t>2020B3A70505H</t>
  </si>
  <si>
    <t>SHUBHAM AGRAWAL</t>
  </si>
  <si>
    <t>2021A1PS2371H</t>
  </si>
  <si>
    <t>PARAMESWARAN SARAVANAN</t>
  </si>
  <si>
    <t>2020B3AA1505H</t>
  </si>
  <si>
    <t>ISHAN SINGH</t>
  </si>
  <si>
    <t>2020B3A71815H</t>
  </si>
  <si>
    <t>TANMAY BHETHANABHOTLA</t>
  </si>
  <si>
    <t>2020B2A32403H</t>
  </si>
  <si>
    <t>KARUN VATTAKAVIL</t>
  </si>
  <si>
    <t>ID number</t>
  </si>
  <si>
    <t>Name</t>
  </si>
  <si>
    <t>Group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</si>
</sst>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0.0000000000000000%"/>
    <numFmt numFmtId="165" formatCode="0.000000000000000%"/>
    <numFmt numFmtId="166" formatCode="#,##0.0"/>
    <numFmt numFmtId="167" formatCode="0.0000"/>
    <numFmt numFmtId="168" formatCode="0.000E+00"/>
  </numFmts>
  <fonts count="4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1">
    <xf numFmtId="0" fontId="0" fillId="0" borderId="0"/>
    <xf numFmtId="0" fontId="1" fillId="2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0" borderId="22" applyNumberFormat="0" applyFill="0" applyAlignment="0" applyProtection="0"/>
    <xf numFmtId="0" fontId="18" fillId="0" borderId="23" applyNumberFormat="0" applyFill="0" applyAlignment="0" applyProtection="0"/>
    <xf numFmtId="0" fontId="19" fillId="0" borderId="24" applyNumberFormat="0" applyFill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12" borderId="25" applyNumberFormat="0" applyAlignment="0" applyProtection="0"/>
    <xf numFmtId="0" fontId="22" fillId="13" borderId="26" applyNumberFormat="0" applyAlignment="0" applyProtection="0"/>
    <xf numFmtId="0" fontId="23" fillId="13" borderId="25" applyNumberFormat="0" applyAlignment="0" applyProtection="0"/>
    <xf numFmtId="0" fontId="24" fillId="0" borderId="27" applyNumberFormat="0" applyFill="0" applyAlignment="0" applyProtection="0"/>
    <xf numFmtId="0" fontId="25" fillId="14" borderId="28" applyNumberFormat="0" applyAlignment="0" applyProtection="0"/>
    <xf numFmtId="0" fontId="26" fillId="0" borderId="0" applyNumberFormat="0" applyFill="0" applyBorder="0" applyAlignment="0" applyProtection="0"/>
    <xf numFmtId="0" fontId="16" fillId="15" borderId="29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30" applyNumberFormat="0" applyFill="0" applyAlignment="0" applyProtection="0"/>
    <xf numFmtId="0" fontId="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0" fontId="6" fillId="39" borderId="0" applyNumberFormat="0" applyBorder="0" applyAlignment="0" applyProtection="0"/>
    <xf numFmtId="0" fontId="29" fillId="40" borderId="0"/>
    <xf numFmtId="0" fontId="34" fillId="40" borderId="31">
      <alignment horizontal="right"/>
    </xf>
    <xf numFmtId="0" fontId="33" fillId="41" borderId="0" applyNumberFormat="0" applyBorder="0" applyProtection="0">
      <alignment horizontal="center"/>
    </xf>
    <xf numFmtId="0" fontId="34" fillId="40" borderId="33">
      <alignment horizontal="right"/>
    </xf>
    <xf numFmtId="0" fontId="34" fillId="40" borderId="33">
      <alignment horizontal="left"/>
    </xf>
    <xf numFmtId="0" fontId="35" fillId="41" borderId="34"/>
    <xf numFmtId="0" fontId="31" fillId="41" borderId="34"/>
    <xf numFmtId="0" fontId="30" fillId="41" borderId="34"/>
    <xf numFmtId="0" fontId="38" fillId="11" borderId="0" applyNumberFormat="0" applyBorder="0" applyAlignment="0" applyProtection="0"/>
    <xf numFmtId="0" fontId="37" fillId="0" borderId="0" applyNumberFormat="0" applyFill="0" applyBorder="0" applyAlignment="0" applyProtection="0"/>
    <xf numFmtId="0" fontId="32" fillId="40" borderId="35" applyNumberFormat="0" applyProtection="0">
      <alignment horizontal="left" vertical="center" readingOrder="1"/>
    </xf>
    <xf numFmtId="0" fontId="34" fillId="40" borderId="31">
      <alignment horizontal="left"/>
    </xf>
    <xf numFmtId="3" fontId="28" fillId="41" borderId="32">
      <alignment horizontal="right"/>
    </xf>
    <xf numFmtId="166" fontId="28" fillId="41" borderId="32">
      <alignment horizontal="right"/>
    </xf>
    <xf numFmtId="4" fontId="28" fillId="41" borderId="32">
      <alignment horizontal="right"/>
    </xf>
    <xf numFmtId="3" fontId="28" fillId="42" borderId="32">
      <alignment horizontal="right"/>
    </xf>
    <xf numFmtId="166" fontId="28" fillId="42" borderId="32">
      <alignment horizontal="right"/>
    </xf>
    <xf numFmtId="4" fontId="28" fillId="42" borderId="32">
      <alignment horizontal="right"/>
    </xf>
    <xf numFmtId="3" fontId="35" fillId="41" borderId="32">
      <alignment horizontal="right"/>
    </xf>
    <xf numFmtId="166" fontId="35" fillId="41" borderId="32">
      <alignment horizontal="right"/>
    </xf>
    <xf numFmtId="4" fontId="35" fillId="41" borderId="32">
      <alignment horizontal="right"/>
    </xf>
    <xf numFmtId="3" fontId="35" fillId="42" borderId="32">
      <alignment horizontal="right"/>
    </xf>
    <xf numFmtId="166" fontId="35" fillId="42" borderId="32">
      <alignment horizontal="right"/>
    </xf>
    <xf numFmtId="4" fontId="35" fillId="42" borderId="32">
      <alignment horizontal="right"/>
    </xf>
    <xf numFmtId="166" fontId="36" fillId="41" borderId="32">
      <alignment horizontal="right"/>
    </xf>
    <xf numFmtId="166" fontId="36" fillId="42" borderId="32">
      <alignment horizontal="right"/>
    </xf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1" fillId="0" borderId="0"/>
  </cellStyleXfs>
  <cellXfs count="280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3" borderId="16" xfId="0" applyFill="1" applyBorder="1"/>
    <xf numFmtId="0" fontId="0" fillId="3" borderId="14" xfId="0" applyFill="1" applyBorder="1"/>
    <xf numFmtId="0" fontId="0" fillId="3" borderId="12" xfId="0" applyFill="1" applyBorder="1"/>
    <xf numFmtId="0" fontId="0" fillId="3" borderId="13" xfId="0" applyFill="1" applyBorder="1"/>
    <xf numFmtId="0" fontId="5" fillId="3" borderId="12" xfId="0" applyFont="1" applyFill="1" applyBorder="1"/>
    <xf numFmtId="0" fontId="5" fillId="3" borderId="13" xfId="0" applyFont="1" applyFill="1" applyBorder="1"/>
    <xf numFmtId="0" fontId="5" fillId="3" borderId="15" xfId="0" applyFont="1" applyFill="1" applyBorder="1"/>
    <xf numFmtId="0" fontId="5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2" fillId="0" borderId="0" xfId="0" applyFont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5" fillId="5" borderId="7" xfId="0" applyFont="1" applyFill="1" applyBorder="1"/>
    <xf numFmtId="0" fontId="5" fillId="5" borderId="9" xfId="0" applyFont="1" applyFill="1" applyBorder="1"/>
    <xf numFmtId="0" fontId="5" fillId="5" borderId="11" xfId="0" applyFont="1" applyFill="1" applyBorder="1"/>
    <xf numFmtId="0" fontId="5" fillId="5" borderId="12" xfId="0" applyFont="1" applyFill="1" applyBorder="1"/>
    <xf numFmtId="0" fontId="5" fillId="5" borderId="13" xfId="0" applyFont="1" applyFill="1" applyBorder="1"/>
    <xf numFmtId="0" fontId="0" fillId="4" borderId="11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12" xfId="0" applyFill="1" applyBorder="1"/>
    <xf numFmtId="0" fontId="0" fillId="4" borderId="0" xfId="0" applyFill="1"/>
    <xf numFmtId="0" fontId="0" fillId="3" borderId="11" xfId="0" applyFill="1" applyBorder="1"/>
    <xf numFmtId="0" fontId="0" fillId="3" borderId="1" xfId="0" applyFill="1" applyBorder="1"/>
    <xf numFmtId="0" fontId="0" fillId="3" borderId="0" xfId="0" applyFill="1"/>
    <xf numFmtId="0" fontId="0" fillId="3" borderId="8" xfId="0" applyFill="1" applyBorder="1"/>
    <xf numFmtId="0" fontId="13" fillId="0" borderId="0" xfId="0" applyFont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3" borderId="11" xfId="0" applyFont="1" applyFill="1" applyBorder="1"/>
    <xf numFmtId="10" fontId="0" fillId="0" borderId="8" xfId="0" applyNumberFormat="1" applyBorder="1"/>
    <xf numFmtId="0" fontId="5" fillId="0" borderId="4" xfId="0" applyFont="1" applyBorder="1"/>
    <xf numFmtId="0" fontId="5" fillId="0" borderId="7" xfId="0" applyFont="1" applyBorder="1"/>
    <xf numFmtId="0" fontId="5" fillId="0" borderId="9" xfId="0" applyFont="1" applyBorder="1"/>
    <xf numFmtId="0" fontId="0" fillId="3" borderId="9" xfId="0" applyFill="1" applyBorder="1"/>
    <xf numFmtId="0" fontId="0" fillId="0" borderId="17" xfId="0" applyBorder="1"/>
    <xf numFmtId="0" fontId="12" fillId="0" borderId="17" xfId="0" applyFont="1" applyBorder="1"/>
    <xf numFmtId="0" fontId="11" fillId="0" borderId="17" xfId="0" applyFont="1" applyBorder="1"/>
    <xf numFmtId="0" fontId="0" fillId="7" borderId="0" xfId="0" applyFill="1"/>
    <xf numFmtId="0" fontId="0" fillId="7" borderId="8" xfId="0" applyFill="1" applyBorder="1"/>
    <xf numFmtId="0" fontId="0" fillId="7" borderId="1" xfId="0" applyFill="1" applyBorder="1"/>
    <xf numFmtId="0" fontId="0" fillId="7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5" fillId="0" borderId="14" xfId="0" applyFont="1" applyBorder="1"/>
    <xf numFmtId="0" fontId="0" fillId="5" borderId="11" xfId="0" applyFill="1" applyBorder="1"/>
    <xf numFmtId="10" fontId="0" fillId="3" borderId="8" xfId="0" applyNumberFormat="1" applyFill="1" applyBorder="1"/>
    <xf numFmtId="0" fontId="4" fillId="3" borderId="10" xfId="0" applyFont="1" applyFill="1" applyBorder="1" applyAlignment="1">
      <alignment horizontal="right"/>
    </xf>
    <xf numFmtId="0" fontId="14" fillId="0" borderId="17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10" xfId="0" applyFont="1" applyBorder="1"/>
    <xf numFmtId="10" fontId="0" fillId="5" borderId="8" xfId="0" applyNumberFormat="1" applyFill="1" applyBorder="1"/>
    <xf numFmtId="3" fontId="0" fillId="5" borderId="8" xfId="0" applyNumberFormat="1" applyFill="1" applyBorder="1"/>
    <xf numFmtId="10" fontId="0" fillId="0" borderId="12" xfId="0" applyNumberFormat="1" applyBorder="1"/>
    <xf numFmtId="10" fontId="0" fillId="5" borderId="12" xfId="0" applyNumberFormat="1" applyFill="1" applyBorder="1"/>
    <xf numFmtId="0" fontId="13" fillId="5" borderId="16" xfId="0" applyFont="1" applyFill="1" applyBorder="1"/>
    <xf numFmtId="0" fontId="13" fillId="5" borderId="3" xfId="0" applyFont="1" applyFill="1" applyBorder="1"/>
    <xf numFmtId="0" fontId="5" fillId="0" borderId="3" xfId="0" applyFont="1" applyBorder="1"/>
    <xf numFmtId="0" fontId="0" fillId="0" borderId="12" xfId="0" applyBorder="1" applyAlignment="1">
      <alignment horizontal="center"/>
    </xf>
    <xf numFmtId="0" fontId="5" fillId="0" borderId="8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4" xfId="0" applyFont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0" fillId="7" borderId="12" xfId="0" applyFill="1" applyBorder="1"/>
    <xf numFmtId="0" fontId="0" fillId="7" borderId="13" xfId="0" applyFill="1" applyBorder="1"/>
    <xf numFmtId="0" fontId="0" fillId="3" borderId="3" xfId="0" applyFill="1" applyBorder="1"/>
    <xf numFmtId="0" fontId="5" fillId="3" borderId="3" xfId="0" applyFont="1" applyFill="1" applyBorder="1"/>
    <xf numFmtId="0" fontId="14" fillId="0" borderId="11" xfId="0" applyFont="1" applyBorder="1"/>
    <xf numFmtId="0" fontId="13" fillId="7" borderId="12" xfId="0" applyFont="1" applyFill="1" applyBorder="1"/>
    <xf numFmtId="0" fontId="11" fillId="4" borderId="11" xfId="0" applyFont="1" applyFill="1" applyBorder="1"/>
    <xf numFmtId="0" fontId="5" fillId="4" borderId="14" xfId="0" applyFont="1" applyFill="1" applyBorder="1"/>
    <xf numFmtId="0" fontId="5" fillId="4" borderId="3" xfId="0" applyFont="1" applyFill="1" applyBorder="1"/>
    <xf numFmtId="0" fontId="5" fillId="4" borderId="15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10" fontId="0" fillId="4" borderId="12" xfId="0" applyNumberFormat="1" applyFill="1" applyBorder="1"/>
    <xf numFmtId="10" fontId="0" fillId="4" borderId="8" xfId="0" applyNumberFormat="1" applyFill="1" applyBorder="1"/>
    <xf numFmtId="0" fontId="5" fillId="4" borderId="13" xfId="0" applyFont="1" applyFill="1" applyBorder="1"/>
    <xf numFmtId="10" fontId="0" fillId="4" borderId="13" xfId="0" applyNumberFormat="1" applyFill="1" applyBorder="1"/>
    <xf numFmtId="10" fontId="0" fillId="4" borderId="10" xfId="0" applyNumberFormat="1" applyFill="1" applyBorder="1"/>
    <xf numFmtId="0" fontId="11" fillId="0" borderId="11" xfId="0" applyFont="1" applyBorder="1"/>
    <xf numFmtId="0" fontId="6" fillId="8" borderId="7" xfId="0" applyFont="1" applyFill="1" applyBorder="1"/>
    <xf numFmtId="0" fontId="6" fillId="8" borderId="12" xfId="0" applyFont="1" applyFill="1" applyBorder="1"/>
    <xf numFmtId="0" fontId="6" fillId="8" borderId="8" xfId="0" applyFont="1" applyFill="1" applyBorder="1"/>
    <xf numFmtId="0" fontId="6" fillId="8" borderId="9" xfId="0" applyFont="1" applyFill="1" applyBorder="1"/>
    <xf numFmtId="0" fontId="6" fillId="8" borderId="13" xfId="0" applyFont="1" applyFill="1" applyBorder="1"/>
    <xf numFmtId="0" fontId="6" fillId="8" borderId="10" xfId="0" applyFont="1" applyFill="1" applyBorder="1"/>
    <xf numFmtId="0" fontId="15" fillId="0" borderId="0" xfId="2"/>
    <xf numFmtId="0" fontId="0" fillId="0" borderId="18" xfId="0" applyBorder="1"/>
    <xf numFmtId="0" fontId="3" fillId="2" borderId="19" xfId="1" applyFont="1" applyBorder="1"/>
    <xf numFmtId="0" fontId="3" fillId="2" borderId="20" xfId="1" applyFont="1" applyBorder="1"/>
    <xf numFmtId="0" fontId="3" fillId="2" borderId="21" xfId="1" applyFont="1" applyBorder="1"/>
    <xf numFmtId="0" fontId="5" fillId="7" borderId="0" xfId="0" applyFont="1" applyFill="1"/>
    <xf numFmtId="164" fontId="5" fillId="5" borderId="15" xfId="0" applyNumberFormat="1" applyFont="1" applyFill="1" applyBorder="1"/>
    <xf numFmtId="10" fontId="5" fillId="5" borderId="15" xfId="0" applyNumberFormat="1" applyFont="1" applyFill="1" applyBorder="1"/>
    <xf numFmtId="0" fontId="5" fillId="5" borderId="3" xfId="0" applyFont="1" applyFill="1" applyBorder="1"/>
    <xf numFmtId="10" fontId="5" fillId="5" borderId="3" xfId="0" applyNumberFormat="1" applyFont="1" applyFill="1" applyBorder="1"/>
    <xf numFmtId="0" fontId="5" fillId="7" borderId="12" xfId="0" applyFont="1" applyFill="1" applyBorder="1"/>
    <xf numFmtId="0" fontId="5" fillId="9" borderId="18" xfId="0" applyFont="1" applyFill="1" applyBorder="1"/>
    <xf numFmtId="0" fontId="5" fillId="9" borderId="0" xfId="0" applyFont="1" applyFill="1"/>
    <xf numFmtId="0" fontId="5" fillId="3" borderId="3" xfId="0" applyFont="1" applyFill="1" applyBorder="1" applyAlignment="1">
      <alignment horizontal="center" vertical="center"/>
    </xf>
    <xf numFmtId="14" fontId="5" fillId="3" borderId="46" xfId="0" applyNumberFormat="1" applyFont="1" applyFill="1" applyBorder="1" applyAlignment="1">
      <alignment horizontal="center" vertical="center"/>
    </xf>
    <xf numFmtId="14" fontId="5" fillId="3" borderId="47" xfId="0" applyNumberFormat="1" applyFont="1" applyFill="1" applyBorder="1" applyAlignment="1">
      <alignment horizontal="center" vertical="center"/>
    </xf>
    <xf numFmtId="14" fontId="5" fillId="3" borderId="48" xfId="0" applyNumberFormat="1" applyFont="1" applyFill="1" applyBorder="1" applyAlignment="1">
      <alignment horizontal="center" vertical="center"/>
    </xf>
    <xf numFmtId="0" fontId="33" fillId="41" borderId="0" xfId="43">
      <alignment horizontal="center"/>
    </xf>
    <xf numFmtId="0" fontId="34" fillId="40" borderId="33" xfId="45">
      <alignment horizontal="left"/>
    </xf>
    <xf numFmtId="0" fontId="34" fillId="40" borderId="33" xfId="44">
      <alignment horizontal="right"/>
    </xf>
    <xf numFmtId="0" fontId="34" fillId="40" borderId="31" xfId="42">
      <alignment horizontal="right"/>
    </xf>
    <xf numFmtId="0" fontId="35" fillId="41" borderId="34" xfId="46"/>
    <xf numFmtId="0" fontId="32" fillId="40" borderId="35" xfId="51">
      <alignment horizontal="left" vertical="center" readingOrder="1"/>
    </xf>
    <xf numFmtId="0" fontId="34" fillId="40" borderId="31" xfId="52">
      <alignment horizontal="left"/>
    </xf>
    <xf numFmtId="0" fontId="30" fillId="41" borderId="34" xfId="48"/>
    <xf numFmtId="0" fontId="31" fillId="41" borderId="34" xfId="47"/>
    <xf numFmtId="3" fontId="28" fillId="41" borderId="32" xfId="53">
      <alignment horizontal="right"/>
    </xf>
    <xf numFmtId="166" fontId="28" fillId="41" borderId="32" xfId="54">
      <alignment horizontal="right"/>
    </xf>
    <xf numFmtId="4" fontId="28" fillId="41" borderId="32" xfId="55">
      <alignment horizontal="right"/>
    </xf>
    <xf numFmtId="3" fontId="28" fillId="42" borderId="32" xfId="56">
      <alignment horizontal="right"/>
    </xf>
    <xf numFmtId="166" fontId="28" fillId="42" borderId="32" xfId="57">
      <alignment horizontal="right"/>
    </xf>
    <xf numFmtId="4" fontId="28" fillId="42" borderId="32" xfId="58">
      <alignment horizontal="right"/>
    </xf>
    <xf numFmtId="3" fontId="35" fillId="41" borderId="32" xfId="59">
      <alignment horizontal="right"/>
    </xf>
    <xf numFmtId="166" fontId="35" fillId="41" borderId="32" xfId="60">
      <alignment horizontal="right"/>
    </xf>
    <xf numFmtId="4" fontId="35" fillId="41" borderId="32" xfId="61">
      <alignment horizontal="right"/>
    </xf>
    <xf numFmtId="3" fontId="35" fillId="42" borderId="32" xfId="62">
      <alignment horizontal="right"/>
    </xf>
    <xf numFmtId="166" fontId="35" fillId="42" borderId="32" xfId="63">
      <alignment horizontal="right"/>
    </xf>
    <xf numFmtId="4" fontId="35" fillId="42" borderId="32" xfId="64">
      <alignment horizontal="right"/>
    </xf>
    <xf numFmtId="166" fontId="36" fillId="41" borderId="32" xfId="65">
      <alignment horizontal="right"/>
    </xf>
    <xf numFmtId="166" fontId="36" fillId="42" borderId="32" xfId="66">
      <alignment horizontal="right"/>
    </xf>
    <xf numFmtId="2" fontId="0" fillId="0" borderId="41" xfId="0" applyNumberFormat="1" applyBorder="1" applyAlignment="1">
      <alignment horizontal="right" vertical="center"/>
    </xf>
    <xf numFmtId="2" fontId="0" fillId="0" borderId="31" xfId="0" applyNumberFormat="1" applyBorder="1" applyAlignment="1">
      <alignment horizontal="right" vertical="center"/>
    </xf>
    <xf numFmtId="1" fontId="0" fillId="0" borderId="42" xfId="0" applyNumberFormat="1" applyBorder="1" applyAlignment="1">
      <alignment horizontal="right" vertical="center"/>
    </xf>
    <xf numFmtId="2" fontId="0" fillId="0" borderId="36" xfId="0" applyNumberFormat="1" applyBorder="1" applyAlignment="1">
      <alignment horizontal="right" vertical="center"/>
    </xf>
    <xf numFmtId="2" fontId="0" fillId="0" borderId="18" xfId="0" applyNumberFormat="1" applyBorder="1" applyAlignment="1">
      <alignment horizontal="right" vertical="center"/>
    </xf>
    <xf numFmtId="1" fontId="0" fillId="0" borderId="37" xfId="0" applyNumberFormat="1" applyBorder="1" applyAlignment="1">
      <alignment horizontal="right" vertical="center"/>
    </xf>
    <xf numFmtId="2" fontId="0" fillId="0" borderId="38" xfId="0" applyNumberFormat="1" applyBorder="1" applyAlignment="1">
      <alignment horizontal="right" vertical="center"/>
    </xf>
    <xf numFmtId="2" fontId="0" fillId="0" borderId="39" xfId="0" applyNumberFormat="1" applyBorder="1" applyAlignment="1">
      <alignment horizontal="right" vertical="center"/>
    </xf>
    <xf numFmtId="1" fontId="0" fillId="0" borderId="40" xfId="0" applyNumberFormat="1" applyBorder="1" applyAlignment="1">
      <alignment horizontal="right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43" borderId="0" xfId="0" applyFill="1" applyAlignment="1">
      <alignment horizontal="center" vertical="center"/>
    </xf>
    <xf numFmtId="0" fontId="7" fillId="43" borderId="0" xfId="0" applyFont="1" applyFill="1"/>
    <xf numFmtId="167" fontId="0" fillId="43" borderId="18" xfId="0" applyNumberFormat="1" applyFill="1" applyBorder="1"/>
    <xf numFmtId="167" fontId="0" fillId="43" borderId="36" xfId="0" applyNumberFormat="1" applyFill="1" applyBorder="1"/>
    <xf numFmtId="167" fontId="0" fillId="43" borderId="37" xfId="0" applyNumberFormat="1" applyFill="1" applyBorder="1"/>
    <xf numFmtId="167" fontId="0" fillId="43" borderId="38" xfId="0" applyNumberFormat="1" applyFill="1" applyBorder="1"/>
    <xf numFmtId="167" fontId="7" fillId="43" borderId="43" xfId="0" applyNumberFormat="1" applyFont="1" applyFill="1" applyBorder="1"/>
    <xf numFmtId="167" fontId="7" fillId="43" borderId="44" xfId="0" applyNumberFormat="1" applyFont="1" applyFill="1" applyBorder="1"/>
    <xf numFmtId="167" fontId="7" fillId="43" borderId="45" xfId="0" applyNumberFormat="1" applyFont="1" applyFill="1" applyBorder="1"/>
    <xf numFmtId="168" fontId="7" fillId="43" borderId="42" xfId="0" applyNumberFormat="1" applyFont="1" applyFill="1" applyBorder="1"/>
    <xf numFmtId="168" fontId="7" fillId="43" borderId="37" xfId="0" applyNumberFormat="1" applyFont="1" applyFill="1" applyBorder="1"/>
    <xf numFmtId="168" fontId="7" fillId="43" borderId="40" xfId="0" applyNumberFormat="1" applyFont="1" applyFill="1" applyBorder="1"/>
    <xf numFmtId="0" fontId="12" fillId="3" borderId="19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49" xfId="0" applyFont="1" applyFill="1" applyBorder="1" applyAlignment="1">
      <alignment horizontal="left" vertical="center"/>
    </xf>
    <xf numFmtId="0" fontId="12" fillId="3" borderId="47" xfId="0" applyFont="1" applyFill="1" applyBorder="1" applyAlignment="1">
      <alignment horizontal="left" vertical="center"/>
    </xf>
    <xf numFmtId="0" fontId="12" fillId="3" borderId="48" xfId="0" applyFont="1" applyFill="1" applyBorder="1" applyAlignment="1">
      <alignment horizontal="left" vertical="center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166" fontId="0" fillId="0" borderId="11" xfId="0" applyNumberFormat="1" applyBorder="1"/>
    <xf numFmtId="166" fontId="0" fillId="0" borderId="8" xfId="0" applyNumberFormat="1" applyBorder="1"/>
    <xf numFmtId="166" fontId="0" fillId="0" borderId="12" xfId="0" applyNumberFormat="1" applyBorder="1"/>
    <xf numFmtId="3" fontId="0" fillId="0" borderId="8" xfId="0" applyNumberFormat="1" applyBorder="1"/>
    <xf numFmtId="10" fontId="0" fillId="44" borderId="6" xfId="0" applyNumberFormat="1" applyFill="1" applyBorder="1"/>
    <xf numFmtId="10" fontId="0" fillId="44" borderId="8" xfId="0" applyNumberFormat="1" applyFill="1" applyBorder="1"/>
    <xf numFmtId="3" fontId="0" fillId="3" borderId="8" xfId="0" applyNumberFormat="1" applyFill="1" applyBorder="1"/>
    <xf numFmtId="0" fontId="39" fillId="0" borderId="0" xfId="0" applyFont="1"/>
    <xf numFmtId="0" fontId="0" fillId="0" borderId="52" xfId="0" applyBorder="1"/>
    <xf numFmtId="0" fontId="0" fillId="0" borderId="53" xfId="0" applyBorder="1"/>
    <xf numFmtId="0" fontId="8" fillId="3" borderId="0" xfId="0" applyFont="1" applyFill="1"/>
    <xf numFmtId="10" fontId="0" fillId="3" borderId="6" xfId="0" applyNumberFormat="1" applyFill="1" applyBorder="1"/>
    <xf numFmtId="10" fontId="0" fillId="7" borderId="6" xfId="0" applyNumberFormat="1" applyFill="1" applyBorder="1"/>
    <xf numFmtId="0" fontId="0" fillId="7" borderId="5" xfId="0" applyFill="1" applyBorder="1"/>
    <xf numFmtId="3" fontId="0" fillId="7" borderId="8" xfId="0" applyNumberFormat="1" applyFill="1" applyBorder="1"/>
    <xf numFmtId="3" fontId="0" fillId="7" borderId="12" xfId="0" applyNumberFormat="1" applyFill="1" applyBorder="1"/>
    <xf numFmtId="0" fontId="0" fillId="7" borderId="6" xfId="0" applyFill="1" applyBorder="1"/>
    <xf numFmtId="0" fontId="0" fillId="7" borderId="11" xfId="0" applyFill="1" applyBorder="1"/>
    <xf numFmtId="3" fontId="0" fillId="3" borderId="0" xfId="0" applyNumberFormat="1" applyFill="1"/>
    <xf numFmtId="0" fontId="5" fillId="0" borderId="16" xfId="0" applyFont="1" applyBorder="1" applyAlignment="1">
      <alignment horizontal="right" indent="2"/>
    </xf>
    <xf numFmtId="165" fontId="0" fillId="7" borderId="8" xfId="0" applyNumberFormat="1" applyFill="1" applyBorder="1"/>
    <xf numFmtId="10" fontId="0" fillId="7" borderId="8" xfId="0" applyNumberForma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2" fontId="0" fillId="0" borderId="1" xfId="0" applyNumberFormat="1" applyBorder="1"/>
    <xf numFmtId="0" fontId="5" fillId="3" borderId="9" xfId="0" applyFont="1" applyFill="1" applyBorder="1" applyAlignment="1">
      <alignment horizontal="left"/>
    </xf>
    <xf numFmtId="2" fontId="0" fillId="0" borderId="0" xfId="0" applyNumberFormat="1"/>
    <xf numFmtId="3" fontId="40" fillId="0" borderId="0" xfId="0" applyNumberFormat="1" applyFont="1"/>
    <xf numFmtId="0" fontId="5" fillId="3" borderId="7" xfId="0" applyFont="1" applyFill="1" applyBorder="1" applyAlignment="1">
      <alignment horizontal="left"/>
    </xf>
    <xf numFmtId="0" fontId="5" fillId="3" borderId="16" xfId="0" applyFont="1" applyFill="1" applyBorder="1"/>
    <xf numFmtId="4" fontId="10" fillId="0" borderId="0" xfId="0" applyNumberFormat="1" applyFont="1"/>
    <xf numFmtId="4" fontId="0" fillId="0" borderId="0" xfId="0" applyNumberFormat="1"/>
    <xf numFmtId="0" fontId="0" fillId="3" borderId="10" xfId="0" applyFill="1" applyBorder="1"/>
    <xf numFmtId="0" fontId="5" fillId="0" borderId="5" xfId="0" applyFont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5" xfId="0" applyBorder="1"/>
    <xf numFmtId="0" fontId="0" fillId="45" borderId="8" xfId="0" applyFill="1" applyBorder="1"/>
    <xf numFmtId="0" fontId="0" fillId="45" borderId="10" xfId="0" applyFill="1" applyBorder="1"/>
    <xf numFmtId="0" fontId="0" fillId="45" borderId="55" xfId="0" applyFill="1" applyBorder="1"/>
    <xf numFmtId="0" fontId="0" fillId="45" borderId="56" xfId="0" applyFill="1" applyBorder="1"/>
    <xf numFmtId="0" fontId="0" fillId="45" borderId="57" xfId="0" applyFill="1" applyBorder="1"/>
    <xf numFmtId="0" fontId="2" fillId="0" borderId="54" xfId="0" applyFont="1" applyBorder="1" applyAlignment="1">
      <alignment horizontal="center"/>
    </xf>
    <xf numFmtId="0" fontId="0" fillId="46" borderId="18" xfId="0" applyFill="1" applyBorder="1"/>
    <xf numFmtId="0" fontId="0" fillId="47" borderId="18" xfId="0" applyFill="1" applyBorder="1"/>
    <xf numFmtId="0" fontId="0" fillId="0" borderId="58" xfId="0" applyBorder="1"/>
    <xf numFmtId="0" fontId="2" fillId="48" borderId="54" xfId="0" applyFont="1" applyFill="1" applyBorder="1" applyAlignment="1">
      <alignment horizontal="centerContinuous"/>
    </xf>
    <xf numFmtId="0" fontId="2" fillId="48" borderId="51" xfId="0" applyFont="1" applyFill="1" applyBorder="1" applyAlignment="1">
      <alignment horizontal="centerContinuous"/>
    </xf>
    <xf numFmtId="0" fontId="2" fillId="48" borderId="50" xfId="0" applyFont="1" applyFill="1" applyBorder="1" applyAlignment="1">
      <alignment horizontal="centerContinuous"/>
    </xf>
    <xf numFmtId="0" fontId="5" fillId="48" borderId="0" xfId="0" applyFont="1" applyFill="1"/>
    <xf numFmtId="0" fontId="5" fillId="3" borderId="59" xfId="0" applyFont="1" applyFill="1" applyBorder="1"/>
    <xf numFmtId="0" fontId="5" fillId="3" borderId="56" xfId="0" applyFont="1" applyFill="1" applyBorder="1"/>
    <xf numFmtId="0" fontId="5" fillId="3" borderId="57" xfId="0" applyFont="1" applyFill="1" applyBorder="1"/>
    <xf numFmtId="0" fontId="0" fillId="3" borderId="59" xfId="0" applyFill="1" applyBorder="1"/>
    <xf numFmtId="0" fontId="0" fillId="3" borderId="57" xfId="0" applyFill="1" applyBorder="1"/>
    <xf numFmtId="0" fontId="0" fillId="48" borderId="0" xfId="0" applyFill="1"/>
    <xf numFmtId="0" fontId="0" fillId="0" borderId="44" xfId="0" applyBorder="1"/>
    <xf numFmtId="0" fontId="5" fillId="6" borderId="60" xfId="0" applyFont="1" applyFill="1" applyBorder="1" applyAlignment="1">
      <alignment horizontal="center"/>
    </xf>
    <xf numFmtId="0" fontId="0" fillId="6" borderId="44" xfId="0" applyFill="1" applyBorder="1"/>
    <xf numFmtId="0" fontId="5" fillId="3" borderId="5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5" fillId="49" borderId="11" xfId="0" applyFont="1" applyFill="1" applyBorder="1"/>
    <xf numFmtId="0" fontId="0" fillId="49" borderId="13" xfId="0" applyFill="1" applyBorder="1"/>
    <xf numFmtId="0" fontId="5" fillId="49" borderId="13" xfId="0" applyFont="1" applyFill="1" applyBorder="1"/>
    <xf numFmtId="0" fontId="0" fillId="49" borderId="3" xfId="0" applyFill="1" applyBorder="1"/>
    <xf numFmtId="0" fontId="0" fillId="49" borderId="15" xfId="0" applyFill="1" applyBorder="1"/>
    <xf numFmtId="0" fontId="30" fillId="41" borderId="18" xfId="48" applyBorder="1"/>
    <xf numFmtId="166" fontId="28" fillId="41" borderId="18" xfId="54" applyBorder="1">
      <alignment horizontal="right"/>
    </xf>
    <xf numFmtId="0" fontId="14" fillId="3" borderId="3" xfId="0" applyFont="1" applyFill="1" applyBorder="1"/>
    <xf numFmtId="0" fontId="14" fillId="3" borderId="16" xfId="0" applyFont="1" applyFill="1" applyBorder="1"/>
    <xf numFmtId="0" fontId="0" fillId="3" borderId="15" xfId="0" applyFill="1" applyBorder="1"/>
    <xf numFmtId="0" fontId="11" fillId="0" borderId="3" xfId="0" applyFont="1" applyBorder="1"/>
    <xf numFmtId="0" fontId="5" fillId="7" borderId="3" xfId="0" applyFont="1" applyFill="1" applyBorder="1"/>
    <xf numFmtId="0" fontId="7" fillId="3" borderId="3" xfId="0" applyFont="1" applyFill="1" applyBorder="1"/>
    <xf numFmtId="0" fontId="5" fillId="9" borderId="60" xfId="0" applyFont="1" applyFill="1" applyBorder="1"/>
    <xf numFmtId="0" fontId="0" fillId="46" borderId="44" xfId="0" applyFill="1" applyBorder="1"/>
    <xf numFmtId="0" fontId="0" fillId="0" borderId="33" xfId="0" applyBorder="1"/>
    <xf numFmtId="0" fontId="0" fillId="0" borderId="31" xfId="0" applyBorder="1"/>
    <xf numFmtId="0" fontId="7" fillId="49" borderId="60" xfId="0" applyFont="1" applyFill="1" applyBorder="1"/>
    <xf numFmtId="0" fontId="0" fillId="49" borderId="35" xfId="0" applyFill="1" applyBorder="1"/>
    <xf numFmtId="0" fontId="0" fillId="49" borderId="44" xfId="0" applyFill="1" applyBorder="1"/>
    <xf numFmtId="0" fontId="9" fillId="49" borderId="3" xfId="0" applyFont="1" applyFill="1" applyBorder="1"/>
    <xf numFmtId="0" fontId="0" fillId="49" borderId="60" xfId="0" applyFill="1" applyBorder="1"/>
    <xf numFmtId="0" fontId="11" fillId="49" borderId="35" xfId="0" applyFont="1" applyFill="1" applyBorder="1"/>
    <xf numFmtId="0" fontId="5" fillId="49" borderId="35" xfId="0" applyFont="1" applyFill="1" applyBorder="1"/>
    <xf numFmtId="0" fontId="12" fillId="49" borderId="35" xfId="0" applyFont="1" applyFill="1" applyBorder="1"/>
    <xf numFmtId="0" fontId="0" fillId="45" borderId="0" xfId="0" applyFill="1"/>
    <xf numFmtId="0" fontId="0" fillId="45" borderId="1" xfId="0" applyFill="1" applyBorder="1"/>
    <xf numFmtId="0" fontId="2" fillId="50" borderId="2" xfId="0" applyFont="1" applyFill="1" applyBorder="1" applyAlignment="1">
      <alignment horizontal="center"/>
    </xf>
    <xf numFmtId="0" fontId="2" fillId="50" borderId="51" xfId="0" applyFont="1" applyFill="1" applyBorder="1" applyAlignment="1">
      <alignment horizontal="center"/>
    </xf>
    <xf numFmtId="0" fontId="0" fillId="45" borderId="38" xfId="0" applyFill="1" applyBorder="1"/>
    <xf numFmtId="0" fontId="2" fillId="50" borderId="54" xfId="0" applyFont="1" applyFill="1" applyBorder="1" applyAlignment="1">
      <alignment horizontal="center"/>
    </xf>
    <xf numFmtId="0" fontId="2" fillId="50" borderId="50" xfId="0" applyFont="1" applyFill="1" applyBorder="1" applyAlignment="1">
      <alignment horizontal="center"/>
    </xf>
    <xf numFmtId="0" fontId="42" fillId="0" borderId="61" xfId="70" applyFont="1" applyBorder="1"/>
    <xf numFmtId="0" fontId="42" fillId="0" borderId="61" xfId="70" applyFont="1" applyBorder="1" applyAlignment="1">
      <alignment horizontal="center"/>
    </xf>
    <xf numFmtId="0" fontId="12" fillId="3" borderId="16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</cellXfs>
  <cellStyles count="71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18DB0DBE-4D6D-48E7-A982-259F210BD187}"/>
    <cellStyle name="60% - Accent2 2" xfId="36" xr:uid="{91DF3730-CEB5-4D1D-A74A-9208574AAD6C}"/>
    <cellStyle name="60% - Accent3 2" xfId="37" xr:uid="{34C22A41-3400-41A9-8A91-D5A27BC13505}"/>
    <cellStyle name="60% - Accent4 2" xfId="38" xr:uid="{3FE52E53-5802-4520-9BCC-6456351A3CB9}"/>
    <cellStyle name="60% - Accent5 2" xfId="39" xr:uid="{BA5D31AB-D84A-4AA0-9C9B-872B7E13448D}"/>
    <cellStyle name="60% - Accent6 2" xfId="40" xr:uid="{D2B6ACF5-2A11-4A12-8299-8566570E96D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blp_column_header" xfId="41" xr:uid="{572DBAD3-60BE-4783-92C4-94D71BF98013}"/>
    <cellStyle name="blp_title_header_row_left" xfId="51" xr:uid="{28A24C4C-7984-42DD-BAF5-442079881AF3}"/>
    <cellStyle name="Calculation" xfId="10" builtinId="22" customBuiltin="1"/>
    <cellStyle name="Check Cell" xfId="12" builtinId="23" customBuiltin="1"/>
    <cellStyle name="Comma 2" xfId="68" xr:uid="{2F9FE9DF-5387-41BE-ACB5-778F0A827C76}"/>
    <cellStyle name="Comma 2 2" xfId="69" xr:uid="{A1D4B8E8-881D-4892-B19C-5EDB604F7CED}"/>
    <cellStyle name="Explanatory Text" xfId="15" builtinId="53" customBuiltin="1"/>
    <cellStyle name="fa_column_header_bottom" xfId="42" xr:uid="{FBF56547-4E7E-4D72-82D3-A2E8F5750988}"/>
    <cellStyle name="fa_column_header_bottom_left" xfId="52" xr:uid="{9E827CC5-665A-453B-93B4-214B966A7BA0}"/>
    <cellStyle name="fa_column_header_empty" xfId="43" xr:uid="{6C28B976-D52C-4D3B-ADE8-DC859770F83D}"/>
    <cellStyle name="fa_column_header_top" xfId="44" xr:uid="{FFDE368D-6888-4539-9D1A-92C8A6D46790}"/>
    <cellStyle name="fa_column_header_top_left" xfId="45" xr:uid="{DC382F65-EDF7-4EDB-A166-C388005BC926}"/>
    <cellStyle name="fa_data_bold_0_grouped" xfId="59" xr:uid="{3D812B94-1B20-4EAC-B3CA-88542BAA260F}"/>
    <cellStyle name="fa_data_bold_1_grouped" xfId="60" xr:uid="{3675332A-82FD-44EB-8FA2-7AB6B3BCA53E}"/>
    <cellStyle name="fa_data_bold_2_grouped" xfId="61" xr:uid="{4733AB38-B122-4ED6-ADED-82F9C9B4CF02}"/>
    <cellStyle name="fa_data_current_bold_0_grouped" xfId="62" xr:uid="{1586B25D-59F9-4BAC-A8C3-6C52C004A1AB}"/>
    <cellStyle name="fa_data_current_bold_1_grouped" xfId="63" xr:uid="{7B2D008B-E45E-4D93-B577-0BE4358CC820}"/>
    <cellStyle name="fa_data_current_bold_2_grouped" xfId="64" xr:uid="{6ED5128F-698E-4B57-82DB-081D016134A3}"/>
    <cellStyle name="fa_data_current_italic_1_grouped" xfId="66" xr:uid="{1C6FE678-478C-4519-A256-8AA2A2FA481D}"/>
    <cellStyle name="fa_data_current_standard_0_grouped" xfId="56" xr:uid="{E96A9AC4-7AC4-424D-A04D-E835EF19067D}"/>
    <cellStyle name="fa_data_current_standard_1_grouped" xfId="57" xr:uid="{03DE6A7C-DA23-40EA-9639-5E7DF5C32BCC}"/>
    <cellStyle name="fa_data_current_standard_2_grouped" xfId="58" xr:uid="{C5A3C655-D297-4C52-A62D-52515E94038F}"/>
    <cellStyle name="fa_data_italic_1_grouped" xfId="65" xr:uid="{B69AC836-8E44-44D3-B68D-453F06827EA9}"/>
    <cellStyle name="fa_data_standard_0_grouped" xfId="53" xr:uid="{0270871F-C63B-4528-AF56-DB868D4102EB}"/>
    <cellStyle name="fa_data_standard_1_grouped" xfId="54" xr:uid="{AAFF2FB7-BEBC-4348-B959-40F3821B07F0}"/>
    <cellStyle name="fa_data_standard_2_grouped" xfId="55" xr:uid="{84A534C2-1D83-45AA-844D-A33CD24464F1}"/>
    <cellStyle name="fa_row_header_bold" xfId="46" xr:uid="{278B8DF8-582F-495C-A6B1-DDC818E42CF7}"/>
    <cellStyle name="fa_row_header_italic" xfId="47" xr:uid="{1A275BDF-259C-4E96-8886-4EA48952F5AA}"/>
    <cellStyle name="fa_row_header_standard" xfId="48" xr:uid="{C8D682F5-82E1-45A8-830B-8D041E44603B}"/>
    <cellStyle name="Good" xfId="1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2" builtinId="8"/>
    <cellStyle name="Input" xfId="8" builtinId="20" customBuiltin="1"/>
    <cellStyle name="Linked Cell" xfId="11" builtinId="24" customBuiltin="1"/>
    <cellStyle name="Neutral 2" xfId="49" xr:uid="{77488FF9-07AC-44E3-A6D8-FCC0763ABA5F}"/>
    <cellStyle name="Normal" xfId="0" builtinId="0"/>
    <cellStyle name="Normal 2" xfId="70" xr:uid="{FCBFD1EF-C560-43A3-8482-E005D60E4703}"/>
    <cellStyle name="Note" xfId="14" builtinId="10" customBuiltin="1"/>
    <cellStyle name="Output" xfId="9" builtinId="21" customBuiltin="1"/>
    <cellStyle name="Percent 2" xfId="67" xr:uid="{8EA652C9-A684-4D59-92A5-010728489216}"/>
    <cellStyle name="Title 2" xfId="50" xr:uid="{2ADD04C9-76D3-493C-9FF9-D0D1EC3B4691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1552723</xdr:colOff>
      <xdr:row>64</xdr:row>
      <xdr:rowOff>158753</xdr:rowOff>
    </xdr:from>
    <xdr:to>
      <xdr:col>1</xdr:col>
      <xdr:colOff>1598442</xdr:colOff>
      <xdr:row>65</xdr:row>
      <xdr:rowOff>21592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9EAD85-8649-4C25-8424-6E7F422115BA}"/>
            </a:ext>
          </a:extLst>
        </xdr:cNvPr>
        <xdr:cNvSpPr txBox="1"/>
      </xdr:nvSpPr>
      <xdr:spPr>
        <a:xfrm rot="6429030" flipH="1">
          <a:off x="2162323" y="11969753"/>
          <a:ext cx="45719" cy="4571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136</xdr:row>
      <xdr:rowOff>152400</xdr:rowOff>
    </xdr:from>
    <xdr:to>
      <xdr:col>0</xdr:col>
      <xdr:colOff>228599</xdr:colOff>
      <xdr:row>137</xdr:row>
      <xdr:rowOff>15239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F163636-5973-44E4-B73F-724577CDD4CD}"/>
            </a:ext>
          </a:extLst>
        </xdr:cNvPr>
        <xdr:cNvSpPr txBox="1"/>
      </xdr:nvSpPr>
      <xdr:spPr>
        <a:xfrm>
          <a:off x="182880" y="25687020"/>
          <a:ext cx="45719" cy="4571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financials/infosys/balance-sheetVI/IT" TargetMode="External"/><Relationship Id="rId2" Type="http://schemas.openxmlformats.org/officeDocument/2006/relationships/hyperlink" Target="https://www.moneycontrol.com/financials/hcltechnologies/balance-sheetVI/HCL02" TargetMode="External"/><Relationship Id="rId1" Type="http://schemas.openxmlformats.org/officeDocument/2006/relationships/hyperlink" Target="https://www.moneycontrol.com/financials/wipro/balance-sheetVI/W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moneycontrol.com/financials/tataconsultancyservices/balance-sheetVI/TC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51474-2027-49D5-96CF-C36A0ABBEF6D}">
  <dimension ref="A1:C8"/>
  <sheetViews>
    <sheetView tabSelected="1" workbookViewId="0">
      <selection activeCell="A15" sqref="A15"/>
    </sheetView>
  </sheetViews>
  <sheetFormatPr defaultRowHeight="14.4" x14ac:dyDescent="0.3"/>
  <cols>
    <col min="1" max="1" width="18" customWidth="1"/>
    <col min="2" max="2" width="27.5546875" customWidth="1"/>
    <col min="3" max="3" width="13.88671875" customWidth="1"/>
  </cols>
  <sheetData>
    <row r="1" spans="1:3" x14ac:dyDescent="0.3">
      <c r="A1" s="275" t="s">
        <v>457</v>
      </c>
      <c r="B1" s="275" t="s">
        <v>458</v>
      </c>
      <c r="C1" s="276" t="s">
        <v>459</v>
      </c>
    </row>
    <row r="2" spans="1:3" x14ac:dyDescent="0.3">
      <c r="A2" s="275" t="s">
        <v>447</v>
      </c>
      <c r="B2" s="275" t="s">
        <v>448</v>
      </c>
      <c r="C2" s="276">
        <v>12</v>
      </c>
    </row>
    <row r="3" spans="1:3" x14ac:dyDescent="0.3">
      <c r="A3" s="275" t="s">
        <v>443</v>
      </c>
      <c r="B3" s="275" t="s">
        <v>444</v>
      </c>
      <c r="C3" s="276">
        <v>12</v>
      </c>
    </row>
    <row r="4" spans="1:3" x14ac:dyDescent="0.3">
      <c r="A4" s="275" t="s">
        <v>445</v>
      </c>
      <c r="B4" s="275" t="s">
        <v>446</v>
      </c>
      <c r="C4" s="276">
        <v>12</v>
      </c>
    </row>
    <row r="5" spans="1:3" x14ac:dyDescent="0.3">
      <c r="A5" s="275" t="s">
        <v>449</v>
      </c>
      <c r="B5" s="275" t="s">
        <v>450</v>
      </c>
      <c r="C5" s="276">
        <v>12</v>
      </c>
    </row>
    <row r="6" spans="1:3" x14ac:dyDescent="0.3">
      <c r="A6" s="275" t="s">
        <v>451</v>
      </c>
      <c r="B6" s="275" t="s">
        <v>452</v>
      </c>
      <c r="C6" s="276">
        <v>12</v>
      </c>
    </row>
    <row r="7" spans="1:3" x14ac:dyDescent="0.3">
      <c r="A7" s="275" t="s">
        <v>453</v>
      </c>
      <c r="B7" s="275" t="s">
        <v>454</v>
      </c>
      <c r="C7" s="276">
        <v>12</v>
      </c>
    </row>
    <row r="8" spans="1:3" x14ac:dyDescent="0.3">
      <c r="A8" s="275" t="s">
        <v>455</v>
      </c>
      <c r="B8" s="275" t="s">
        <v>456</v>
      </c>
      <c r="C8" s="27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85"/>
  <sheetViews>
    <sheetView showGridLines="0" topLeftCell="A43" zoomScale="92" zoomScaleNormal="85" workbookViewId="0">
      <selection activeCell="C65" sqref="C65"/>
    </sheetView>
  </sheetViews>
  <sheetFormatPr defaultRowHeight="14.4" x14ac:dyDescent="0.3"/>
  <cols>
    <col min="2" max="2" width="53" customWidth="1"/>
    <col min="4" max="4" width="10" bestFit="1" customWidth="1"/>
    <col min="5" max="6" width="9.6640625" bestFit="1" customWidth="1"/>
    <col min="9" max="9" width="44.44140625" customWidth="1"/>
    <col min="10" max="10" width="4.6640625" customWidth="1"/>
    <col min="16" max="16" width="37.6640625" bestFit="1" customWidth="1"/>
    <col min="19" max="19" width="11.88671875" bestFit="1" customWidth="1"/>
    <col min="23" max="23" width="29.88671875" customWidth="1"/>
    <col min="24" max="28" width="18.109375" customWidth="1"/>
    <col min="29" max="33" width="16.5546875" customWidth="1"/>
  </cols>
  <sheetData>
    <row r="2" spans="2:33" ht="21" x14ac:dyDescent="0.3">
      <c r="W2" s="130" t="s">
        <v>0</v>
      </c>
      <c r="X2" s="130"/>
      <c r="Y2" s="130"/>
      <c r="Z2" s="130"/>
      <c r="AA2" s="130"/>
      <c r="AB2" s="130"/>
      <c r="AC2" s="130"/>
      <c r="AD2" s="130"/>
      <c r="AE2" s="130"/>
      <c r="AF2" s="130"/>
      <c r="AG2" s="130"/>
    </row>
    <row r="3" spans="2:33" x14ac:dyDescent="0.3"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</row>
    <row r="4" spans="2:33" ht="23.4" x14ac:dyDescent="0.45">
      <c r="B4" s="190" t="s">
        <v>434</v>
      </c>
      <c r="I4" s="190" t="s">
        <v>1</v>
      </c>
      <c r="J4" s="40"/>
      <c r="K4" s="40"/>
      <c r="L4" s="40"/>
      <c r="M4" s="40"/>
      <c r="P4" s="190" t="s">
        <v>2</v>
      </c>
      <c r="Q4" s="40"/>
      <c r="R4" s="40"/>
      <c r="W4" s="126" t="s">
        <v>3</v>
      </c>
      <c r="X4" s="127" t="s">
        <v>4</v>
      </c>
      <c r="Y4" s="127" t="s">
        <v>5</v>
      </c>
      <c r="Z4" s="127" t="s">
        <v>6</v>
      </c>
      <c r="AA4" s="127" t="s">
        <v>7</v>
      </c>
      <c r="AB4" s="127" t="s">
        <v>8</v>
      </c>
      <c r="AC4" s="127" t="s">
        <v>9</v>
      </c>
      <c r="AD4" s="127" t="s">
        <v>10</v>
      </c>
      <c r="AE4" s="127" t="s">
        <v>11</v>
      </c>
      <c r="AF4" s="127" t="s">
        <v>12</v>
      </c>
      <c r="AG4" s="127" t="s">
        <v>13</v>
      </c>
    </row>
    <row r="5" spans="2:33" ht="15" thickBot="1" x14ac:dyDescent="0.35">
      <c r="W5" s="131" t="s">
        <v>14</v>
      </c>
      <c r="X5" s="128" t="s">
        <v>15</v>
      </c>
      <c r="Y5" s="128" t="s">
        <v>16</v>
      </c>
      <c r="Z5" s="128" t="s">
        <v>17</v>
      </c>
      <c r="AA5" s="128" t="s">
        <v>18</v>
      </c>
      <c r="AB5" s="128" t="s">
        <v>19</v>
      </c>
      <c r="AC5" s="128" t="s">
        <v>20</v>
      </c>
      <c r="AD5" s="128" t="s">
        <v>21</v>
      </c>
      <c r="AE5" s="128" t="s">
        <v>22</v>
      </c>
      <c r="AF5" s="128" t="s">
        <v>23</v>
      </c>
      <c r="AG5" s="128" t="s">
        <v>24</v>
      </c>
    </row>
    <row r="6" spans="2:33" ht="15" thickBot="1" x14ac:dyDescent="0.35">
      <c r="B6" s="12"/>
      <c r="C6" s="13"/>
      <c r="D6" s="78" t="s">
        <v>25</v>
      </c>
      <c r="E6" s="61" t="s">
        <v>26</v>
      </c>
      <c r="F6" s="78" t="s">
        <v>27</v>
      </c>
      <c r="I6" s="75"/>
      <c r="J6" s="79"/>
      <c r="K6" s="78" t="s">
        <v>25</v>
      </c>
      <c r="L6" s="75" t="s">
        <v>26</v>
      </c>
      <c r="M6" s="78" t="s">
        <v>27</v>
      </c>
      <c r="P6" s="12"/>
      <c r="Q6" s="13"/>
      <c r="R6" s="78" t="s">
        <v>25</v>
      </c>
      <c r="S6" s="75" t="s">
        <v>26</v>
      </c>
      <c r="T6" s="75" t="s">
        <v>27</v>
      </c>
      <c r="W6" s="129" t="s">
        <v>28</v>
      </c>
      <c r="X6" s="141">
        <v>291408</v>
      </c>
      <c r="Y6" s="141">
        <v>307729</v>
      </c>
      <c r="Z6" s="141">
        <v>347421</v>
      </c>
      <c r="AA6" s="141">
        <v>368677</v>
      </c>
      <c r="AB6" s="141">
        <v>378551</v>
      </c>
      <c r="AC6" s="141">
        <v>446460</v>
      </c>
      <c r="AD6" s="141">
        <v>532902</v>
      </c>
      <c r="AE6" s="144">
        <v>534757</v>
      </c>
      <c r="AF6" s="141">
        <v>525375.14599999995</v>
      </c>
      <c r="AG6" s="141">
        <v>563723.902</v>
      </c>
    </row>
    <row r="7" spans="2:33" ht="15.6" x14ac:dyDescent="0.3">
      <c r="B7" s="89" t="s">
        <v>29</v>
      </c>
      <c r="C7" s="5"/>
      <c r="D7" s="6">
        <v>532902</v>
      </c>
      <c r="E7" s="180">
        <f>AC6</f>
        <v>446460</v>
      </c>
      <c r="F7" s="181">
        <f>AB6</f>
        <v>378551</v>
      </c>
      <c r="I7" s="89" t="s">
        <v>29</v>
      </c>
      <c r="J7" s="5"/>
      <c r="K7" s="47">
        <f>D7/$D$7</f>
        <v>1</v>
      </c>
      <c r="L7" s="71">
        <f>E7/$E$7</f>
        <v>1</v>
      </c>
      <c r="M7" s="47">
        <f>F7/$F$7</f>
        <v>1</v>
      </c>
      <c r="P7" s="118" t="s">
        <v>29</v>
      </c>
      <c r="Q7" s="5"/>
      <c r="R7" s="47">
        <f>(D7-E7)/E7</f>
        <v>0.1936164494019621</v>
      </c>
      <c r="S7" s="47">
        <f t="shared" ref="S7:S8" si="0">(E7-F7)/F7</f>
        <v>0.17939194454644156</v>
      </c>
      <c r="T7" s="47"/>
      <c r="W7" s="132" t="s">
        <v>30</v>
      </c>
      <c r="X7" s="135">
        <v>291408</v>
      </c>
      <c r="Y7" s="135">
        <v>307729</v>
      </c>
      <c r="Z7" s="135">
        <v>347421</v>
      </c>
      <c r="AA7" s="135">
        <v>368677</v>
      </c>
      <c r="AB7" s="135">
        <v>378551</v>
      </c>
      <c r="AC7" s="135">
        <v>446460</v>
      </c>
      <c r="AD7" s="135">
        <v>532902</v>
      </c>
      <c r="AE7" s="138">
        <v>534757</v>
      </c>
      <c r="AF7" s="135"/>
      <c r="AG7" s="135"/>
    </row>
    <row r="8" spans="2:33" x14ac:dyDescent="0.3">
      <c r="B8" s="84" t="s">
        <v>31</v>
      </c>
      <c r="C8" s="5"/>
      <c r="D8" s="6">
        <v>429880</v>
      </c>
      <c r="E8" s="10">
        <v>348265</v>
      </c>
      <c r="F8" s="6">
        <v>292104</v>
      </c>
      <c r="I8" s="84" t="s">
        <v>31</v>
      </c>
      <c r="J8" s="5"/>
      <c r="K8" s="47">
        <f t="shared" ref="K8:K38" si="1">D8/$D$7</f>
        <v>0.8066774003475311</v>
      </c>
      <c r="L8" s="71">
        <f t="shared" ref="L8:L38" si="2">E8/$E$7</f>
        <v>0.78005868386865562</v>
      </c>
      <c r="M8" s="47">
        <f t="shared" ref="M8:M38" si="3">F8/$F$7</f>
        <v>0.77163711098372478</v>
      </c>
      <c r="P8" s="84" t="s">
        <v>31</v>
      </c>
      <c r="Q8" s="5"/>
      <c r="R8" s="47">
        <f t="shared" ref="R8:R37" si="4">(D8-E8)/E8</f>
        <v>0.23434740786470074</v>
      </c>
      <c r="S8" s="47">
        <f t="shared" si="0"/>
        <v>0.19226371429353928</v>
      </c>
      <c r="T8" s="47"/>
      <c r="W8" s="132" t="s">
        <v>32</v>
      </c>
      <c r="X8" s="135">
        <v>205661</v>
      </c>
      <c r="Y8" s="135">
        <v>215300</v>
      </c>
      <c r="Z8" s="135">
        <v>233590</v>
      </c>
      <c r="AA8" s="135">
        <v>259743</v>
      </c>
      <c r="AB8" s="135">
        <v>258555</v>
      </c>
      <c r="AC8" s="135">
        <v>309720</v>
      </c>
      <c r="AD8" s="135">
        <v>381195</v>
      </c>
      <c r="AE8" s="138">
        <v>392976</v>
      </c>
      <c r="AF8" s="135"/>
      <c r="AG8" s="135"/>
    </row>
    <row r="9" spans="2:33" x14ac:dyDescent="0.3">
      <c r="B9" s="84"/>
      <c r="C9" s="5"/>
      <c r="D9" s="6"/>
      <c r="E9" s="10"/>
      <c r="F9" s="6"/>
      <c r="I9" s="84"/>
      <c r="J9" s="5"/>
      <c r="K9" s="47"/>
      <c r="L9" s="71"/>
      <c r="M9" s="47"/>
      <c r="P9" s="84"/>
      <c r="Q9" s="5"/>
      <c r="R9" s="47"/>
      <c r="S9" s="71"/>
      <c r="T9" s="10"/>
      <c r="W9" s="132" t="s">
        <v>33</v>
      </c>
      <c r="X9" s="135">
        <v>205661</v>
      </c>
      <c r="Y9" s="135">
        <v>215300</v>
      </c>
      <c r="Z9" s="135">
        <v>233590</v>
      </c>
      <c r="AA9" s="135">
        <v>259743</v>
      </c>
      <c r="AB9" s="135">
        <v>258555</v>
      </c>
      <c r="AC9" s="135">
        <v>309720</v>
      </c>
      <c r="AD9" s="135">
        <v>381195</v>
      </c>
      <c r="AE9" s="138">
        <v>392976</v>
      </c>
      <c r="AF9" s="135"/>
      <c r="AG9" s="135"/>
    </row>
    <row r="10" spans="2:33" ht="15.6" x14ac:dyDescent="0.3">
      <c r="B10" s="89" t="s">
        <v>34</v>
      </c>
      <c r="C10" s="5"/>
      <c r="D10" s="6">
        <f>D7-D8</f>
        <v>103022</v>
      </c>
      <c r="E10" s="10">
        <f>E7-E8</f>
        <v>98195</v>
      </c>
      <c r="F10" s="6">
        <f>F7-F8</f>
        <v>86447</v>
      </c>
      <c r="I10" s="89" t="s">
        <v>34</v>
      </c>
      <c r="J10" s="5"/>
      <c r="K10" s="47">
        <f t="shared" si="1"/>
        <v>0.19332259965246892</v>
      </c>
      <c r="L10" s="71">
        <f t="shared" si="2"/>
        <v>0.21994131613134435</v>
      </c>
      <c r="M10" s="47">
        <f t="shared" si="3"/>
        <v>0.22836288901627522</v>
      </c>
      <c r="P10" s="118" t="s">
        <v>34</v>
      </c>
      <c r="Q10" s="5"/>
      <c r="R10" s="47">
        <f t="shared" si="4"/>
        <v>4.9157289067671472E-2</v>
      </c>
      <c r="S10" s="71">
        <f t="shared" ref="S10:S38" si="5">(E10-F10)/F10</f>
        <v>0.13589829606579754</v>
      </c>
      <c r="T10" s="10"/>
      <c r="W10" s="129" t="s">
        <v>34</v>
      </c>
      <c r="X10" s="141">
        <v>85747</v>
      </c>
      <c r="Y10" s="141">
        <v>92429</v>
      </c>
      <c r="Z10" s="141">
        <v>113831</v>
      </c>
      <c r="AA10" s="141">
        <v>108934</v>
      </c>
      <c r="AB10" s="141">
        <v>119996</v>
      </c>
      <c r="AC10" s="141">
        <v>136740</v>
      </c>
      <c r="AD10" s="141">
        <v>151707</v>
      </c>
      <c r="AE10" s="144">
        <v>141781</v>
      </c>
      <c r="AF10" s="141">
        <v>137059.86808848</v>
      </c>
      <c r="AG10" s="141">
        <v>162465.22855639999</v>
      </c>
    </row>
    <row r="11" spans="2:33" x14ac:dyDescent="0.3">
      <c r="B11" s="84"/>
      <c r="C11" s="5"/>
      <c r="D11" s="6"/>
      <c r="E11" s="10"/>
      <c r="F11" s="6"/>
      <c r="I11" s="84"/>
      <c r="J11" s="5"/>
      <c r="K11" s="47"/>
      <c r="L11" s="71"/>
      <c r="M11" s="47"/>
      <c r="P11" s="84"/>
      <c r="Q11" s="5"/>
      <c r="R11" s="47"/>
      <c r="S11" s="71"/>
      <c r="T11" s="10"/>
      <c r="W11" s="132" t="s">
        <v>35</v>
      </c>
      <c r="X11" s="135">
        <v>0</v>
      </c>
      <c r="Y11" s="135">
        <v>0</v>
      </c>
      <c r="Z11" s="135">
        <v>0</v>
      </c>
      <c r="AA11" s="135">
        <v>0</v>
      </c>
      <c r="AB11" s="135">
        <v>0</v>
      </c>
      <c r="AC11" s="135">
        <v>0</v>
      </c>
      <c r="AD11" s="135">
        <v>0</v>
      </c>
      <c r="AE11" s="138">
        <v>0</v>
      </c>
      <c r="AF11" s="135"/>
      <c r="AG11" s="135"/>
    </row>
    <row r="12" spans="2:33" ht="15.6" x14ac:dyDescent="0.3">
      <c r="B12" s="89" t="s">
        <v>36</v>
      </c>
      <c r="C12" s="5"/>
      <c r="D12" s="6"/>
      <c r="E12" s="10"/>
      <c r="F12" s="6"/>
      <c r="I12" s="89" t="s">
        <v>36</v>
      </c>
      <c r="J12" s="5"/>
      <c r="K12" s="47"/>
      <c r="L12" s="71"/>
      <c r="M12" s="47"/>
      <c r="P12" s="84" t="s">
        <v>36</v>
      </c>
      <c r="Q12" s="5"/>
      <c r="R12" s="47"/>
      <c r="S12" s="71"/>
      <c r="T12" s="10"/>
      <c r="W12" s="132" t="s">
        <v>37</v>
      </c>
      <c r="X12" s="135">
        <v>53621</v>
      </c>
      <c r="Y12" s="135">
        <v>55948</v>
      </c>
      <c r="Z12" s="135">
        <v>61754</v>
      </c>
      <c r="AA12" s="135">
        <v>66211</v>
      </c>
      <c r="AB12" s="135">
        <v>65596</v>
      </c>
      <c r="AC12" s="135">
        <v>71744</v>
      </c>
      <c r="AD12" s="135">
        <v>90986</v>
      </c>
      <c r="AE12" s="138">
        <v>95038</v>
      </c>
      <c r="AF12" s="135"/>
      <c r="AG12" s="135"/>
    </row>
    <row r="13" spans="2:33" x14ac:dyDescent="0.3">
      <c r="B13" s="84" t="s">
        <v>38</v>
      </c>
      <c r="C13" s="5"/>
      <c r="D13" s="6">
        <v>2307</v>
      </c>
      <c r="E13" s="10">
        <v>1969</v>
      </c>
      <c r="F13" s="6">
        <v>987</v>
      </c>
      <c r="I13" s="84" t="s">
        <v>39</v>
      </c>
      <c r="J13" s="5"/>
      <c r="K13" s="47">
        <f t="shared" si="1"/>
        <v>4.3291261807987206E-3</v>
      </c>
      <c r="L13" s="71">
        <f t="shared" si="2"/>
        <v>4.4102495184339023E-3</v>
      </c>
      <c r="M13" s="47">
        <f t="shared" si="3"/>
        <v>2.6073105076990948E-3</v>
      </c>
      <c r="P13" s="84" t="s">
        <v>39</v>
      </c>
      <c r="Q13" s="5"/>
      <c r="R13" s="47">
        <f t="shared" si="4"/>
        <v>0.17166074149314373</v>
      </c>
      <c r="S13" s="71">
        <f t="shared" si="5"/>
        <v>0.99493414387031409</v>
      </c>
      <c r="T13" s="10"/>
      <c r="W13" s="132" t="s">
        <v>40</v>
      </c>
      <c r="X13" s="135">
        <v>43824.57</v>
      </c>
      <c r="Y13" s="135">
        <v>45333</v>
      </c>
      <c r="Z13" s="135">
        <v>50462</v>
      </c>
      <c r="AA13" s="135">
        <v>51673</v>
      </c>
      <c r="AB13" s="135">
        <v>38572</v>
      </c>
      <c r="AC13" s="135">
        <v>56540</v>
      </c>
      <c r="AD13" s="135">
        <v>71417</v>
      </c>
      <c r="AE13" s="138">
        <v>76031</v>
      </c>
      <c r="AF13" s="135"/>
      <c r="AG13" s="135"/>
    </row>
    <row r="14" spans="2:33" x14ac:dyDescent="0.3">
      <c r="B14" s="84" t="s">
        <v>41</v>
      </c>
      <c r="C14" s="5"/>
      <c r="D14" s="6">
        <v>182</v>
      </c>
      <c r="E14" s="10">
        <v>282</v>
      </c>
      <c r="F14" s="6">
        <v>101</v>
      </c>
      <c r="I14" s="84" t="s">
        <v>42</v>
      </c>
      <c r="J14" s="5"/>
      <c r="K14" s="47">
        <f t="shared" si="1"/>
        <v>3.41526209321789E-4</v>
      </c>
      <c r="L14" s="71">
        <f t="shared" si="2"/>
        <v>6.3163553285848679E-4</v>
      </c>
      <c r="M14" s="47">
        <f t="shared" si="3"/>
        <v>2.6680685033192355E-4</v>
      </c>
      <c r="P14" s="84" t="s">
        <v>42</v>
      </c>
      <c r="Q14" s="5"/>
      <c r="R14" s="47">
        <f t="shared" si="4"/>
        <v>-0.3546099290780142</v>
      </c>
      <c r="S14" s="71">
        <f t="shared" si="5"/>
        <v>1.7920792079207921</v>
      </c>
      <c r="T14" s="10"/>
      <c r="W14" s="133" t="s">
        <v>43</v>
      </c>
      <c r="X14" s="146" t="s">
        <v>44</v>
      </c>
      <c r="Y14" s="146" t="s">
        <v>44</v>
      </c>
      <c r="Z14" s="146" t="s">
        <v>44</v>
      </c>
      <c r="AA14" s="146" t="s">
        <v>44</v>
      </c>
      <c r="AB14" s="146">
        <v>987</v>
      </c>
      <c r="AC14" s="146">
        <v>1969</v>
      </c>
      <c r="AD14" s="146">
        <v>2307</v>
      </c>
      <c r="AE14" s="147"/>
      <c r="AF14" s="146"/>
      <c r="AG14" s="146"/>
    </row>
    <row r="15" spans="2:33" x14ac:dyDescent="0.3">
      <c r="B15" s="84" t="s">
        <v>45</v>
      </c>
      <c r="C15" s="5"/>
      <c r="D15" s="6">
        <v>19567</v>
      </c>
      <c r="E15" s="10">
        <v>15204</v>
      </c>
      <c r="F15" s="6">
        <v>14577</v>
      </c>
      <c r="I15" s="84" t="s">
        <v>46</v>
      </c>
      <c r="J15" s="5"/>
      <c r="K15" s="47">
        <f t="shared" si="1"/>
        <v>3.6717820537359593E-2</v>
      </c>
      <c r="L15" s="71">
        <f t="shared" si="2"/>
        <v>3.405456255879586E-2</v>
      </c>
      <c r="M15" s="47">
        <f t="shared" si="3"/>
        <v>3.8507360963251983E-2</v>
      </c>
      <c r="P15" s="84" t="s">
        <v>46</v>
      </c>
      <c r="Q15" s="5"/>
      <c r="R15" s="47">
        <f t="shared" si="4"/>
        <v>0.2869639568534596</v>
      </c>
      <c r="S15" s="71">
        <f t="shared" si="5"/>
        <v>4.3012965630788227E-2</v>
      </c>
      <c r="T15" s="10"/>
      <c r="W15" s="133" t="s">
        <v>47</v>
      </c>
      <c r="X15" s="146" t="s">
        <v>44</v>
      </c>
      <c r="Y15" s="146" t="s">
        <v>44</v>
      </c>
      <c r="Z15" s="146" t="s">
        <v>44</v>
      </c>
      <c r="AA15" s="146" t="s">
        <v>44</v>
      </c>
      <c r="AB15" s="146" t="s">
        <v>44</v>
      </c>
      <c r="AC15" s="146" t="s">
        <v>44</v>
      </c>
      <c r="AD15" s="146">
        <v>69110</v>
      </c>
      <c r="AE15" s="147"/>
      <c r="AF15" s="146"/>
      <c r="AG15" s="146"/>
    </row>
    <row r="16" spans="2:33" x14ac:dyDescent="0.3">
      <c r="B16" s="84" t="s">
        <v>48</v>
      </c>
      <c r="C16" s="5"/>
      <c r="D16" s="6">
        <v>1321</v>
      </c>
      <c r="E16" s="10">
        <v>-245</v>
      </c>
      <c r="F16" s="6">
        <v>625</v>
      </c>
      <c r="I16" s="84" t="s">
        <v>49</v>
      </c>
      <c r="J16" s="5"/>
      <c r="K16" s="47">
        <f t="shared" si="1"/>
        <v>2.4788797940334243E-3</v>
      </c>
      <c r="L16" s="71">
        <f t="shared" si="2"/>
        <v>-5.4876136719974916E-4</v>
      </c>
      <c r="M16" s="47">
        <f t="shared" si="3"/>
        <v>1.6510324896777449E-3</v>
      </c>
      <c r="P16" s="84" t="s">
        <v>49</v>
      </c>
      <c r="Q16" s="5"/>
      <c r="R16" s="47">
        <f t="shared" si="4"/>
        <v>-6.3918367346938778</v>
      </c>
      <c r="S16" s="71">
        <f t="shared" si="5"/>
        <v>-1.3919999999999999</v>
      </c>
      <c r="T16" s="10"/>
      <c r="W16" s="132" t="s">
        <v>50</v>
      </c>
      <c r="X16" s="135">
        <v>78.430000000000007</v>
      </c>
      <c r="Y16" s="135" t="s">
        <v>44</v>
      </c>
      <c r="Z16" s="135" t="s">
        <v>44</v>
      </c>
      <c r="AA16" s="135">
        <v>0</v>
      </c>
      <c r="AB16" s="135">
        <v>0</v>
      </c>
      <c r="AC16" s="135">
        <v>0</v>
      </c>
      <c r="AD16" s="135">
        <v>0</v>
      </c>
      <c r="AE16" s="138"/>
      <c r="AF16" s="135"/>
      <c r="AG16" s="135"/>
    </row>
    <row r="17" spans="2:33" x14ac:dyDescent="0.3">
      <c r="B17" s="84" t="s">
        <v>51</v>
      </c>
      <c r="C17" s="5"/>
      <c r="D17" s="6">
        <v>-13174.999999999995</v>
      </c>
      <c r="E17" s="10">
        <v>-18460.999999999989</v>
      </c>
      <c r="F17" s="6">
        <v>-22813.999999999989</v>
      </c>
      <c r="I17" s="84" t="s">
        <v>51</v>
      </c>
      <c r="J17" s="5"/>
      <c r="K17" s="47">
        <f t="shared" si="1"/>
        <v>-2.4723119823156968E-2</v>
      </c>
      <c r="L17" s="71">
        <f t="shared" si="2"/>
        <v>-4.1349728979079847E-2</v>
      </c>
      <c r="M17" s="47">
        <f t="shared" si="3"/>
        <v>-6.0266648351212884E-2</v>
      </c>
      <c r="P17" s="84" t="s">
        <v>51</v>
      </c>
      <c r="Q17" s="5"/>
      <c r="R17" s="47">
        <f t="shared" si="4"/>
        <v>-0.2863333513894154</v>
      </c>
      <c r="S17" s="71">
        <f t="shared" si="5"/>
        <v>-0.1908038923468047</v>
      </c>
      <c r="T17" s="10"/>
      <c r="W17" s="132" t="s">
        <v>52</v>
      </c>
      <c r="X17" s="135">
        <v>9781</v>
      </c>
      <c r="Y17" s="135">
        <v>10850</v>
      </c>
      <c r="Z17" s="135">
        <v>11292</v>
      </c>
      <c r="AA17" s="135">
        <v>14458</v>
      </c>
      <c r="AB17" s="135">
        <v>14577</v>
      </c>
      <c r="AC17" s="135">
        <v>15204</v>
      </c>
      <c r="AD17" s="135">
        <v>19567</v>
      </c>
      <c r="AE17" s="138">
        <v>19006</v>
      </c>
      <c r="AF17" s="135"/>
      <c r="AG17" s="135"/>
    </row>
    <row r="18" spans="2:33" x14ac:dyDescent="0.3">
      <c r="B18" s="84"/>
      <c r="C18" s="5"/>
      <c r="D18" s="6"/>
      <c r="E18" s="10"/>
      <c r="F18" s="6"/>
      <c r="I18" s="84"/>
      <c r="J18" s="5"/>
      <c r="K18" s="47"/>
      <c r="L18" s="71"/>
      <c r="M18" s="47">
        <f t="shared" si="3"/>
        <v>0</v>
      </c>
      <c r="P18" s="84"/>
      <c r="Q18" s="5"/>
      <c r="R18" s="47"/>
      <c r="S18" s="71"/>
      <c r="T18" s="10"/>
      <c r="W18" s="132" t="s">
        <v>53</v>
      </c>
      <c r="X18" s="135">
        <v>2384</v>
      </c>
      <c r="Y18" s="135">
        <v>148</v>
      </c>
      <c r="Z18" s="135">
        <v>1788</v>
      </c>
      <c r="AA18" s="135">
        <v>187</v>
      </c>
      <c r="AB18" s="135">
        <v>625</v>
      </c>
      <c r="AC18" s="135">
        <v>-245</v>
      </c>
      <c r="AD18" s="135">
        <v>1321</v>
      </c>
      <c r="AE18" s="138"/>
      <c r="AF18" s="135"/>
      <c r="AG18" s="135"/>
    </row>
    <row r="19" spans="2:33" ht="15.6" x14ac:dyDescent="0.3">
      <c r="B19" s="89" t="s">
        <v>54</v>
      </c>
      <c r="C19" s="5"/>
      <c r="D19" s="6">
        <f>D10-D13-D14-D15-D16-D17</f>
        <v>92820</v>
      </c>
      <c r="E19" s="10">
        <f>E10-E13-E15-E16-E17+E14</f>
        <v>100009.99999999999</v>
      </c>
      <c r="F19" s="6">
        <f>F10-F13-F14-F15-F16-F17</f>
        <v>92970.999999999985</v>
      </c>
      <c r="I19" s="89" t="s">
        <v>54</v>
      </c>
      <c r="J19" s="5"/>
      <c r="K19" s="47">
        <f t="shared" si="1"/>
        <v>0.17417836675411238</v>
      </c>
      <c r="L19" s="71">
        <f t="shared" si="2"/>
        <v>0.22400662993325265</v>
      </c>
      <c r="M19" s="47">
        <f t="shared" si="3"/>
        <v>0.24559702655652735</v>
      </c>
      <c r="P19" s="118" t="s">
        <v>54</v>
      </c>
      <c r="Q19" s="5"/>
      <c r="R19" s="47">
        <f t="shared" si="4"/>
        <v>-7.1892810718927974E-2</v>
      </c>
      <c r="S19" s="71">
        <f t="shared" si="5"/>
        <v>7.5711781093029021E-2</v>
      </c>
      <c r="T19" s="10"/>
      <c r="W19" s="132" t="s">
        <v>55</v>
      </c>
      <c r="X19" s="135">
        <v>-2447</v>
      </c>
      <c r="Y19" s="135">
        <v>-383</v>
      </c>
      <c r="Z19" s="135">
        <v>-1788</v>
      </c>
      <c r="AA19" s="135">
        <v>-107</v>
      </c>
      <c r="AB19" s="135">
        <v>11822</v>
      </c>
      <c r="AC19" s="135">
        <v>245</v>
      </c>
      <c r="AD19" s="135">
        <v>-1319</v>
      </c>
      <c r="AE19" s="138">
        <v>1</v>
      </c>
      <c r="AF19" s="135"/>
      <c r="AG19" s="135"/>
    </row>
    <row r="20" spans="2:33" x14ac:dyDescent="0.3">
      <c r="B20" s="84"/>
      <c r="C20" s="5"/>
      <c r="D20" s="6"/>
      <c r="E20" s="10"/>
      <c r="F20" s="6"/>
      <c r="I20" s="84"/>
      <c r="J20" s="5"/>
      <c r="K20" s="47"/>
      <c r="L20" s="71"/>
      <c r="M20" s="47"/>
      <c r="P20" s="84"/>
      <c r="Q20" s="5"/>
      <c r="R20" s="47"/>
      <c r="S20" s="71"/>
      <c r="T20" s="10"/>
      <c r="W20" s="129" t="s">
        <v>56</v>
      </c>
      <c r="X20" s="141">
        <v>32126</v>
      </c>
      <c r="Y20" s="141">
        <v>36481</v>
      </c>
      <c r="Z20" s="141">
        <v>52077</v>
      </c>
      <c r="AA20" s="141">
        <v>42723</v>
      </c>
      <c r="AB20" s="141">
        <v>54400</v>
      </c>
      <c r="AC20" s="141">
        <v>64996</v>
      </c>
      <c r="AD20" s="141">
        <v>60721</v>
      </c>
      <c r="AE20" s="144">
        <v>46743</v>
      </c>
      <c r="AF20" s="141">
        <v>40880.788999999997</v>
      </c>
      <c r="AG20" s="141">
        <v>67126.868000000002</v>
      </c>
    </row>
    <row r="21" spans="2:33" ht="15.6" x14ac:dyDescent="0.3">
      <c r="B21" s="89" t="s">
        <v>57</v>
      </c>
      <c r="C21" s="5"/>
      <c r="D21" s="6">
        <f>D15</f>
        <v>19567</v>
      </c>
      <c r="E21" s="10">
        <f>E15</f>
        <v>15204</v>
      </c>
      <c r="F21" s="6">
        <f>F15</f>
        <v>14577</v>
      </c>
      <c r="I21" s="89" t="s">
        <v>57</v>
      </c>
      <c r="J21" s="5"/>
      <c r="K21" s="47">
        <f t="shared" si="1"/>
        <v>3.6717820537359593E-2</v>
      </c>
      <c r="L21" s="71">
        <f t="shared" si="2"/>
        <v>3.405456255879586E-2</v>
      </c>
      <c r="M21" s="47">
        <f t="shared" si="3"/>
        <v>3.8507360963251983E-2</v>
      </c>
      <c r="P21" s="118" t="s">
        <v>57</v>
      </c>
      <c r="Q21" s="5"/>
      <c r="R21" s="47">
        <f t="shared" si="4"/>
        <v>0.2869639568534596</v>
      </c>
      <c r="S21" s="71">
        <f t="shared" si="5"/>
        <v>4.3012965630788227E-2</v>
      </c>
      <c r="T21" s="10"/>
      <c r="W21" s="132" t="s">
        <v>58</v>
      </c>
      <c r="X21" s="135">
        <v>-6286</v>
      </c>
      <c r="Y21" s="135">
        <v>-11086</v>
      </c>
      <c r="Z21" s="135">
        <v>-840</v>
      </c>
      <c r="AA21" s="135">
        <v>-6374</v>
      </c>
      <c r="AB21" s="135">
        <v>-3806</v>
      </c>
      <c r="AC21" s="135">
        <v>-6879</v>
      </c>
      <c r="AD21" s="135">
        <v>-5010</v>
      </c>
      <c r="AE21" s="138">
        <v>-5704</v>
      </c>
      <c r="AF21" s="135"/>
      <c r="AG21" s="135"/>
    </row>
    <row r="22" spans="2:33" x14ac:dyDescent="0.3">
      <c r="B22" s="84"/>
      <c r="C22" s="5"/>
      <c r="D22" s="6"/>
      <c r="E22" s="10"/>
      <c r="F22" s="6"/>
      <c r="I22" s="84"/>
      <c r="J22" s="5"/>
      <c r="K22" s="47"/>
      <c r="L22" s="71"/>
      <c r="M22" s="47"/>
      <c r="P22" s="84"/>
      <c r="Q22" s="5"/>
      <c r="R22" s="47"/>
      <c r="S22" s="71"/>
      <c r="T22" s="10"/>
      <c r="W22" s="132" t="s">
        <v>59</v>
      </c>
      <c r="X22" s="135">
        <v>-610</v>
      </c>
      <c r="Y22" s="135">
        <v>337</v>
      </c>
      <c r="Z22" s="135">
        <v>-960</v>
      </c>
      <c r="AA22" s="135">
        <v>-897</v>
      </c>
      <c r="AB22" s="135">
        <v>-1788</v>
      </c>
      <c r="AC22" s="135">
        <v>507</v>
      </c>
      <c r="AD22" s="135">
        <v>1848</v>
      </c>
      <c r="AE22" s="138"/>
      <c r="AF22" s="135"/>
      <c r="AG22" s="135"/>
    </row>
    <row r="23" spans="2:33" ht="15.6" x14ac:dyDescent="0.3">
      <c r="B23" s="89" t="s">
        <v>60</v>
      </c>
      <c r="C23" s="5"/>
      <c r="D23" s="6">
        <f>D19-D21</f>
        <v>73253</v>
      </c>
      <c r="E23" s="10">
        <f>E19-E21</f>
        <v>84805.999999999985</v>
      </c>
      <c r="F23" s="6">
        <f>F19-F21</f>
        <v>78393.999999999985</v>
      </c>
      <c r="I23" s="89" t="s">
        <v>60</v>
      </c>
      <c r="J23" s="5"/>
      <c r="K23" s="47">
        <f t="shared" si="1"/>
        <v>0.1374605462167528</v>
      </c>
      <c r="L23" s="71">
        <f t="shared" si="2"/>
        <v>0.1899520673744568</v>
      </c>
      <c r="M23" s="47">
        <f t="shared" si="3"/>
        <v>0.20708966559327538</v>
      </c>
      <c r="P23" s="118" t="s">
        <v>60</v>
      </c>
      <c r="Q23" s="5"/>
      <c r="R23" s="47">
        <f t="shared" si="4"/>
        <v>-0.13622856873334419</v>
      </c>
      <c r="S23" s="71">
        <f t="shared" si="5"/>
        <v>8.1791973875551718E-2</v>
      </c>
      <c r="T23" s="10"/>
      <c r="W23" s="133" t="s">
        <v>61</v>
      </c>
      <c r="X23" s="146">
        <v>638</v>
      </c>
      <c r="Y23" s="146">
        <v>1792</v>
      </c>
      <c r="Z23" s="146">
        <v>1117</v>
      </c>
      <c r="AA23" s="146">
        <v>1537</v>
      </c>
      <c r="AB23" s="146">
        <v>1466</v>
      </c>
      <c r="AC23" s="146">
        <v>1411</v>
      </c>
      <c r="AD23" s="146">
        <v>2898</v>
      </c>
      <c r="AE23" s="147">
        <v>5902</v>
      </c>
      <c r="AF23" s="146"/>
      <c r="AG23" s="146"/>
    </row>
    <row r="24" spans="2:33" x14ac:dyDescent="0.3">
      <c r="B24" s="84"/>
      <c r="C24" s="5"/>
      <c r="D24" s="6"/>
      <c r="E24" s="10"/>
      <c r="F24" s="6"/>
      <c r="I24" s="84"/>
      <c r="J24" s="5"/>
      <c r="K24" s="47"/>
      <c r="L24" s="71"/>
      <c r="M24" s="47"/>
      <c r="P24" s="84"/>
      <c r="Q24" s="5"/>
      <c r="R24" s="47"/>
      <c r="S24" s="71"/>
      <c r="T24" s="10"/>
      <c r="W24" s="133" t="s">
        <v>62</v>
      </c>
      <c r="X24" s="146">
        <v>1248</v>
      </c>
      <c r="Y24" s="146">
        <v>1455</v>
      </c>
      <c r="Z24" s="146">
        <v>2077</v>
      </c>
      <c r="AA24" s="146">
        <v>2434</v>
      </c>
      <c r="AB24" s="146">
        <v>3254</v>
      </c>
      <c r="AC24" s="146">
        <v>904</v>
      </c>
      <c r="AD24" s="146">
        <v>1050</v>
      </c>
      <c r="AE24" s="147"/>
      <c r="AF24" s="146"/>
      <c r="AG24" s="146"/>
    </row>
    <row r="25" spans="2:33" ht="15.6" x14ac:dyDescent="0.3">
      <c r="B25" s="89" t="s">
        <v>63</v>
      </c>
      <c r="C25" s="5"/>
      <c r="D25" s="181">
        <f>AD22</f>
        <v>1848</v>
      </c>
      <c r="E25" s="182">
        <f>AC22</f>
        <v>507</v>
      </c>
      <c r="F25" s="181">
        <f>AB22</f>
        <v>-1788</v>
      </c>
      <c r="I25" s="89" t="s">
        <v>63</v>
      </c>
      <c r="J25" s="5"/>
      <c r="K25" s="47">
        <f t="shared" si="1"/>
        <v>3.4678045869597036E-3</v>
      </c>
      <c r="L25" s="71">
        <f t="shared" si="2"/>
        <v>1.1356000537562155E-3</v>
      </c>
      <c r="M25" s="47">
        <f t="shared" si="3"/>
        <v>-4.7232737464700924E-3</v>
      </c>
      <c r="P25" s="118" t="s">
        <v>63</v>
      </c>
      <c r="Q25" s="5"/>
      <c r="R25" s="47">
        <f t="shared" si="4"/>
        <v>2.6449704142011834</v>
      </c>
      <c r="S25" s="71">
        <f t="shared" si="5"/>
        <v>-1.2835570469798658</v>
      </c>
      <c r="T25" s="10"/>
      <c r="W25" s="132" t="s">
        <v>64</v>
      </c>
      <c r="X25" s="135">
        <v>-603</v>
      </c>
      <c r="Y25" s="135">
        <v>-583</v>
      </c>
      <c r="Z25" s="135">
        <v>-243</v>
      </c>
      <c r="AA25" s="135">
        <v>-341</v>
      </c>
      <c r="AB25" s="135">
        <v>-2</v>
      </c>
      <c r="AC25" s="135">
        <v>-91</v>
      </c>
      <c r="AD25" s="135">
        <v>-28</v>
      </c>
      <c r="AE25" s="138"/>
      <c r="AF25" s="135"/>
      <c r="AG25" s="135"/>
    </row>
    <row r="26" spans="2:33" x14ac:dyDescent="0.3">
      <c r="B26" s="84"/>
      <c r="C26" s="5"/>
      <c r="D26" s="6"/>
      <c r="E26" s="10"/>
      <c r="F26" s="6"/>
      <c r="I26" s="84"/>
      <c r="J26" s="5"/>
      <c r="K26" s="47"/>
      <c r="L26" s="71"/>
      <c r="M26" s="47"/>
      <c r="P26" s="84"/>
      <c r="Q26" s="5"/>
      <c r="R26" s="47"/>
      <c r="S26" s="71"/>
      <c r="T26" s="10"/>
      <c r="W26" s="132" t="s">
        <v>65</v>
      </c>
      <c r="X26" s="135">
        <v>-3876</v>
      </c>
      <c r="Y26" s="135">
        <v>-7750</v>
      </c>
      <c r="Z26" s="135">
        <v>-121</v>
      </c>
      <c r="AA26" s="135">
        <v>-3022</v>
      </c>
      <c r="AB26" s="135">
        <v>-975</v>
      </c>
      <c r="AC26" s="135">
        <v>-5633</v>
      </c>
      <c r="AD26" s="135">
        <v>-2990</v>
      </c>
      <c r="AE26" s="138">
        <v>-1602</v>
      </c>
      <c r="AF26" s="135"/>
      <c r="AG26" s="135"/>
    </row>
    <row r="27" spans="2:33" x14ac:dyDescent="0.3">
      <c r="B27" s="84" t="s">
        <v>66</v>
      </c>
      <c r="C27" s="5"/>
      <c r="D27" s="6">
        <f>D8+D13+D14+D15+D16+D17+D21+D25</f>
        <v>461497</v>
      </c>
      <c r="E27" s="10">
        <f>E8+E13+E15+E16+E17+E21+E25-E14</f>
        <v>362161</v>
      </c>
      <c r="F27" s="6">
        <f>F8+F13+F14+F15+F16+F17+F21+F25</f>
        <v>298369</v>
      </c>
      <c r="I27" s="84" t="s">
        <v>66</v>
      </c>
      <c r="J27" s="5"/>
      <c r="K27" s="47">
        <f t="shared" si="1"/>
        <v>0.86600725837020687</v>
      </c>
      <c r="L27" s="71">
        <f t="shared" si="2"/>
        <v>0.81118353267929932</v>
      </c>
      <c r="M27" s="47">
        <f t="shared" si="3"/>
        <v>0.78818706066025446</v>
      </c>
      <c r="P27" s="84" t="s">
        <v>66</v>
      </c>
      <c r="Q27" s="5"/>
      <c r="R27" s="47">
        <f t="shared" si="4"/>
        <v>0.27428685032347494</v>
      </c>
      <c r="S27" s="71">
        <f t="shared" si="5"/>
        <v>0.21380237223035906</v>
      </c>
      <c r="T27" s="10"/>
      <c r="W27" s="132" t="s">
        <v>67</v>
      </c>
      <c r="X27" s="135">
        <v>23</v>
      </c>
      <c r="Y27" s="135">
        <v>-1</v>
      </c>
      <c r="Z27" s="135">
        <v>655</v>
      </c>
      <c r="AA27" s="135">
        <v>55</v>
      </c>
      <c r="AB27" s="135">
        <v>-12</v>
      </c>
      <c r="AC27" s="135">
        <v>-28</v>
      </c>
      <c r="AD27" s="135">
        <v>290</v>
      </c>
      <c r="AE27" s="138">
        <v>147</v>
      </c>
      <c r="AF27" s="135"/>
      <c r="AG27" s="135"/>
    </row>
    <row r="28" spans="2:33" ht="15.6" x14ac:dyDescent="0.3">
      <c r="B28" s="89" t="s">
        <v>68</v>
      </c>
      <c r="C28" s="5"/>
      <c r="D28" s="6">
        <f>D7-D27</f>
        <v>71405</v>
      </c>
      <c r="E28" s="10">
        <f>E7-E27</f>
        <v>84299</v>
      </c>
      <c r="F28" s="6">
        <f>F23-F25</f>
        <v>80181.999999999985</v>
      </c>
      <c r="I28" s="89" t="s">
        <v>68</v>
      </c>
      <c r="J28" s="5"/>
      <c r="K28" s="47">
        <f t="shared" si="1"/>
        <v>0.13399274162979311</v>
      </c>
      <c r="L28" s="71">
        <f t="shared" si="2"/>
        <v>0.18881646732070062</v>
      </c>
      <c r="M28" s="47">
        <f t="shared" si="3"/>
        <v>0.21181293933974546</v>
      </c>
      <c r="P28" s="118" t="s">
        <v>68</v>
      </c>
      <c r="Q28" s="5"/>
      <c r="R28" s="47">
        <f t="shared" si="4"/>
        <v>-0.15295555107415271</v>
      </c>
      <c r="S28" s="71">
        <f t="shared" si="5"/>
        <v>5.1345688558529536E-2</v>
      </c>
      <c r="T28" s="10"/>
      <c r="W28" s="132" t="s">
        <v>69</v>
      </c>
      <c r="X28" s="135">
        <v>-1220</v>
      </c>
      <c r="Y28" s="135">
        <v>-3089</v>
      </c>
      <c r="Z28" s="135">
        <v>-171</v>
      </c>
      <c r="AA28" s="135">
        <v>-2169</v>
      </c>
      <c r="AB28" s="135">
        <v>-1029</v>
      </c>
      <c r="AC28" s="135">
        <v>-1634</v>
      </c>
      <c r="AD28" s="135">
        <v>-4130</v>
      </c>
      <c r="AE28" s="138">
        <v>-10151</v>
      </c>
      <c r="AF28" s="135"/>
      <c r="AG28" s="135"/>
    </row>
    <row r="29" spans="2:33" x14ac:dyDescent="0.3">
      <c r="B29" s="84"/>
      <c r="C29" s="5"/>
      <c r="D29" s="6"/>
      <c r="E29" s="10"/>
      <c r="F29" s="6"/>
      <c r="I29" s="84"/>
      <c r="J29" s="5"/>
      <c r="K29" s="47"/>
      <c r="L29" s="71"/>
      <c r="M29" s="47"/>
      <c r="P29" s="84"/>
      <c r="Q29" s="5"/>
      <c r="R29" s="47"/>
      <c r="S29" s="71"/>
      <c r="T29" s="10"/>
      <c r="W29" s="129" t="s">
        <v>70</v>
      </c>
      <c r="X29" s="141">
        <v>38412</v>
      </c>
      <c r="Y29" s="141">
        <v>47567</v>
      </c>
      <c r="Z29" s="141">
        <v>52917</v>
      </c>
      <c r="AA29" s="141">
        <v>49097</v>
      </c>
      <c r="AB29" s="141">
        <v>58206</v>
      </c>
      <c r="AC29" s="141">
        <v>71875</v>
      </c>
      <c r="AD29" s="141">
        <v>65731</v>
      </c>
      <c r="AE29" s="144">
        <v>52447</v>
      </c>
      <c r="AF29" s="141">
        <v>44870.417000000001</v>
      </c>
      <c r="AG29" s="141">
        <v>72373.27</v>
      </c>
    </row>
    <row r="30" spans="2:33" x14ac:dyDescent="0.3">
      <c r="B30" s="84" t="s">
        <v>71</v>
      </c>
      <c r="C30" s="5"/>
      <c r="D30" s="6">
        <v>0</v>
      </c>
      <c r="E30" s="10">
        <v>0</v>
      </c>
      <c r="F30" s="6">
        <v>0</v>
      </c>
      <c r="I30" s="84" t="s">
        <v>71</v>
      </c>
      <c r="J30" s="5"/>
      <c r="K30" s="47">
        <f t="shared" si="1"/>
        <v>0</v>
      </c>
      <c r="L30" s="71">
        <f t="shared" si="2"/>
        <v>0</v>
      </c>
      <c r="M30" s="47">
        <f t="shared" si="3"/>
        <v>0</v>
      </c>
      <c r="P30" s="84" t="s">
        <v>71</v>
      </c>
      <c r="Q30" s="5"/>
      <c r="R30" s="47"/>
      <c r="S30" s="71"/>
      <c r="T30" s="10"/>
      <c r="W30" s="132" t="s">
        <v>72</v>
      </c>
      <c r="X30" s="135">
        <v>-118</v>
      </c>
      <c r="Y30" s="135">
        <v>-1221</v>
      </c>
      <c r="Z30" s="135">
        <v>-2515</v>
      </c>
      <c r="AA30" s="135">
        <v>-1481</v>
      </c>
      <c r="AB30" s="135">
        <v>-1830</v>
      </c>
      <c r="AC30" s="135">
        <v>-2646</v>
      </c>
      <c r="AD30" s="135">
        <v>1276</v>
      </c>
      <c r="AE30" s="138">
        <v>3621</v>
      </c>
      <c r="AF30" s="135"/>
      <c r="AG30" s="135"/>
    </row>
    <row r="31" spans="2:33" x14ac:dyDescent="0.3">
      <c r="B31" s="84" t="s">
        <v>73</v>
      </c>
      <c r="C31" s="5"/>
      <c r="D31" s="181">
        <f>SUM(AD26:AD28)</f>
        <v>-6830</v>
      </c>
      <c r="E31" s="182">
        <f>SUM(AC26:AC28)</f>
        <v>-7295</v>
      </c>
      <c r="F31" s="181">
        <f>SUM(AB26:AB28)</f>
        <v>-2016</v>
      </c>
      <c r="I31" s="84" t="s">
        <v>73</v>
      </c>
      <c r="J31" s="5"/>
      <c r="K31" s="47">
        <f t="shared" si="1"/>
        <v>-1.2816615437735268E-2</v>
      </c>
      <c r="L31" s="71">
        <f t="shared" si="2"/>
        <v>-1.6339649688661917E-2</v>
      </c>
      <c r="M31" s="47">
        <f t="shared" si="3"/>
        <v>-5.3255703987045338E-3</v>
      </c>
      <c r="P31" s="84" t="s">
        <v>73</v>
      </c>
      <c r="Q31" s="5"/>
      <c r="R31" s="47">
        <f t="shared" si="4"/>
        <v>-6.3742289239204941E-2</v>
      </c>
      <c r="S31" s="71">
        <f>(E31-F31)/F31</f>
        <v>2.6185515873015874</v>
      </c>
      <c r="T31" s="10"/>
      <c r="W31" s="132" t="s">
        <v>74</v>
      </c>
      <c r="X31" s="135">
        <v>-36</v>
      </c>
      <c r="Y31" s="135">
        <v>-76</v>
      </c>
      <c r="Z31" s="135">
        <v>-154</v>
      </c>
      <c r="AA31" s="135">
        <v>-160</v>
      </c>
      <c r="AB31" s="135">
        <v>-14</v>
      </c>
      <c r="AC31" s="135">
        <v>-63</v>
      </c>
      <c r="AD31" s="135">
        <v>-42</v>
      </c>
      <c r="AE31" s="138"/>
      <c r="AF31" s="135"/>
      <c r="AG31" s="135"/>
    </row>
    <row r="32" spans="2:33" ht="15.6" x14ac:dyDescent="0.3">
      <c r="B32" s="89" t="s">
        <v>75</v>
      </c>
      <c r="C32" s="5"/>
      <c r="D32" s="6">
        <f>D28-D31</f>
        <v>78235</v>
      </c>
      <c r="E32" s="10">
        <f>E28-E31</f>
        <v>91594</v>
      </c>
      <c r="F32" s="6">
        <f>F28+F30</f>
        <v>80181.999999999985</v>
      </c>
      <c r="I32" s="89" t="s">
        <v>75</v>
      </c>
      <c r="J32" s="5"/>
      <c r="K32" s="47">
        <f t="shared" si="1"/>
        <v>0.14680935706752837</v>
      </c>
      <c r="L32" s="71">
        <f t="shared" si="2"/>
        <v>0.20515611700936254</v>
      </c>
      <c r="M32" s="47">
        <f t="shared" si="3"/>
        <v>0.21181293933974546</v>
      </c>
      <c r="P32" s="118" t="s">
        <v>75</v>
      </c>
      <c r="Q32" s="5"/>
      <c r="R32" s="47">
        <f t="shared" si="4"/>
        <v>-0.14585016485796012</v>
      </c>
      <c r="S32" s="71">
        <f t="shared" si="5"/>
        <v>0.14232620787707986</v>
      </c>
      <c r="T32" s="10"/>
      <c r="W32" s="132" t="s">
        <v>76</v>
      </c>
      <c r="X32" s="135" t="s">
        <v>44</v>
      </c>
      <c r="Y32" s="135" t="s">
        <v>44</v>
      </c>
      <c r="Z32" s="135" t="s">
        <v>44</v>
      </c>
      <c r="AA32" s="135">
        <v>2175</v>
      </c>
      <c r="AB32" s="135">
        <v>507</v>
      </c>
      <c r="AC32" s="135" t="s">
        <v>44</v>
      </c>
      <c r="AD32" s="135">
        <v>2370</v>
      </c>
      <c r="AE32" s="138">
        <v>3621</v>
      </c>
      <c r="AF32" s="135"/>
      <c r="AG32" s="135"/>
    </row>
    <row r="33" spans="2:33" x14ac:dyDescent="0.3">
      <c r="B33" s="84"/>
      <c r="C33" s="5"/>
      <c r="D33" s="6"/>
      <c r="E33" s="10"/>
      <c r="F33" s="6"/>
      <c r="I33" s="84"/>
      <c r="J33" s="5"/>
      <c r="K33" s="47"/>
      <c r="L33" s="71"/>
      <c r="M33" s="47"/>
      <c r="P33" s="84"/>
      <c r="Q33" s="5"/>
      <c r="R33" s="47"/>
      <c r="S33" s="71"/>
      <c r="T33" s="10"/>
      <c r="W33" s="132" t="s">
        <v>77</v>
      </c>
      <c r="X33" s="135">
        <v>99</v>
      </c>
      <c r="Y33" s="135">
        <v>235</v>
      </c>
      <c r="Z33" s="135" t="s">
        <v>44</v>
      </c>
      <c r="AA33" s="135" t="s">
        <v>44</v>
      </c>
      <c r="AB33" s="135" t="s">
        <v>44</v>
      </c>
      <c r="AC33" s="135" t="s">
        <v>44</v>
      </c>
      <c r="AD33" s="135" t="s">
        <v>44</v>
      </c>
      <c r="AE33" s="138"/>
      <c r="AF33" s="135"/>
      <c r="AG33" s="135"/>
    </row>
    <row r="34" spans="2:33" ht="15.6" x14ac:dyDescent="0.3">
      <c r="B34" s="89" t="s">
        <v>78</v>
      </c>
      <c r="C34" s="5"/>
      <c r="D34" s="6"/>
      <c r="E34" s="10"/>
      <c r="F34" s="6"/>
      <c r="I34" s="89" t="s">
        <v>78</v>
      </c>
      <c r="J34" s="5"/>
      <c r="K34" s="47"/>
      <c r="L34" s="71"/>
      <c r="M34" s="47"/>
      <c r="P34" s="118" t="s">
        <v>78</v>
      </c>
      <c r="Q34" s="5"/>
      <c r="R34" s="47"/>
      <c r="S34" s="71"/>
      <c r="T34" s="10"/>
      <c r="W34" s="132" t="s">
        <v>79</v>
      </c>
      <c r="X34" s="135" t="s">
        <v>44</v>
      </c>
      <c r="Y34" s="135">
        <v>-87</v>
      </c>
      <c r="Z34" s="135" t="s">
        <v>44</v>
      </c>
      <c r="AA34" s="135">
        <v>-1488</v>
      </c>
      <c r="AB34" s="135">
        <v>-730</v>
      </c>
      <c r="AC34" s="135" t="s">
        <v>44</v>
      </c>
      <c r="AD34" s="135" t="s">
        <v>44</v>
      </c>
      <c r="AE34" s="138"/>
      <c r="AF34" s="135"/>
      <c r="AG34" s="135"/>
    </row>
    <row r="35" spans="2:33" x14ac:dyDescent="0.3">
      <c r="B35" s="84" t="s">
        <v>80</v>
      </c>
      <c r="C35" s="5"/>
      <c r="D35" s="6">
        <v>19514</v>
      </c>
      <c r="E35" s="10">
        <v>17421</v>
      </c>
      <c r="F35" s="6">
        <v>18115</v>
      </c>
      <c r="I35" s="84" t="s">
        <v>80</v>
      </c>
      <c r="J35" s="5"/>
      <c r="K35" s="47">
        <f t="shared" si="1"/>
        <v>3.661836510277687E-2</v>
      </c>
      <c r="L35" s="71">
        <f t="shared" si="2"/>
        <v>3.9020292971374812E-2</v>
      </c>
      <c r="M35" s="47">
        <f t="shared" si="3"/>
        <v>4.7853525680819756E-2</v>
      </c>
      <c r="P35" s="84" t="s">
        <v>80</v>
      </c>
      <c r="Q35" s="5"/>
      <c r="R35" s="47">
        <f t="shared" si="4"/>
        <v>0.12014235692554963</v>
      </c>
      <c r="S35" s="71">
        <f t="shared" si="5"/>
        <v>-3.8310792161192382E-2</v>
      </c>
      <c r="T35" s="10"/>
      <c r="W35" s="132" t="s">
        <v>81</v>
      </c>
      <c r="X35" s="135">
        <v>-172</v>
      </c>
      <c r="Y35" s="135">
        <v>-499</v>
      </c>
      <c r="Z35" s="135">
        <v>-2361</v>
      </c>
      <c r="AA35" s="135">
        <v>-2008</v>
      </c>
      <c r="AB35" s="135">
        <v>-1593</v>
      </c>
      <c r="AC35" s="135">
        <v>-2583</v>
      </c>
      <c r="AD35" s="135">
        <v>-1052</v>
      </c>
      <c r="AE35" s="138"/>
      <c r="AF35" s="135"/>
      <c r="AG35" s="135"/>
    </row>
    <row r="36" spans="2:33" x14ac:dyDescent="0.3">
      <c r="B36" s="84" t="s">
        <v>82</v>
      </c>
      <c r="C36" s="5"/>
      <c r="D36" s="6">
        <v>0</v>
      </c>
      <c r="E36" s="10">
        <v>0</v>
      </c>
      <c r="F36" s="6">
        <v>0</v>
      </c>
      <c r="I36" s="84" t="s">
        <v>82</v>
      </c>
      <c r="J36" s="5"/>
      <c r="K36" s="47">
        <f t="shared" si="1"/>
        <v>0</v>
      </c>
      <c r="L36" s="71">
        <f t="shared" si="2"/>
        <v>0</v>
      </c>
      <c r="M36" s="47">
        <f t="shared" si="3"/>
        <v>0</v>
      </c>
      <c r="P36" s="84" t="s">
        <v>82</v>
      </c>
      <c r="Q36" s="5"/>
      <c r="R36" s="47"/>
      <c r="S36" s="71"/>
      <c r="T36" s="10"/>
      <c r="W36" s="132" t="s">
        <v>83</v>
      </c>
      <c r="X36" s="135">
        <v>-9</v>
      </c>
      <c r="Y36" s="135">
        <v>-794</v>
      </c>
      <c r="Z36" s="135">
        <v>-1490</v>
      </c>
      <c r="AA36" s="135" t="s">
        <v>44</v>
      </c>
      <c r="AB36" s="135" t="s">
        <v>44</v>
      </c>
      <c r="AC36" s="135" t="s">
        <v>44</v>
      </c>
      <c r="AD36" s="135" t="s">
        <v>44</v>
      </c>
      <c r="AE36" s="138"/>
      <c r="AF36" s="135"/>
      <c r="AG36" s="135"/>
    </row>
    <row r="37" spans="2:33" x14ac:dyDescent="0.3">
      <c r="B37" s="84" t="s">
        <v>84</v>
      </c>
      <c r="C37" s="5"/>
      <c r="D37" s="6">
        <v>3629</v>
      </c>
      <c r="E37" s="10">
        <v>-799</v>
      </c>
      <c r="F37" s="6">
        <v>-2116</v>
      </c>
      <c r="I37" s="84" t="s">
        <v>84</v>
      </c>
      <c r="J37" s="5"/>
      <c r="K37" s="47">
        <f t="shared" si="1"/>
        <v>6.8098824924657814E-3</v>
      </c>
      <c r="L37" s="71">
        <f t="shared" si="2"/>
        <v>-1.7896340097657126E-3</v>
      </c>
      <c r="M37" s="47">
        <f t="shared" si="3"/>
        <v>-5.5897355970529732E-3</v>
      </c>
      <c r="P37" s="84" t="s">
        <v>84</v>
      </c>
      <c r="Q37" s="5"/>
      <c r="R37" s="47">
        <f t="shared" si="4"/>
        <v>-5.5419274092615769</v>
      </c>
      <c r="S37" s="71">
        <f>(E37-F37)/F37</f>
        <v>-0.6224007561436673</v>
      </c>
      <c r="T37" s="10"/>
      <c r="W37" s="132" t="s">
        <v>85</v>
      </c>
      <c r="X37" s="135" t="s">
        <v>44</v>
      </c>
      <c r="Y37" s="135" t="s">
        <v>44</v>
      </c>
      <c r="Z37" s="135">
        <v>655</v>
      </c>
      <c r="AA37" s="135" t="s">
        <v>44</v>
      </c>
      <c r="AB37" s="135" t="s">
        <v>44</v>
      </c>
      <c r="AC37" s="135" t="s">
        <v>44</v>
      </c>
      <c r="AD37" s="135" t="s">
        <v>44</v>
      </c>
      <c r="AE37" s="138"/>
      <c r="AF37" s="135"/>
      <c r="AG37" s="135"/>
    </row>
    <row r="38" spans="2:33" ht="15.6" x14ac:dyDescent="0.3">
      <c r="B38" s="89" t="s">
        <v>86</v>
      </c>
      <c r="C38" s="5"/>
      <c r="D38" s="6">
        <f>D32-D35+D37</f>
        <v>62350</v>
      </c>
      <c r="E38" s="10">
        <f>E32-E35+E37</f>
        <v>73374</v>
      </c>
      <c r="F38" s="6">
        <f>F32-F35-F36</f>
        <v>62066.999999999985</v>
      </c>
      <c r="I38" s="89" t="s">
        <v>86</v>
      </c>
      <c r="J38" s="5"/>
      <c r="K38" s="47">
        <f t="shared" si="1"/>
        <v>0.11700087445721727</v>
      </c>
      <c r="L38" s="71">
        <f t="shared" si="2"/>
        <v>0.16434619002822201</v>
      </c>
      <c r="M38" s="47">
        <f t="shared" si="3"/>
        <v>0.16395941365892572</v>
      </c>
      <c r="P38" s="118" t="s">
        <v>86</v>
      </c>
      <c r="Q38" s="5"/>
      <c r="R38" s="47">
        <f>(D38-E38)/E38</f>
        <v>-0.15024395562460818</v>
      </c>
      <c r="S38" s="71">
        <f t="shared" si="5"/>
        <v>0.18217410217990265</v>
      </c>
      <c r="T38" s="10"/>
      <c r="W38" s="129" t="s">
        <v>87</v>
      </c>
      <c r="X38" s="141">
        <v>38530</v>
      </c>
      <c r="Y38" s="141">
        <v>48788</v>
      </c>
      <c r="Z38" s="141">
        <v>55432</v>
      </c>
      <c r="AA38" s="141">
        <v>50578</v>
      </c>
      <c r="AB38" s="141">
        <v>59529</v>
      </c>
      <c r="AC38" s="141">
        <v>74521</v>
      </c>
      <c r="AD38" s="141">
        <v>64455</v>
      </c>
      <c r="AE38" s="144">
        <v>48826</v>
      </c>
      <c r="AF38" s="141">
        <v>44870.417000000001</v>
      </c>
      <c r="AG38" s="141">
        <v>72373.27</v>
      </c>
    </row>
    <row r="39" spans="2:33" ht="15" thickBot="1" x14ac:dyDescent="0.35">
      <c r="B39" s="85"/>
      <c r="C39" s="7"/>
      <c r="D39" s="8"/>
      <c r="E39" s="11"/>
      <c r="F39" s="8"/>
      <c r="I39" s="85"/>
      <c r="J39" s="7"/>
      <c r="K39" s="8"/>
      <c r="L39" s="11"/>
      <c r="M39" s="8"/>
      <c r="P39" s="85"/>
      <c r="Q39" s="7"/>
      <c r="R39" s="8"/>
      <c r="S39" s="11"/>
      <c r="T39" s="11"/>
      <c r="W39" s="132" t="s">
        <v>88</v>
      </c>
      <c r="X39" s="135">
        <v>10021</v>
      </c>
      <c r="Y39" s="135">
        <v>10926</v>
      </c>
      <c r="Z39" s="135">
        <v>12544</v>
      </c>
      <c r="AA39" s="135">
        <v>11604</v>
      </c>
      <c r="AB39" s="135">
        <v>15999</v>
      </c>
      <c r="AC39" s="135">
        <v>18220</v>
      </c>
      <c r="AD39" s="135">
        <v>15885</v>
      </c>
      <c r="AE39" s="138">
        <v>12634</v>
      </c>
      <c r="AF39" s="135"/>
      <c r="AG39" s="135"/>
    </row>
    <row r="40" spans="2:33" x14ac:dyDescent="0.3">
      <c r="W40" s="132" t="s">
        <v>89</v>
      </c>
      <c r="X40" s="135">
        <v>9698</v>
      </c>
      <c r="Y40" s="135">
        <v>11768</v>
      </c>
      <c r="Z40" s="135">
        <v>13786</v>
      </c>
      <c r="AA40" s="135">
        <v>12378</v>
      </c>
      <c r="AB40" s="135">
        <v>18115</v>
      </c>
      <c r="AC40" s="135">
        <v>17421</v>
      </c>
      <c r="AD40" s="135">
        <v>19514</v>
      </c>
      <c r="AE40" s="138">
        <v>16356</v>
      </c>
      <c r="AF40" s="135"/>
      <c r="AG40" s="135"/>
    </row>
    <row r="41" spans="2:33" s="52" customFormat="1" ht="15" thickBot="1" x14ac:dyDescent="0.35">
      <c r="W41" s="132" t="s">
        <v>90</v>
      </c>
      <c r="X41" s="135">
        <v>323</v>
      </c>
      <c r="Y41" s="135">
        <v>-842</v>
      </c>
      <c r="Z41" s="135">
        <v>-1242</v>
      </c>
      <c r="AA41" s="135">
        <v>-774</v>
      </c>
      <c r="AB41" s="135">
        <v>-2116</v>
      </c>
      <c r="AC41" s="135">
        <v>799</v>
      </c>
      <c r="AD41" s="135">
        <v>-3629</v>
      </c>
      <c r="AE41" s="138">
        <v>-3722</v>
      </c>
      <c r="AF41" s="135"/>
      <c r="AG41" s="135"/>
    </row>
    <row r="42" spans="2:33" ht="21.6" thickBot="1" x14ac:dyDescent="0.45">
      <c r="B42" s="90" t="s">
        <v>91</v>
      </c>
      <c r="C42" s="91"/>
      <c r="D42" s="92" t="s">
        <v>25</v>
      </c>
      <c r="E42" s="93" t="s">
        <v>26</v>
      </c>
      <c r="F42" s="92" t="s">
        <v>27</v>
      </c>
      <c r="G42" s="91"/>
      <c r="H42" s="92" t="s">
        <v>92</v>
      </c>
      <c r="W42" s="132" t="s">
        <v>93</v>
      </c>
      <c r="X42" s="135" t="s">
        <v>44</v>
      </c>
      <c r="Y42" s="135" t="s">
        <v>44</v>
      </c>
      <c r="Z42" s="135" t="s">
        <v>44</v>
      </c>
      <c r="AA42" s="135" t="s">
        <v>44</v>
      </c>
      <c r="AB42" s="135" t="s">
        <v>44</v>
      </c>
      <c r="AC42" s="135" t="s">
        <v>44</v>
      </c>
      <c r="AD42" s="135" t="s">
        <v>44</v>
      </c>
      <c r="AE42" s="138"/>
      <c r="AF42" s="135"/>
      <c r="AG42" s="135"/>
    </row>
    <row r="43" spans="2:33" x14ac:dyDescent="0.3">
      <c r="B43" s="94"/>
      <c r="C43" s="33"/>
      <c r="D43" s="32"/>
      <c r="E43" s="34"/>
      <c r="F43" s="32"/>
      <c r="G43" s="33"/>
      <c r="H43" s="32"/>
      <c r="W43" s="132" t="s">
        <v>94</v>
      </c>
      <c r="X43" s="135" t="s">
        <v>44</v>
      </c>
      <c r="Y43" s="135" t="s">
        <v>44</v>
      </c>
      <c r="Z43" s="135">
        <v>0</v>
      </c>
      <c r="AA43" s="135" t="s">
        <v>44</v>
      </c>
      <c r="AB43" s="135">
        <v>0</v>
      </c>
      <c r="AC43" s="135">
        <v>0</v>
      </c>
      <c r="AD43" s="135">
        <v>0</v>
      </c>
      <c r="AE43" s="138"/>
      <c r="AF43" s="135"/>
      <c r="AG43" s="135"/>
    </row>
    <row r="44" spans="2:33" x14ac:dyDescent="0.3">
      <c r="B44" s="95" t="s">
        <v>95</v>
      </c>
      <c r="C44" s="37"/>
      <c r="D44" s="96">
        <f>(D7-E7)/E7</f>
        <v>0.1936164494019621</v>
      </c>
      <c r="E44" s="97">
        <f>(E7-F7)/F7</f>
        <v>0.17939194454644156</v>
      </c>
      <c r="F44" s="36"/>
      <c r="G44" s="37"/>
      <c r="H44" s="96">
        <f>AVERAGE(D44:E44)</f>
        <v>0.18650419697420184</v>
      </c>
      <c r="W44" s="129" t="s">
        <v>96</v>
      </c>
      <c r="X44" s="141">
        <v>28509</v>
      </c>
      <c r="Y44" s="141">
        <v>37862</v>
      </c>
      <c r="Z44" s="141">
        <v>42888</v>
      </c>
      <c r="AA44" s="141">
        <v>38974</v>
      </c>
      <c r="AB44" s="141">
        <v>43530</v>
      </c>
      <c r="AC44" s="141">
        <v>56301</v>
      </c>
      <c r="AD44" s="141">
        <v>48570</v>
      </c>
      <c r="AE44" s="144">
        <v>36192</v>
      </c>
      <c r="AF44" s="141">
        <v>34515.324000000001</v>
      </c>
      <c r="AG44" s="141">
        <v>53633.911999999997</v>
      </c>
    </row>
    <row r="45" spans="2:33" x14ac:dyDescent="0.3">
      <c r="B45" s="95" t="s">
        <v>97</v>
      </c>
      <c r="C45" s="37"/>
      <c r="D45" s="96">
        <f>D10/D7</f>
        <v>0.19332259965246892</v>
      </c>
      <c r="E45" s="97">
        <f>E10/E7</f>
        <v>0.21994131613134435</v>
      </c>
      <c r="F45" s="96">
        <f>F10/F7</f>
        <v>0.22836288901627522</v>
      </c>
      <c r="G45" s="37"/>
      <c r="H45" s="96">
        <f>AVERAGE(D45:F45)</f>
        <v>0.2138756016000295</v>
      </c>
      <c r="W45" s="132" t="s">
        <v>98</v>
      </c>
      <c r="X45" s="135">
        <v>0</v>
      </c>
      <c r="Y45" s="135">
        <v>0</v>
      </c>
      <c r="Z45" s="135">
        <v>0</v>
      </c>
      <c r="AA45" s="135">
        <v>0</v>
      </c>
      <c r="AB45" s="135">
        <v>0</v>
      </c>
      <c r="AC45" s="135">
        <v>0</v>
      </c>
      <c r="AD45" s="135">
        <v>0</v>
      </c>
      <c r="AE45" s="138">
        <v>0</v>
      </c>
      <c r="AF45" s="135"/>
      <c r="AG45" s="135"/>
    </row>
    <row r="46" spans="2:33" x14ac:dyDescent="0.3">
      <c r="B46" s="95" t="s">
        <v>99</v>
      </c>
      <c r="C46" s="37"/>
      <c r="D46" s="96">
        <f>(D13+D14+D15+D16+D17)/D7</f>
        <v>1.9144232898356556E-2</v>
      </c>
      <c r="E46" s="97">
        <f>(E13+E15+E16+E17-E14)/E7</f>
        <v>-4.0653138019083211E-3</v>
      </c>
      <c r="F46" s="96">
        <f>(F13+F14+F15+F16+F17)/F7</f>
        <v>-1.7234137540252142E-2</v>
      </c>
      <c r="G46" s="37"/>
      <c r="H46" s="96">
        <f>AVERAGE(D46:F46)</f>
        <v>-7.1840614793463578E-4</v>
      </c>
      <c r="W46" s="132" t="s">
        <v>100</v>
      </c>
      <c r="X46" s="135">
        <v>0</v>
      </c>
      <c r="Y46" s="135">
        <v>0</v>
      </c>
      <c r="Z46" s="135">
        <v>0</v>
      </c>
      <c r="AA46" s="135">
        <v>0</v>
      </c>
      <c r="AB46" s="135">
        <v>0</v>
      </c>
      <c r="AC46" s="135">
        <v>0</v>
      </c>
      <c r="AD46" s="135">
        <v>0</v>
      </c>
      <c r="AE46" s="138">
        <v>0</v>
      </c>
      <c r="AF46" s="135"/>
      <c r="AG46" s="135"/>
    </row>
    <row r="47" spans="2:33" x14ac:dyDescent="0.3">
      <c r="B47" s="95" t="s">
        <v>101</v>
      </c>
      <c r="C47" s="37"/>
      <c r="D47" s="96">
        <f>D21/'TECH M Balance Sheet'!D30</f>
        <v>0.15880629479032246</v>
      </c>
      <c r="E47" s="97">
        <f>E21/'TECH M Balance Sheet'!F30</f>
        <v>0.14247561215596974</v>
      </c>
      <c r="F47" s="96"/>
      <c r="G47" s="37"/>
      <c r="H47" s="96">
        <f>AVERAGE(D47:E47)</f>
        <v>0.1506409534731461</v>
      </c>
      <c r="W47" s="132" t="s">
        <v>102</v>
      </c>
      <c r="X47" s="135">
        <v>0</v>
      </c>
      <c r="Y47" s="135">
        <v>0</v>
      </c>
      <c r="Z47" s="135">
        <v>0</v>
      </c>
      <c r="AA47" s="135">
        <v>0</v>
      </c>
      <c r="AB47" s="135">
        <v>0</v>
      </c>
      <c r="AC47" s="135">
        <v>0</v>
      </c>
      <c r="AD47" s="135">
        <v>0</v>
      </c>
      <c r="AE47" s="138">
        <v>0</v>
      </c>
      <c r="AF47" s="135"/>
      <c r="AG47" s="135"/>
    </row>
    <row r="48" spans="2:33" x14ac:dyDescent="0.3">
      <c r="B48" s="95" t="s">
        <v>103</v>
      </c>
      <c r="C48" s="37"/>
      <c r="D48" s="96">
        <f>D25/'TECH M Balance Sheet'!E15</f>
        <v>0.1026438569206843</v>
      </c>
      <c r="E48" s="97">
        <f>E25/'TECH M Balance Sheet'!F15</f>
        <v>4.0547024952015356E-2</v>
      </c>
      <c r="F48" s="96"/>
      <c r="G48" s="37"/>
      <c r="H48" s="96">
        <f>AVERAGE(D48:E48)</f>
        <v>7.1595440936349827E-2</v>
      </c>
      <c r="W48" s="129" t="s">
        <v>104</v>
      </c>
      <c r="X48" s="141">
        <v>28509</v>
      </c>
      <c r="Y48" s="141">
        <v>37862</v>
      </c>
      <c r="Z48" s="141">
        <v>42888</v>
      </c>
      <c r="AA48" s="141">
        <v>38974</v>
      </c>
      <c r="AB48" s="141">
        <v>43530</v>
      </c>
      <c r="AC48" s="141">
        <v>56301</v>
      </c>
      <c r="AD48" s="141">
        <v>48570</v>
      </c>
      <c r="AE48" s="144">
        <v>36192</v>
      </c>
      <c r="AF48" s="141"/>
      <c r="AG48" s="141"/>
    </row>
    <row r="49" spans="2:33" ht="15" thickBot="1" x14ac:dyDescent="0.35">
      <c r="B49" s="98" t="s">
        <v>105</v>
      </c>
      <c r="C49" s="35"/>
      <c r="D49" s="99">
        <f>D35/D32</f>
        <v>0.24942800536844123</v>
      </c>
      <c r="E49" s="100">
        <f>E35/E32</f>
        <v>0.19019804790706815</v>
      </c>
      <c r="F49" s="99">
        <f>F35/F32</f>
        <v>0.22592352398293886</v>
      </c>
      <c r="G49" s="35"/>
      <c r="H49" s="99">
        <f>AVERAGE(D49:F49)</f>
        <v>0.22184985908614943</v>
      </c>
      <c r="W49" s="132" t="s">
        <v>106</v>
      </c>
      <c r="X49" s="135">
        <v>380</v>
      </c>
      <c r="Y49" s="135">
        <v>-136</v>
      </c>
      <c r="Z49" s="135">
        <v>-88</v>
      </c>
      <c r="AA49" s="135">
        <v>-1356</v>
      </c>
      <c r="AB49" s="135">
        <v>-750</v>
      </c>
      <c r="AC49" s="135">
        <v>640</v>
      </c>
      <c r="AD49" s="135">
        <v>257</v>
      </c>
      <c r="AE49" s="138">
        <v>185</v>
      </c>
      <c r="AF49" s="135"/>
      <c r="AG49" s="135"/>
    </row>
    <row r="50" spans="2:33" x14ac:dyDescent="0.3">
      <c r="W50" s="129" t="s">
        <v>107</v>
      </c>
      <c r="X50" s="141">
        <v>28129</v>
      </c>
      <c r="Y50" s="141">
        <v>37998</v>
      </c>
      <c r="Z50" s="141">
        <v>42976</v>
      </c>
      <c r="AA50" s="141">
        <v>40330</v>
      </c>
      <c r="AB50" s="141">
        <v>44280</v>
      </c>
      <c r="AC50" s="141">
        <v>55661</v>
      </c>
      <c r="AD50" s="141">
        <v>48313</v>
      </c>
      <c r="AE50" s="144">
        <v>36007</v>
      </c>
      <c r="AF50" s="141">
        <v>34515.324000000001</v>
      </c>
      <c r="AG50" s="141">
        <v>53633.911999999997</v>
      </c>
    </row>
    <row r="51" spans="2:33" s="52" customFormat="1" ht="15" thickBot="1" x14ac:dyDescent="0.35">
      <c r="W51" s="132" t="s">
        <v>108</v>
      </c>
      <c r="X51" s="135">
        <v>0</v>
      </c>
      <c r="Y51" s="135">
        <v>0</v>
      </c>
      <c r="Z51" s="135">
        <v>0</v>
      </c>
      <c r="AA51" s="135">
        <v>0</v>
      </c>
      <c r="AB51" s="135">
        <v>0</v>
      </c>
      <c r="AC51" s="135">
        <v>0</v>
      </c>
      <c r="AD51" s="135">
        <v>0</v>
      </c>
      <c r="AE51" s="138">
        <v>0</v>
      </c>
      <c r="AF51" s="135"/>
      <c r="AG51" s="135"/>
    </row>
    <row r="52" spans="2:33" ht="21" x14ac:dyDescent="0.4">
      <c r="B52" s="101" t="s">
        <v>109</v>
      </c>
      <c r="C52" s="48" t="s">
        <v>110</v>
      </c>
      <c r="D52" s="43" t="s">
        <v>111</v>
      </c>
      <c r="E52" s="48" t="s">
        <v>112</v>
      </c>
      <c r="F52" s="43" t="s">
        <v>113</v>
      </c>
      <c r="G52" s="43" t="s">
        <v>114</v>
      </c>
      <c r="H52" s="66" t="s">
        <v>25</v>
      </c>
      <c r="W52" s="132" t="s">
        <v>115</v>
      </c>
      <c r="X52" s="135">
        <v>0</v>
      </c>
      <c r="Y52" s="135">
        <v>0</v>
      </c>
      <c r="Z52" s="135">
        <v>0</v>
      </c>
      <c r="AA52" s="135">
        <v>0</v>
      </c>
      <c r="AB52" s="135">
        <v>0</v>
      </c>
      <c r="AC52" s="135">
        <v>0</v>
      </c>
      <c r="AD52" s="135">
        <v>0</v>
      </c>
      <c r="AE52" s="138">
        <v>0</v>
      </c>
      <c r="AF52" s="135"/>
      <c r="AG52" s="135"/>
    </row>
    <row r="53" spans="2:33" ht="15" thickBot="1" x14ac:dyDescent="0.35">
      <c r="B53" s="11"/>
      <c r="C53" s="7"/>
      <c r="D53" s="11"/>
      <c r="E53" s="7"/>
      <c r="F53" s="11"/>
      <c r="G53" s="11"/>
      <c r="H53" s="8"/>
      <c r="W53" s="129" t="s">
        <v>116</v>
      </c>
      <c r="X53" s="141">
        <v>28129</v>
      </c>
      <c r="Y53" s="141">
        <v>37998</v>
      </c>
      <c r="Z53" s="141">
        <v>42976</v>
      </c>
      <c r="AA53" s="141">
        <v>40330</v>
      </c>
      <c r="AB53" s="141">
        <v>44280</v>
      </c>
      <c r="AC53" s="141">
        <v>55661</v>
      </c>
      <c r="AD53" s="141">
        <v>48313</v>
      </c>
      <c r="AE53" s="144">
        <v>36007</v>
      </c>
      <c r="AF53" s="141">
        <v>34515.324000000001</v>
      </c>
      <c r="AG53" s="141">
        <v>53633.911999999997</v>
      </c>
    </row>
    <row r="54" spans="2:33" x14ac:dyDescent="0.3">
      <c r="B54" s="10" t="s">
        <v>29</v>
      </c>
      <c r="C54" s="102">
        <f>D54*(1+H44)</f>
        <v>1253123.1236363673</v>
      </c>
      <c r="D54" s="103">
        <f>E54*(1+H44)</f>
        <v>1056147.2322070631</v>
      </c>
      <c r="E54" s="102">
        <f>F54*(1+H44)</f>
        <v>890133.58309260732</v>
      </c>
      <c r="F54" s="103">
        <f>G54*(1+H44)</f>
        <v>750215.28399360692</v>
      </c>
      <c r="G54" s="103">
        <f>H54*(1+H44)</f>
        <v>632290.45957594609</v>
      </c>
      <c r="H54" s="104">
        <f>D7</f>
        <v>532902</v>
      </c>
      <c r="W54" s="129"/>
      <c r="X54" s="140"/>
      <c r="Y54" s="140"/>
      <c r="Z54" s="140"/>
      <c r="AA54" s="140"/>
      <c r="AB54" s="140"/>
      <c r="AC54" s="140"/>
      <c r="AD54" s="140"/>
      <c r="AE54" s="143"/>
      <c r="AF54" s="140"/>
      <c r="AG54" s="140"/>
    </row>
    <row r="55" spans="2:33" x14ac:dyDescent="0.3">
      <c r="B55" s="10" t="s">
        <v>31</v>
      </c>
      <c r="C55" s="102">
        <f t="shared" ref="C55:F55" si="6">C54-C56</f>
        <v>985110.66168973106</v>
      </c>
      <c r="D55" s="103">
        <f t="shared" si="6"/>
        <v>830263.10754057148</v>
      </c>
      <c r="E55" s="102">
        <f t="shared" si="6"/>
        <v>699755.7275042861</v>
      </c>
      <c r="F55" s="103">
        <f t="shared" si="6"/>
        <v>589762.53879993723</v>
      </c>
      <c r="G55" s="103">
        <f>G54-G56</f>
        <v>497058.95714818151</v>
      </c>
      <c r="H55" s="104">
        <f>D8</f>
        <v>429880</v>
      </c>
      <c r="W55" s="129" t="s">
        <v>117</v>
      </c>
      <c r="X55" s="141">
        <v>28076.1</v>
      </c>
      <c r="Y55" s="141">
        <v>37213.800000000003</v>
      </c>
      <c r="Z55" s="141">
        <v>41215.5</v>
      </c>
      <c r="AA55" s="141">
        <v>39293.300000000003</v>
      </c>
      <c r="AB55" s="141">
        <v>43506</v>
      </c>
      <c r="AC55" s="141">
        <v>53808.800000000003</v>
      </c>
      <c r="AD55" s="141">
        <v>49206.2</v>
      </c>
      <c r="AE55" s="144">
        <v>38541.7001953125</v>
      </c>
      <c r="AF55" s="141">
        <v>34254.122000000003</v>
      </c>
      <c r="AG55" s="141">
        <v>53980.243999999999</v>
      </c>
    </row>
    <row r="56" spans="2:33" x14ac:dyDescent="0.3">
      <c r="B56" s="10" t="s">
        <v>34</v>
      </c>
      <c r="C56" s="102">
        <f t="shared" ref="C56:D56" si="7">C54*$H$45</f>
        <v>268012.46194663621</v>
      </c>
      <c r="D56" s="103">
        <f t="shared" si="7"/>
        <v>225884.12466649167</v>
      </c>
      <c r="E56" s="102">
        <f>E54*$H$45</f>
        <v>190377.85558832122</v>
      </c>
      <c r="F56" s="103">
        <f>F54*H45</f>
        <v>160452.74519366966</v>
      </c>
      <c r="G56" s="103">
        <f>G54*H45</f>
        <v>135231.50242776462</v>
      </c>
      <c r="H56" s="104">
        <f>D10</f>
        <v>103022</v>
      </c>
      <c r="W56" s="132" t="s">
        <v>118</v>
      </c>
      <c r="X56" s="135">
        <v>-52.9</v>
      </c>
      <c r="Y56" s="135">
        <v>-784.2</v>
      </c>
      <c r="Z56" s="135">
        <v>-1760.5</v>
      </c>
      <c r="AA56" s="135">
        <v>-1036.7</v>
      </c>
      <c r="AB56" s="135">
        <v>-1281</v>
      </c>
      <c r="AC56" s="135">
        <v>-1852.2</v>
      </c>
      <c r="AD56" s="135">
        <v>893.2</v>
      </c>
      <c r="AE56" s="138">
        <v>2534.6999999999998</v>
      </c>
      <c r="AF56" s="135"/>
      <c r="AG56" s="135"/>
    </row>
    <row r="57" spans="2:33" x14ac:dyDescent="0.3">
      <c r="B57" s="10" t="s">
        <v>119</v>
      </c>
      <c r="C57" s="102">
        <f t="shared" ref="C57:E57" si="8">C54*$H$46</f>
        <v>-900.25135613942098</v>
      </c>
      <c r="D57" s="103">
        <f t="shared" si="8"/>
        <v>-758.74266474170349</v>
      </c>
      <c r="E57" s="102">
        <f t="shared" si="8"/>
        <v>-639.47743857681508</v>
      </c>
      <c r="F57" s="103">
        <f>F54*$H$46</f>
        <v>-538.95927229553592</v>
      </c>
      <c r="G57" s="103">
        <f>G54*H46</f>
        <v>-454.24135343977599</v>
      </c>
      <c r="H57" s="104">
        <f>D13+D14+D15+D16+D17</f>
        <v>10202.000000000005</v>
      </c>
      <c r="W57" s="132" t="s">
        <v>120</v>
      </c>
      <c r="X57" s="135">
        <v>0</v>
      </c>
      <c r="Y57" s="135">
        <v>0</v>
      </c>
      <c r="Z57" s="135">
        <v>0</v>
      </c>
      <c r="AA57" s="135">
        <v>0</v>
      </c>
      <c r="AB57" s="135">
        <v>0</v>
      </c>
      <c r="AC57" s="135">
        <v>0</v>
      </c>
      <c r="AD57" s="135">
        <v>0</v>
      </c>
      <c r="AE57" s="138">
        <v>0</v>
      </c>
      <c r="AF57" s="135"/>
      <c r="AG57" s="135"/>
    </row>
    <row r="58" spans="2:33" x14ac:dyDescent="0.3">
      <c r="B58" s="10" t="s">
        <v>57</v>
      </c>
      <c r="C58" s="102">
        <f>H47*'TECH M Balance Sheet'!D70</f>
        <v>40287.724663497589</v>
      </c>
      <c r="D58" s="103">
        <f>H47*'TECH M Balance Sheet'!E70</f>
        <v>33954.978639130393</v>
      </c>
      <c r="E58" s="102">
        <f>H47*'TECH M Balance Sheet'!F70</f>
        <v>28617.66416479745</v>
      </c>
      <c r="F58" s="103">
        <f>H47*'TECH M Balance Sheet'!G70</f>
        <v>24119.311366767703</v>
      </c>
      <c r="G58" s="103">
        <f>H47*'TECH M Balance Sheet'!H70</f>
        <v>18560.92380028675</v>
      </c>
      <c r="H58" s="104">
        <f>D21</f>
        <v>19567</v>
      </c>
      <c r="W58" s="129"/>
      <c r="X58" s="140"/>
      <c r="Y58" s="140"/>
      <c r="Z58" s="140"/>
      <c r="AA58" s="140"/>
      <c r="AB58" s="140"/>
      <c r="AC58" s="140"/>
      <c r="AD58" s="140"/>
      <c r="AE58" s="143"/>
      <c r="AF58" s="140"/>
      <c r="AG58" s="140"/>
    </row>
    <row r="59" spans="2:33" x14ac:dyDescent="0.3">
      <c r="B59" s="10" t="s">
        <v>121</v>
      </c>
      <c r="C59" s="102">
        <f>$H$48*'TECH M Balance Sheet'!D73</f>
        <v>1029.4470487953365</v>
      </c>
      <c r="D59" s="102">
        <f>$H$48*'TECH M Balance Sheet'!E73</f>
        <v>1029.4470487953365</v>
      </c>
      <c r="E59" s="102">
        <f>$H$48*'TECH M Balance Sheet'!F73</f>
        <v>1029.4470487953365</v>
      </c>
      <c r="F59" s="102">
        <f>$H$48*'TECH M Balance Sheet'!G73</f>
        <v>1029.4470487953365</v>
      </c>
      <c r="G59" s="102">
        <f>$H$48*'TECH M Balance Sheet'!H73</f>
        <v>960.66762648394194</v>
      </c>
      <c r="H59" s="104">
        <f>D25</f>
        <v>1848</v>
      </c>
      <c r="W59" s="132" t="s">
        <v>122</v>
      </c>
      <c r="X59" s="135">
        <v>875.31129999999996</v>
      </c>
      <c r="Y59" s="135">
        <v>883.26199999999994</v>
      </c>
      <c r="Z59" s="135">
        <v>886.56849999999997</v>
      </c>
      <c r="AA59" s="135">
        <v>871.74779999999998</v>
      </c>
      <c r="AB59" s="135">
        <v>874.37660000000005</v>
      </c>
      <c r="AC59" s="135">
        <v>878.9769</v>
      </c>
      <c r="AD59" s="135">
        <v>882.20870000000002</v>
      </c>
      <c r="AE59" s="138">
        <v>975.56100700000002</v>
      </c>
      <c r="AF59" s="135"/>
      <c r="AG59" s="135"/>
    </row>
    <row r="60" spans="2:33" x14ac:dyDescent="0.3">
      <c r="B60" s="10" t="s">
        <v>123</v>
      </c>
      <c r="C60" s="102">
        <v>0</v>
      </c>
      <c r="D60" s="103">
        <v>0</v>
      </c>
      <c r="E60" s="102">
        <v>0</v>
      </c>
      <c r="F60" s="103">
        <v>0</v>
      </c>
      <c r="G60" s="103">
        <v>0</v>
      </c>
      <c r="H60" s="104"/>
      <c r="W60" s="129" t="s">
        <v>124</v>
      </c>
      <c r="X60" s="142">
        <v>32.14</v>
      </c>
      <c r="Y60" s="142">
        <v>43.02</v>
      </c>
      <c r="Z60" s="142">
        <v>48.47</v>
      </c>
      <c r="AA60" s="142">
        <v>46.263399999999997</v>
      </c>
      <c r="AB60" s="142">
        <v>50.64</v>
      </c>
      <c r="AC60" s="142">
        <v>63.32</v>
      </c>
      <c r="AD60" s="142">
        <v>54.76</v>
      </c>
      <c r="AE60" s="145">
        <v>40.272728000000001</v>
      </c>
      <c r="AF60" s="142">
        <v>40.095999999999997</v>
      </c>
      <c r="AG60" s="142">
        <v>61.359000000000002</v>
      </c>
    </row>
    <row r="61" spans="2:33" x14ac:dyDescent="0.3">
      <c r="B61" s="10"/>
      <c r="C61" s="102"/>
      <c r="D61" s="103"/>
      <c r="E61" s="102"/>
      <c r="F61" s="103"/>
      <c r="G61" s="103"/>
      <c r="H61" s="104"/>
      <c r="W61" s="129" t="s">
        <v>125</v>
      </c>
      <c r="X61" s="142">
        <v>32.14</v>
      </c>
      <c r="Y61" s="142">
        <v>43.02</v>
      </c>
      <c r="Z61" s="142">
        <v>48.47</v>
      </c>
      <c r="AA61" s="142">
        <v>46.263399999999997</v>
      </c>
      <c r="AB61" s="142">
        <v>50.64</v>
      </c>
      <c r="AC61" s="142">
        <v>63.32</v>
      </c>
      <c r="AD61" s="142">
        <v>54.76</v>
      </c>
      <c r="AE61" s="145">
        <v>40.272728000000001</v>
      </c>
      <c r="AF61" s="142">
        <v>40.095999999999997</v>
      </c>
      <c r="AG61" s="142">
        <v>61.359000000000002</v>
      </c>
    </row>
    <row r="62" spans="2:33" x14ac:dyDescent="0.3">
      <c r="B62" s="10" t="s">
        <v>75</v>
      </c>
      <c r="C62" s="102">
        <f t="shared" ref="C62:F62" si="9">C56-C57-C58-C59</f>
        <v>227595.54159048272</v>
      </c>
      <c r="D62" s="103">
        <f t="shared" si="9"/>
        <v>191658.44164330765</v>
      </c>
      <c r="E62" s="102">
        <f t="shared" si="9"/>
        <v>161370.22181330525</v>
      </c>
      <c r="F62" s="103">
        <f t="shared" si="9"/>
        <v>135842.94605040216</v>
      </c>
      <c r="G62" s="103">
        <f>G56-G57-G58-G59</f>
        <v>116164.1523544337</v>
      </c>
      <c r="H62" s="104"/>
      <c r="W62" s="129" t="s">
        <v>126</v>
      </c>
      <c r="X62" s="142">
        <v>32.075600000000001</v>
      </c>
      <c r="Y62" s="142">
        <v>42.132199999999997</v>
      </c>
      <c r="Z62" s="142">
        <v>46.488799999999998</v>
      </c>
      <c r="AA62" s="142">
        <v>45.074199999999998</v>
      </c>
      <c r="AB62" s="142">
        <v>49.176699999999997</v>
      </c>
      <c r="AC62" s="142">
        <v>61.217500000000001</v>
      </c>
      <c r="AD62" s="142">
        <v>55.7761</v>
      </c>
      <c r="AE62" s="145">
        <v>43.032435</v>
      </c>
      <c r="AF62" s="142">
        <v>38.856000000000002</v>
      </c>
      <c r="AG62" s="142">
        <v>61.164999999999999</v>
      </c>
    </row>
    <row r="63" spans="2:33" x14ac:dyDescent="0.3">
      <c r="B63" s="10" t="s">
        <v>127</v>
      </c>
      <c r="C63" s="102">
        <f t="shared" ref="C63:F63" si="10">C62*$H$49</f>
        <v>50492.038830484453</v>
      </c>
      <c r="D63" s="103">
        <f t="shared" si="10"/>
        <v>42519.398271238795</v>
      </c>
      <c r="E63" s="102">
        <f t="shared" si="10"/>
        <v>35799.96096998245</v>
      </c>
      <c r="F63" s="103">
        <f t="shared" si="10"/>
        <v>30136.738439129116</v>
      </c>
      <c r="G63" s="103">
        <f>G62*$H$49</f>
        <v>25771.000830693109</v>
      </c>
      <c r="H63" s="104"/>
      <c r="W63" s="129"/>
      <c r="X63" s="140"/>
      <c r="Y63" s="140"/>
      <c r="Z63" s="140"/>
      <c r="AA63" s="140"/>
      <c r="AB63" s="140"/>
      <c r="AC63" s="140"/>
      <c r="AD63" s="140"/>
      <c r="AE63" s="143"/>
      <c r="AF63" s="140"/>
      <c r="AG63" s="140"/>
    </row>
    <row r="64" spans="2:33" x14ac:dyDescent="0.3">
      <c r="B64" s="10"/>
      <c r="C64" s="102"/>
      <c r="D64" s="103"/>
      <c r="E64" s="102"/>
      <c r="F64" s="103"/>
      <c r="G64" s="103"/>
      <c r="H64" s="104"/>
      <c r="W64" s="132" t="s">
        <v>128</v>
      </c>
      <c r="X64" s="135">
        <v>888.89030000000002</v>
      </c>
      <c r="Y64" s="135">
        <v>890.62710000000004</v>
      </c>
      <c r="Z64" s="135">
        <v>900.58450000000005</v>
      </c>
      <c r="AA64" s="135">
        <v>879.56960000000004</v>
      </c>
      <c r="AB64" s="135">
        <v>882.19380000000001</v>
      </c>
      <c r="AC64" s="135">
        <v>886.16470000000004</v>
      </c>
      <c r="AD64" s="135">
        <v>885.80359999999996</v>
      </c>
      <c r="AE64" s="138">
        <v>975.56100700000002</v>
      </c>
      <c r="AF64" s="135"/>
      <c r="AG64" s="135"/>
    </row>
    <row r="65" spans="2:33" ht="15" thickBot="1" x14ac:dyDescent="0.35">
      <c r="B65" s="11" t="s">
        <v>129</v>
      </c>
      <c r="C65" s="105">
        <f t="shared" ref="C65:F65" si="11">C62-C63</f>
        <v>177103.50275999826</v>
      </c>
      <c r="D65" s="106">
        <f t="shared" si="11"/>
        <v>149139.04337206885</v>
      </c>
      <c r="E65" s="105">
        <f t="shared" si="11"/>
        <v>125570.2608433228</v>
      </c>
      <c r="F65" s="106">
        <f t="shared" si="11"/>
        <v>105706.20761127304</v>
      </c>
      <c r="G65" s="106">
        <f>G62-G63</f>
        <v>90393.151523740584</v>
      </c>
      <c r="H65" s="107"/>
      <c r="W65" s="129" t="s">
        <v>130</v>
      </c>
      <c r="X65" s="142">
        <v>31.64</v>
      </c>
      <c r="Y65" s="142">
        <v>42.66</v>
      </c>
      <c r="Z65" s="142">
        <v>47.72</v>
      </c>
      <c r="AA65" s="142">
        <v>45.85</v>
      </c>
      <c r="AB65" s="142">
        <v>50.19</v>
      </c>
      <c r="AC65" s="142">
        <v>62.81</v>
      </c>
      <c r="AD65" s="142">
        <v>54.54</v>
      </c>
      <c r="AE65" s="145">
        <v>40.142727999999998</v>
      </c>
      <c r="AF65" s="142">
        <v>40.095999999999997</v>
      </c>
      <c r="AG65" s="142">
        <v>61.359000000000002</v>
      </c>
    </row>
    <row r="66" spans="2:33" x14ac:dyDescent="0.3">
      <c r="W66" s="129" t="s">
        <v>131</v>
      </c>
      <c r="X66" s="142">
        <v>31.64</v>
      </c>
      <c r="Y66" s="142">
        <v>42.66</v>
      </c>
      <c r="Z66" s="142">
        <v>47.72</v>
      </c>
      <c r="AA66" s="142">
        <v>45.851999999999997</v>
      </c>
      <c r="AB66" s="142">
        <v>50.19</v>
      </c>
      <c r="AC66" s="142">
        <v>62.81</v>
      </c>
      <c r="AD66" s="142">
        <v>54.54</v>
      </c>
      <c r="AE66" s="145">
        <v>40.142727999999998</v>
      </c>
      <c r="AF66" s="142">
        <v>40.095999999999997</v>
      </c>
      <c r="AG66" s="142">
        <v>61.359000000000002</v>
      </c>
    </row>
    <row r="67" spans="2:33" s="52" customFormat="1" x14ac:dyDescent="0.3">
      <c r="W67" s="129" t="s">
        <v>132</v>
      </c>
      <c r="X67" s="142">
        <v>31.580500000000001</v>
      </c>
      <c r="Y67" s="142">
        <v>41.779499999999999</v>
      </c>
      <c r="Z67" s="142">
        <v>45.7652</v>
      </c>
      <c r="AA67" s="142">
        <v>44.673400000000001</v>
      </c>
      <c r="AB67" s="142">
        <v>48.737900000000003</v>
      </c>
      <c r="AC67" s="142">
        <v>60.719900000000003</v>
      </c>
      <c r="AD67" s="142">
        <v>55.548400000000001</v>
      </c>
      <c r="AE67" s="145">
        <v>42.895777000000002</v>
      </c>
      <c r="AF67" s="142">
        <v>38.856000000000002</v>
      </c>
      <c r="AG67" s="142">
        <v>61.164999999999999</v>
      </c>
    </row>
    <row r="68" spans="2:33" x14ac:dyDescent="0.3">
      <c r="W68" s="129"/>
      <c r="X68" s="140"/>
      <c r="Y68" s="140"/>
      <c r="Z68" s="140"/>
      <c r="AA68" s="140"/>
      <c r="AB68" s="140"/>
      <c r="AC68" s="140"/>
      <c r="AD68" s="140"/>
      <c r="AE68" s="143"/>
      <c r="AF68" s="140"/>
      <c r="AG68" s="140"/>
    </row>
    <row r="69" spans="2:33" x14ac:dyDescent="0.3">
      <c r="B69" s="55" t="s">
        <v>426</v>
      </c>
      <c r="W69" s="129" t="s">
        <v>133</v>
      </c>
      <c r="X69" s="140"/>
      <c r="Y69" s="140"/>
      <c r="Z69" s="140"/>
      <c r="AA69" s="140"/>
      <c r="AB69" s="140"/>
      <c r="AC69" s="140"/>
      <c r="AD69" s="140"/>
      <c r="AE69" s="143"/>
      <c r="AF69" s="140"/>
      <c r="AG69" s="140"/>
    </row>
    <row r="70" spans="2:33" x14ac:dyDescent="0.3">
      <c r="S70" s="132" t="s">
        <v>134</v>
      </c>
      <c r="T70" s="134" t="s">
        <v>135</v>
      </c>
      <c r="U70" s="134" t="s">
        <v>135</v>
      </c>
      <c r="V70" s="134" t="s">
        <v>135</v>
      </c>
      <c r="W70" s="134" t="s">
        <v>135</v>
      </c>
      <c r="X70" s="134" t="s">
        <v>135</v>
      </c>
      <c r="Y70" s="134" t="s">
        <v>135</v>
      </c>
      <c r="Z70" s="134" t="s">
        <v>135</v>
      </c>
      <c r="AA70" s="137"/>
      <c r="AB70" s="134"/>
      <c r="AC70" s="134"/>
    </row>
    <row r="71" spans="2:33" x14ac:dyDescent="0.3">
      <c r="S71" s="132" t="s">
        <v>54</v>
      </c>
      <c r="T71" s="135">
        <v>41907</v>
      </c>
      <c r="U71" s="135">
        <v>47331</v>
      </c>
      <c r="V71" s="135">
        <v>63369</v>
      </c>
      <c r="W71" s="135">
        <v>57181</v>
      </c>
      <c r="X71" s="135">
        <v>68977</v>
      </c>
      <c r="Y71" s="135">
        <v>80200</v>
      </c>
      <c r="Z71" s="135">
        <v>80288</v>
      </c>
      <c r="AA71" s="138">
        <v>65749</v>
      </c>
      <c r="AB71" s="135">
        <v>60105.256000000001</v>
      </c>
      <c r="AC71" s="135">
        <v>86809.667000000001</v>
      </c>
    </row>
    <row r="72" spans="2:33" x14ac:dyDescent="0.3">
      <c r="S72" s="132" t="s">
        <v>136</v>
      </c>
      <c r="T72" s="136">
        <v>14.3809</v>
      </c>
      <c r="U72" s="136">
        <v>15.380699999999999</v>
      </c>
      <c r="V72" s="136">
        <v>18.239799999999999</v>
      </c>
      <c r="W72" s="136">
        <v>15.5098</v>
      </c>
      <c r="X72" s="136">
        <v>18.221299999999999</v>
      </c>
      <c r="Y72" s="136">
        <v>17.9635</v>
      </c>
      <c r="Z72" s="136">
        <v>15.0662</v>
      </c>
      <c r="AA72" s="139">
        <v>12.295117221466899</v>
      </c>
      <c r="AB72" s="136">
        <v>11.4404452623269</v>
      </c>
      <c r="AC72" s="136">
        <v>15.3993234439791</v>
      </c>
    </row>
    <row r="73" spans="2:33" x14ac:dyDescent="0.3">
      <c r="W73" s="132" t="s">
        <v>137</v>
      </c>
      <c r="X73" s="135">
        <v>34447</v>
      </c>
      <c r="Y73" s="135">
        <v>39842</v>
      </c>
      <c r="Z73" s="135">
        <v>56315</v>
      </c>
      <c r="AA73" s="135">
        <v>50294</v>
      </c>
      <c r="AB73" s="135">
        <v>63016</v>
      </c>
      <c r="AC73" s="135">
        <v>74872</v>
      </c>
      <c r="AD73" s="135">
        <v>73298</v>
      </c>
      <c r="AE73" s="138"/>
      <c r="AF73" s="135"/>
      <c r="AG73" s="135"/>
    </row>
    <row r="74" spans="2:33" x14ac:dyDescent="0.3">
      <c r="W74" s="132" t="s">
        <v>138</v>
      </c>
      <c r="X74" s="135">
        <v>32126</v>
      </c>
      <c r="Y74" s="135">
        <v>36481</v>
      </c>
      <c r="Z74" s="135">
        <v>52077</v>
      </c>
      <c r="AA74" s="135">
        <v>42723</v>
      </c>
      <c r="AB74" s="135">
        <v>54400</v>
      </c>
      <c r="AC74" s="135">
        <v>64996</v>
      </c>
      <c r="AD74" s="135">
        <v>60721</v>
      </c>
      <c r="AE74" s="138">
        <v>46743</v>
      </c>
      <c r="AF74" s="135">
        <v>40880.788999999997</v>
      </c>
      <c r="AG74" s="135">
        <v>67126.868000000002</v>
      </c>
    </row>
    <row r="75" spans="2:33" x14ac:dyDescent="0.3">
      <c r="W75" s="132" t="s">
        <v>139</v>
      </c>
      <c r="X75" s="136">
        <v>29.4251</v>
      </c>
      <c r="Y75" s="136">
        <v>30.035799999999998</v>
      </c>
      <c r="Z75" s="136">
        <v>32.764600000000002</v>
      </c>
      <c r="AA75" s="136">
        <v>29.5473</v>
      </c>
      <c r="AB75" s="136">
        <v>31.698799999999999</v>
      </c>
      <c r="AC75" s="136">
        <v>30.627600000000001</v>
      </c>
      <c r="AD75" s="136">
        <v>28.4681</v>
      </c>
      <c r="AE75" s="139">
        <v>26.5131639230529</v>
      </c>
      <c r="AF75" s="136">
        <v>26.088000000000001</v>
      </c>
      <c r="AG75" s="136">
        <v>28.82</v>
      </c>
    </row>
    <row r="76" spans="2:33" x14ac:dyDescent="0.3">
      <c r="W76" s="132" t="s">
        <v>140</v>
      </c>
      <c r="X76" s="136">
        <v>11.0244</v>
      </c>
      <c r="Y76" s="136">
        <v>11.854900000000001</v>
      </c>
      <c r="Z76" s="136">
        <v>14.989599999999999</v>
      </c>
      <c r="AA76" s="136">
        <v>11.588200000000001</v>
      </c>
      <c r="AB76" s="136">
        <v>14.3706</v>
      </c>
      <c r="AC76" s="136">
        <v>14.5581</v>
      </c>
      <c r="AD76" s="136">
        <v>11.394399999999999</v>
      </c>
      <c r="AE76" s="139">
        <v>8.7409795477197996</v>
      </c>
      <c r="AF76" s="136">
        <v>7.78125674791628</v>
      </c>
      <c r="AG76" s="136">
        <v>11.907756219284799</v>
      </c>
    </row>
    <row r="77" spans="2:33" x14ac:dyDescent="0.3">
      <c r="W77" s="132" t="s">
        <v>141</v>
      </c>
      <c r="X77" s="136">
        <v>9.6346000000000007</v>
      </c>
      <c r="Y77" s="136">
        <v>12.093</v>
      </c>
      <c r="Z77" s="136">
        <v>11.863300000000001</v>
      </c>
      <c r="AA77" s="136">
        <v>10.6579</v>
      </c>
      <c r="AB77" s="136">
        <v>11.492800000000001</v>
      </c>
      <c r="AC77" s="136">
        <v>12.052300000000001</v>
      </c>
      <c r="AD77" s="136">
        <v>9.2335999999999991</v>
      </c>
      <c r="AE77" s="139">
        <v>7.2073296843239101</v>
      </c>
      <c r="AF77" s="136">
        <v>6.5199357565346299</v>
      </c>
      <c r="AG77" s="136">
        <v>9.5756528698689092</v>
      </c>
    </row>
    <row r="78" spans="2:33" x14ac:dyDescent="0.3">
      <c r="W78" s="132" t="s">
        <v>142</v>
      </c>
      <c r="X78" s="135" t="s">
        <v>44</v>
      </c>
      <c r="Y78" s="135" t="s">
        <v>44</v>
      </c>
      <c r="Z78" s="135" t="s">
        <v>44</v>
      </c>
      <c r="AA78" s="135" t="s">
        <v>44</v>
      </c>
      <c r="AB78" s="135" t="s">
        <v>44</v>
      </c>
      <c r="AC78" s="135" t="s">
        <v>44</v>
      </c>
      <c r="AD78" s="135" t="s">
        <v>44</v>
      </c>
      <c r="AE78" s="138"/>
      <c r="AF78" s="135">
        <v>60311.400999999998</v>
      </c>
      <c r="AG78" s="135">
        <v>79918.486000000004</v>
      </c>
    </row>
    <row r="79" spans="2:33" x14ac:dyDescent="0.3">
      <c r="W79" s="132" t="s">
        <v>143</v>
      </c>
      <c r="X79" s="136">
        <v>2476001.1216000002</v>
      </c>
      <c r="Y79" s="136">
        <v>3929926.9514000001</v>
      </c>
      <c r="Z79" s="136">
        <v>3989676.1598999999</v>
      </c>
      <c r="AA79" s="136">
        <v>4151674.5118</v>
      </c>
      <c r="AB79" s="136">
        <v>4694274.6245999997</v>
      </c>
      <c r="AC79" s="136">
        <v>4268953.8453000002</v>
      </c>
      <c r="AD79" s="136">
        <v>3496732.2834999999</v>
      </c>
      <c r="AE79" s="139">
        <v>3516075.79105072</v>
      </c>
      <c r="AF79" s="136"/>
      <c r="AG79" s="136"/>
    </row>
    <row r="80" spans="2:33" x14ac:dyDescent="0.3">
      <c r="W80" s="132" t="s">
        <v>144</v>
      </c>
      <c r="X80" s="136">
        <v>9</v>
      </c>
      <c r="Y80" s="136">
        <v>14</v>
      </c>
      <c r="Z80" s="136">
        <v>14</v>
      </c>
      <c r="AA80" s="136">
        <v>15</v>
      </c>
      <c r="AB80" s="136">
        <v>45</v>
      </c>
      <c r="AC80" s="136">
        <v>45</v>
      </c>
      <c r="AD80" s="136">
        <v>50</v>
      </c>
      <c r="AE80" s="139"/>
      <c r="AF80" s="136">
        <v>37.862000000000002</v>
      </c>
      <c r="AG80" s="136">
        <v>47.98</v>
      </c>
    </row>
    <row r="81" spans="23:33" x14ac:dyDescent="0.3">
      <c r="W81" s="132" t="s">
        <v>145</v>
      </c>
      <c r="X81" s="135">
        <v>7897.8536999999997</v>
      </c>
      <c r="Y81" s="135">
        <v>12366.460800000001</v>
      </c>
      <c r="Z81" s="135">
        <v>12421.7608</v>
      </c>
      <c r="AA81" s="135">
        <v>13073.208000000001</v>
      </c>
      <c r="AB81" s="135">
        <v>39328.173300000002</v>
      </c>
      <c r="AC81" s="135">
        <v>52655.870999999999</v>
      </c>
      <c r="AD81" s="135">
        <v>59834.005499999999</v>
      </c>
      <c r="AE81" s="138"/>
      <c r="AF81" s="135"/>
      <c r="AG81" s="135"/>
    </row>
    <row r="82" spans="23:33" x14ac:dyDescent="0.3">
      <c r="W82" s="132" t="s">
        <v>146</v>
      </c>
      <c r="X82" s="135" t="s">
        <v>44</v>
      </c>
      <c r="Y82" s="135" t="s">
        <v>44</v>
      </c>
      <c r="Z82" s="135" t="s">
        <v>44</v>
      </c>
      <c r="AA82" s="135" t="s">
        <v>44</v>
      </c>
      <c r="AB82" s="135" t="s">
        <v>44</v>
      </c>
      <c r="AC82" s="135" t="s">
        <v>44</v>
      </c>
      <c r="AD82" s="135" t="s">
        <v>44</v>
      </c>
      <c r="AE82" s="138"/>
      <c r="AF82" s="135"/>
      <c r="AG82" s="135"/>
    </row>
    <row r="83" spans="23:33" x14ac:dyDescent="0.3">
      <c r="W83" s="132" t="s">
        <v>147</v>
      </c>
      <c r="X83" s="135">
        <v>154539</v>
      </c>
      <c r="Y83" s="135">
        <v>166240</v>
      </c>
      <c r="Z83" s="135">
        <v>175079</v>
      </c>
      <c r="AA83" s="135">
        <v>188100</v>
      </c>
      <c r="AB83" s="135">
        <v>192973</v>
      </c>
      <c r="AC83" s="135">
        <v>222859</v>
      </c>
      <c r="AD83" s="135">
        <v>276918</v>
      </c>
      <c r="AE83" s="138">
        <v>287163</v>
      </c>
      <c r="AF83" s="135"/>
      <c r="AG83" s="135"/>
    </row>
    <row r="84" spans="23:33" x14ac:dyDescent="0.3">
      <c r="W84" s="132" t="s">
        <v>148</v>
      </c>
      <c r="X84" s="135">
        <v>7460</v>
      </c>
      <c r="Y84" s="135">
        <v>7489</v>
      </c>
      <c r="Z84" s="135">
        <v>7054</v>
      </c>
      <c r="AA84" s="135">
        <v>6887</v>
      </c>
      <c r="AB84" s="135">
        <v>5961</v>
      </c>
      <c r="AC84" s="135">
        <v>5328</v>
      </c>
      <c r="AD84" s="135">
        <v>6990</v>
      </c>
      <c r="AE84" s="138"/>
      <c r="AF84" s="135"/>
      <c r="AG84" s="135"/>
    </row>
    <row r="85" spans="23:33" x14ac:dyDescent="0.3">
      <c r="W85" s="132" t="s">
        <v>149</v>
      </c>
      <c r="X85" s="135">
        <v>3566</v>
      </c>
      <c r="Y85" s="135">
        <v>3562</v>
      </c>
      <c r="Z85" s="135">
        <v>3785</v>
      </c>
      <c r="AA85" s="135">
        <v>1163</v>
      </c>
      <c r="AB85" s="135">
        <v>751</v>
      </c>
      <c r="AC85" s="135">
        <v>752</v>
      </c>
      <c r="AD85" s="135">
        <v>719</v>
      </c>
      <c r="AE85" s="138"/>
      <c r="AF85" s="135"/>
      <c r="AG85" s="135"/>
    </row>
  </sheetData>
  <pageMargins left="0.7" right="0.7" top="0.75" bottom="0.75" header="0.3" footer="0.3"/>
  <pageSetup paperSize="9" orientation="portrait" r:id="rId1"/>
  <ignoredErrors>
    <ignoredError sqref="D31:F31" formulaRange="1"/>
    <ignoredError sqref="E27 E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102"/>
  <sheetViews>
    <sheetView showGridLines="0" topLeftCell="A48" zoomScale="73" zoomScaleNormal="73" workbookViewId="0">
      <selection activeCell="N69" sqref="N69"/>
    </sheetView>
  </sheetViews>
  <sheetFormatPr defaultRowHeight="14.4" x14ac:dyDescent="0.3"/>
  <cols>
    <col min="2" max="2" width="37.88671875" customWidth="1"/>
    <col min="4" max="4" width="15.109375" customWidth="1"/>
    <col min="5" max="5" width="14.33203125" customWidth="1"/>
    <col min="6" max="6" width="14.44140625" customWidth="1"/>
    <col min="8" max="8" width="11" customWidth="1"/>
    <col min="9" max="9" width="36.5546875" customWidth="1"/>
    <col min="16" max="16" width="27" customWidth="1"/>
    <col min="17" max="26" width="11.109375" customWidth="1"/>
  </cols>
  <sheetData>
    <row r="2" spans="2:26" ht="21" x14ac:dyDescent="0.3">
      <c r="P2" s="130" t="s">
        <v>150</v>
      </c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2:26" ht="15" thickBot="1" x14ac:dyDescent="0.35"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</row>
    <row r="4" spans="2:26" ht="24" thickBot="1" x14ac:dyDescent="0.5">
      <c r="B4" s="250" t="s">
        <v>151</v>
      </c>
      <c r="I4" s="251" t="s">
        <v>152</v>
      </c>
      <c r="J4" s="252"/>
      <c r="P4" s="126" t="s">
        <v>3</v>
      </c>
      <c r="Q4" s="127" t="s">
        <v>153</v>
      </c>
      <c r="R4" s="127" t="s">
        <v>154</v>
      </c>
      <c r="S4" s="127" t="s">
        <v>155</v>
      </c>
      <c r="T4" s="127" t="s">
        <v>4</v>
      </c>
      <c r="U4" s="127" t="s">
        <v>5</v>
      </c>
      <c r="V4" s="127" t="s">
        <v>6</v>
      </c>
      <c r="W4" s="127" t="s">
        <v>7</v>
      </c>
      <c r="X4" s="127" t="s">
        <v>8</v>
      </c>
      <c r="Y4" s="127" t="s">
        <v>9</v>
      </c>
      <c r="Z4" s="127" t="s">
        <v>10</v>
      </c>
    </row>
    <row r="5" spans="2:26" ht="15" thickBot="1" x14ac:dyDescent="0.35">
      <c r="P5" s="131" t="s">
        <v>14</v>
      </c>
      <c r="Q5" s="128" t="s">
        <v>156</v>
      </c>
      <c r="R5" s="128" t="s">
        <v>157</v>
      </c>
      <c r="S5" s="128" t="s">
        <v>158</v>
      </c>
      <c r="T5" s="128" t="s">
        <v>15</v>
      </c>
      <c r="U5" s="128" t="s">
        <v>16</v>
      </c>
      <c r="V5" s="128" t="s">
        <v>17</v>
      </c>
      <c r="W5" s="128" t="s">
        <v>18</v>
      </c>
      <c r="X5" s="128" t="s">
        <v>19</v>
      </c>
      <c r="Y5" s="128" t="s">
        <v>20</v>
      </c>
      <c r="Z5" s="128" t="s">
        <v>21</v>
      </c>
    </row>
    <row r="6" spans="2:26" ht="15" thickBot="1" x14ac:dyDescent="0.35">
      <c r="B6" s="79"/>
      <c r="C6" s="13"/>
      <c r="D6" s="78" t="s">
        <v>25</v>
      </c>
      <c r="E6" s="75" t="s">
        <v>26</v>
      </c>
      <c r="F6" s="78" t="s">
        <v>27</v>
      </c>
      <c r="I6" s="75"/>
      <c r="J6" s="79"/>
      <c r="K6" s="78" t="s">
        <v>25</v>
      </c>
      <c r="L6" s="75" t="s">
        <v>26</v>
      </c>
      <c r="M6" s="78" t="s">
        <v>27</v>
      </c>
      <c r="P6" s="129" t="s">
        <v>159</v>
      </c>
      <c r="Q6" s="140"/>
      <c r="R6" s="140"/>
      <c r="S6" s="140"/>
      <c r="T6" s="140"/>
      <c r="U6" s="140"/>
      <c r="V6" s="140"/>
      <c r="W6" s="140"/>
      <c r="X6" s="140"/>
      <c r="Y6" s="140"/>
      <c r="Z6" s="140"/>
    </row>
    <row r="7" spans="2:26" x14ac:dyDescent="0.3">
      <c r="B7" s="80" t="s">
        <v>160</v>
      </c>
      <c r="C7" s="3"/>
      <c r="D7" s="66"/>
      <c r="E7" s="43"/>
      <c r="F7" s="66"/>
      <c r="I7" s="82" t="s">
        <v>160</v>
      </c>
      <c r="J7" s="49"/>
      <c r="K7" s="77"/>
      <c r="L7" s="44"/>
      <c r="M7" s="44"/>
      <c r="P7" s="132" t="s">
        <v>161</v>
      </c>
      <c r="Q7" s="135">
        <v>35674</v>
      </c>
      <c r="R7" s="135">
        <v>32090</v>
      </c>
      <c r="S7" s="135">
        <v>51385</v>
      </c>
      <c r="T7" s="135">
        <v>53763</v>
      </c>
      <c r="U7" s="135">
        <v>64430</v>
      </c>
      <c r="V7" s="135">
        <v>86779</v>
      </c>
      <c r="W7" s="135">
        <v>86862</v>
      </c>
      <c r="X7" s="135">
        <v>124159</v>
      </c>
      <c r="Y7" s="135">
        <v>82897</v>
      </c>
      <c r="Z7" s="135">
        <v>69107</v>
      </c>
    </row>
    <row r="8" spans="2:26" x14ac:dyDescent="0.3">
      <c r="B8" s="27" t="s">
        <v>162</v>
      </c>
      <c r="C8" s="5"/>
      <c r="D8" s="181">
        <f>Z75</f>
        <v>18702</v>
      </c>
      <c r="E8" s="182">
        <f>Y75</f>
        <v>17239</v>
      </c>
      <c r="F8" s="181">
        <f>X75</f>
        <v>14992</v>
      </c>
      <c r="I8" s="30" t="s">
        <v>162</v>
      </c>
      <c r="J8" s="5"/>
      <c r="K8" s="47">
        <f>D8/$D$50</f>
        <v>4.9020995517810806E-2</v>
      </c>
      <c r="L8" s="71">
        <f>E8/$E$50</f>
        <v>4.5868654778439419E-2</v>
      </c>
      <c r="M8" s="71">
        <f>F8/$F$50</f>
        <v>4.2586069764799457E-2</v>
      </c>
      <c r="P8" s="132" t="s">
        <v>163</v>
      </c>
      <c r="Q8" s="135">
        <v>33149</v>
      </c>
      <c r="R8" s="135">
        <v>24049</v>
      </c>
      <c r="S8" s="135">
        <v>40137</v>
      </c>
      <c r="T8" s="135">
        <v>32116</v>
      </c>
      <c r="U8" s="135">
        <v>29981</v>
      </c>
      <c r="V8" s="135">
        <v>20880</v>
      </c>
      <c r="W8" s="135">
        <v>30739</v>
      </c>
      <c r="X8" s="135">
        <v>27540</v>
      </c>
      <c r="Y8" s="135">
        <v>38538</v>
      </c>
      <c r="Z8" s="135">
        <v>41275</v>
      </c>
    </row>
    <row r="9" spans="2:26" x14ac:dyDescent="0.3">
      <c r="B9" s="27" t="s">
        <v>164</v>
      </c>
      <c r="C9" s="5"/>
      <c r="D9" s="181">
        <f>SUM(Z79,Z80,Z82)</f>
        <v>265245</v>
      </c>
      <c r="E9" s="181">
        <f>SUM(Y79,Y80,Y82)</f>
        <v>256572</v>
      </c>
      <c r="F9" s="181">
        <f>SUM(X79,X80,X82)</f>
        <v>237453</v>
      </c>
      <c r="I9" s="30" t="s">
        <v>164</v>
      </c>
      <c r="J9" s="5"/>
      <c r="K9" s="47">
        <f t="shared" ref="K9:K50" si="0">D9/$D$50</f>
        <v>0.6952504521506645</v>
      </c>
      <c r="L9" s="71">
        <f t="shared" ref="L9:L50" si="1">E9/$E$50</f>
        <v>0.68267373361643702</v>
      </c>
      <c r="M9" s="71">
        <f t="shared" ref="M9:M50" si="2">F9/$F$50</f>
        <v>0.67450573798432001</v>
      </c>
      <c r="P9" s="132" t="s">
        <v>165</v>
      </c>
      <c r="Q9" s="135">
        <v>2525</v>
      </c>
      <c r="R9" s="135">
        <v>8041</v>
      </c>
      <c r="S9" s="135">
        <v>11248</v>
      </c>
      <c r="T9" s="135">
        <v>21647</v>
      </c>
      <c r="U9" s="135">
        <v>34449</v>
      </c>
      <c r="V9" s="135">
        <v>65899</v>
      </c>
      <c r="W9" s="135">
        <v>56123</v>
      </c>
      <c r="X9" s="135">
        <v>96619</v>
      </c>
      <c r="Y9" s="135">
        <v>44359</v>
      </c>
      <c r="Z9" s="135">
        <v>27832</v>
      </c>
    </row>
    <row r="10" spans="2:26" x14ac:dyDescent="0.3">
      <c r="B10" s="27" t="s">
        <v>166</v>
      </c>
      <c r="C10" s="5"/>
      <c r="D10" s="6">
        <f>D8+D9</f>
        <v>283947</v>
      </c>
      <c r="E10" s="10">
        <f t="shared" ref="E10" si="3">E8+E9</f>
        <v>273811</v>
      </c>
      <c r="F10" s="6">
        <f>F8+F9</f>
        <v>252445</v>
      </c>
      <c r="I10" s="30" t="s">
        <v>166</v>
      </c>
      <c r="J10" s="5"/>
      <c r="K10" s="47">
        <f t="shared" si="0"/>
        <v>0.74427144766847531</v>
      </c>
      <c r="L10" s="71">
        <f t="shared" si="1"/>
        <v>0.72854238839487651</v>
      </c>
      <c r="M10" s="71">
        <f t="shared" si="2"/>
        <v>0.7170918077491194</v>
      </c>
      <c r="P10" s="132" t="s">
        <v>167</v>
      </c>
      <c r="Q10" s="135">
        <v>43486</v>
      </c>
      <c r="R10" s="135">
        <v>52059</v>
      </c>
      <c r="S10" s="135">
        <v>57705</v>
      </c>
      <c r="T10" s="135">
        <v>53377</v>
      </c>
      <c r="U10" s="135">
        <v>64979</v>
      </c>
      <c r="V10" s="135">
        <v>69586</v>
      </c>
      <c r="W10" s="135">
        <v>75772</v>
      </c>
      <c r="X10" s="135">
        <v>64728</v>
      </c>
      <c r="Y10" s="135">
        <v>74676</v>
      </c>
      <c r="Z10" s="135">
        <v>81424</v>
      </c>
    </row>
    <row r="11" spans="2:26" x14ac:dyDescent="0.3">
      <c r="B11" s="27"/>
      <c r="C11" s="5"/>
      <c r="D11" s="6"/>
      <c r="E11" s="10"/>
      <c r="F11" s="6"/>
      <c r="I11" s="30"/>
      <c r="J11" s="5"/>
      <c r="K11" s="47"/>
      <c r="L11" s="71"/>
      <c r="M11" s="71"/>
      <c r="P11" s="132" t="s">
        <v>168</v>
      </c>
      <c r="Q11" s="135">
        <v>43486</v>
      </c>
      <c r="R11" s="135">
        <v>52059</v>
      </c>
      <c r="S11" s="135">
        <v>57705</v>
      </c>
      <c r="T11" s="135">
        <v>53377</v>
      </c>
      <c r="U11" s="135">
        <v>64979</v>
      </c>
      <c r="V11" s="135">
        <v>69586</v>
      </c>
      <c r="W11" s="135">
        <v>75772</v>
      </c>
      <c r="X11" s="135">
        <v>64728</v>
      </c>
      <c r="Y11" s="135">
        <v>74676</v>
      </c>
      <c r="Z11" s="135">
        <v>81424</v>
      </c>
    </row>
    <row r="12" spans="2:26" x14ac:dyDescent="0.3">
      <c r="B12" s="27" t="s">
        <v>169</v>
      </c>
      <c r="C12" s="5"/>
      <c r="D12" s="6"/>
      <c r="E12" s="10"/>
      <c r="F12" s="6"/>
      <c r="I12" s="30" t="s">
        <v>169</v>
      </c>
      <c r="J12" s="5"/>
      <c r="K12" s="47"/>
      <c r="L12" s="71"/>
      <c r="M12" s="71"/>
      <c r="P12" s="132" t="s">
        <v>170</v>
      </c>
      <c r="Q12" s="135">
        <v>0</v>
      </c>
      <c r="R12" s="135">
        <v>0</v>
      </c>
      <c r="S12" s="135">
        <v>0</v>
      </c>
      <c r="T12" s="135">
        <v>0</v>
      </c>
      <c r="U12" s="135">
        <v>0</v>
      </c>
      <c r="V12" s="135">
        <v>0</v>
      </c>
      <c r="W12" s="135">
        <v>0</v>
      </c>
      <c r="X12" s="135">
        <v>0</v>
      </c>
      <c r="Y12" s="135">
        <v>0</v>
      </c>
      <c r="Z12" s="135">
        <v>0</v>
      </c>
    </row>
    <row r="13" spans="2:26" x14ac:dyDescent="0.3">
      <c r="B13" s="27" t="s">
        <v>171</v>
      </c>
      <c r="C13" s="5"/>
      <c r="D13" s="181">
        <f>Z60</f>
        <v>9191</v>
      </c>
      <c r="E13" s="182">
        <f>Y60</f>
        <v>8620</v>
      </c>
      <c r="F13" s="181">
        <f>X60</f>
        <v>9735</v>
      </c>
      <c r="I13" s="30" t="s">
        <v>171</v>
      </c>
      <c r="J13" s="5"/>
      <c r="K13" s="47">
        <f t="shared" si="0"/>
        <v>2.4091111635343766E-2</v>
      </c>
      <c r="L13" s="71">
        <f t="shared" si="1"/>
        <v>2.2935657763799976E-2</v>
      </c>
      <c r="M13" s="71">
        <f t="shared" si="2"/>
        <v>2.7653107601408929E-2</v>
      </c>
      <c r="P13" s="132" t="s">
        <v>172</v>
      </c>
      <c r="Q13" s="135" t="s">
        <v>44</v>
      </c>
      <c r="R13" s="135" t="s">
        <v>44</v>
      </c>
      <c r="S13" s="135">
        <v>22337</v>
      </c>
      <c r="T13" s="135">
        <v>21083</v>
      </c>
      <c r="U13" s="135">
        <v>24722</v>
      </c>
      <c r="V13" s="135">
        <v>24613</v>
      </c>
      <c r="W13" s="135">
        <v>32237</v>
      </c>
      <c r="X13" s="135">
        <v>36317</v>
      </c>
      <c r="Y13" s="135">
        <v>60257</v>
      </c>
      <c r="Z13" s="135">
        <v>68251</v>
      </c>
    </row>
    <row r="14" spans="2:26" x14ac:dyDescent="0.3">
      <c r="B14" s="27" t="s">
        <v>173</v>
      </c>
      <c r="C14" s="5"/>
      <c r="D14" s="181">
        <f>Z69</f>
        <v>3261</v>
      </c>
      <c r="E14" s="182">
        <f>Y69</f>
        <v>4552</v>
      </c>
      <c r="F14" s="181">
        <f>X69</f>
        <v>761</v>
      </c>
      <c r="I14" s="30" t="s">
        <v>173</v>
      </c>
      <c r="J14" s="5"/>
      <c r="K14" s="47">
        <f t="shared" si="0"/>
        <v>8.547613430840607E-3</v>
      </c>
      <c r="L14" s="71">
        <f t="shared" si="1"/>
        <v>1.2111730178749129E-2</v>
      </c>
      <c r="M14" s="71">
        <f t="shared" si="2"/>
        <v>2.161686172025906E-3</v>
      </c>
      <c r="P14" s="132" t="s">
        <v>174</v>
      </c>
      <c r="Q14" s="135">
        <v>98</v>
      </c>
      <c r="R14" s="135">
        <v>245</v>
      </c>
      <c r="S14" s="135">
        <v>403</v>
      </c>
      <c r="T14" s="135">
        <v>611</v>
      </c>
      <c r="U14" s="135">
        <v>659</v>
      </c>
      <c r="V14" s="135">
        <v>752</v>
      </c>
      <c r="W14" s="135">
        <v>358</v>
      </c>
      <c r="X14" s="135">
        <v>242</v>
      </c>
      <c r="Y14" s="135">
        <v>405</v>
      </c>
      <c r="Z14" s="135">
        <v>236</v>
      </c>
    </row>
    <row r="15" spans="2:26" x14ac:dyDescent="0.3">
      <c r="B15" s="27" t="s">
        <v>175</v>
      </c>
      <c r="C15" s="5"/>
      <c r="D15" s="181">
        <f>Z71</f>
        <v>13418</v>
      </c>
      <c r="E15" s="182">
        <f>Y71</f>
        <v>18004</v>
      </c>
      <c r="F15" s="181">
        <f>X71</f>
        <v>12504</v>
      </c>
      <c r="I15" s="30" t="s">
        <v>176</v>
      </c>
      <c r="J15" s="5"/>
      <c r="K15" s="47">
        <f t="shared" si="0"/>
        <v>3.5170768787187751E-2</v>
      </c>
      <c r="L15" s="71">
        <f t="shared" si="1"/>
        <v>4.7904127886247649E-2</v>
      </c>
      <c r="M15" s="71">
        <f t="shared" si="2"/>
        <v>3.551869105783434E-2</v>
      </c>
      <c r="P15" s="132" t="s">
        <v>177</v>
      </c>
      <c r="Q15" s="135" t="s">
        <v>44</v>
      </c>
      <c r="R15" s="135" t="s">
        <v>44</v>
      </c>
      <c r="S15" s="135">
        <v>403</v>
      </c>
      <c r="T15" s="135">
        <v>611</v>
      </c>
      <c r="U15" s="135">
        <v>659</v>
      </c>
      <c r="V15" s="135">
        <v>752</v>
      </c>
      <c r="W15" s="135">
        <v>358</v>
      </c>
      <c r="X15" s="135">
        <v>242</v>
      </c>
      <c r="Y15" s="135">
        <v>405</v>
      </c>
      <c r="Z15" s="135">
        <v>236</v>
      </c>
    </row>
    <row r="16" spans="2:26" x14ac:dyDescent="0.3">
      <c r="B16" s="27" t="s">
        <v>178</v>
      </c>
      <c r="C16" s="5"/>
      <c r="D16" s="6">
        <v>0</v>
      </c>
      <c r="E16" s="10">
        <v>0</v>
      </c>
      <c r="F16" s="6">
        <v>0</v>
      </c>
      <c r="I16" s="30" t="s">
        <v>178</v>
      </c>
      <c r="J16" s="5"/>
      <c r="K16" s="47">
        <f t="shared" si="0"/>
        <v>0</v>
      </c>
      <c r="L16" s="71">
        <f t="shared" si="1"/>
        <v>0</v>
      </c>
      <c r="M16" s="71">
        <f t="shared" si="2"/>
        <v>0</v>
      </c>
      <c r="P16" s="132" t="s">
        <v>179</v>
      </c>
      <c r="Q16" s="135" t="s">
        <v>44</v>
      </c>
      <c r="R16" s="135" t="s">
        <v>44</v>
      </c>
      <c r="S16" s="135">
        <v>0</v>
      </c>
      <c r="T16" s="135">
        <v>0</v>
      </c>
      <c r="U16" s="135">
        <v>0</v>
      </c>
      <c r="V16" s="135">
        <v>0</v>
      </c>
      <c r="W16" s="135">
        <v>0</v>
      </c>
      <c r="X16" s="135">
        <v>0</v>
      </c>
      <c r="Y16" s="135">
        <v>0</v>
      </c>
      <c r="Z16" s="135">
        <v>0</v>
      </c>
    </row>
    <row r="17" spans="2:26" x14ac:dyDescent="0.3">
      <c r="B17" s="27" t="s">
        <v>180</v>
      </c>
      <c r="C17" s="5"/>
      <c r="D17" s="6">
        <f t="shared" ref="D17:E17" si="4">D13+D14+D15+D16</f>
        <v>25870</v>
      </c>
      <c r="E17" s="10">
        <f t="shared" si="4"/>
        <v>31176</v>
      </c>
      <c r="F17" s="6">
        <f>F13+F14+F15+F16</f>
        <v>23000</v>
      </c>
      <c r="I17" s="30" t="s">
        <v>180</v>
      </c>
      <c r="J17" s="5"/>
      <c r="K17" s="47">
        <f t="shared" si="0"/>
        <v>6.7809493853372121E-2</v>
      </c>
      <c r="L17" s="71">
        <f t="shared" si="1"/>
        <v>8.2951515828796757E-2</v>
      </c>
      <c r="M17" s="71">
        <f t="shared" si="2"/>
        <v>6.5333484831269176E-2</v>
      </c>
      <c r="P17" s="132" t="s">
        <v>181</v>
      </c>
      <c r="Q17" s="135" t="s">
        <v>44</v>
      </c>
      <c r="R17" s="135" t="s">
        <v>44</v>
      </c>
      <c r="S17" s="135">
        <v>0</v>
      </c>
      <c r="T17" s="135">
        <v>0</v>
      </c>
      <c r="U17" s="135">
        <v>0</v>
      </c>
      <c r="V17" s="135">
        <v>0</v>
      </c>
      <c r="W17" s="135">
        <v>0</v>
      </c>
      <c r="X17" s="135">
        <v>0</v>
      </c>
      <c r="Y17" s="135">
        <v>0</v>
      </c>
      <c r="Z17" s="135">
        <v>0</v>
      </c>
    </row>
    <row r="18" spans="2:26" x14ac:dyDescent="0.3">
      <c r="B18" s="27"/>
      <c r="C18" s="5"/>
      <c r="D18" s="6"/>
      <c r="E18" s="10"/>
      <c r="F18" s="6"/>
      <c r="I18" s="30"/>
      <c r="J18" s="5"/>
      <c r="K18" s="47"/>
      <c r="L18" s="71"/>
      <c r="M18" s="71"/>
      <c r="P18" s="132" t="s">
        <v>182</v>
      </c>
      <c r="Q18" s="135" t="s">
        <v>44</v>
      </c>
      <c r="R18" s="135" t="s">
        <v>44</v>
      </c>
      <c r="S18" s="135">
        <v>0</v>
      </c>
      <c r="T18" s="135">
        <v>0</v>
      </c>
      <c r="U18" s="135">
        <v>0</v>
      </c>
      <c r="V18" s="135">
        <v>0</v>
      </c>
      <c r="W18" s="135">
        <v>0</v>
      </c>
      <c r="X18" s="135">
        <v>0</v>
      </c>
      <c r="Y18" s="135">
        <v>0</v>
      </c>
      <c r="Z18" s="135">
        <v>0</v>
      </c>
    </row>
    <row r="19" spans="2:26" x14ac:dyDescent="0.3">
      <c r="B19" s="27" t="s">
        <v>183</v>
      </c>
      <c r="C19" s="5"/>
      <c r="D19" s="6"/>
      <c r="E19" s="10"/>
      <c r="F19" s="6"/>
      <c r="I19" s="30" t="s">
        <v>183</v>
      </c>
      <c r="J19" s="5"/>
      <c r="K19" s="47"/>
      <c r="L19" s="71"/>
      <c r="M19" s="71"/>
      <c r="P19" s="132" t="s">
        <v>184</v>
      </c>
      <c r="Q19" s="135">
        <v>26161</v>
      </c>
      <c r="R19" s="135">
        <v>38132</v>
      </c>
      <c r="S19" s="135">
        <v>18031</v>
      </c>
      <c r="T19" s="135">
        <v>34431</v>
      </c>
      <c r="U19" s="135">
        <v>26280</v>
      </c>
      <c r="V19" s="135">
        <v>33928</v>
      </c>
      <c r="W19" s="135">
        <v>36494</v>
      </c>
      <c r="X19" s="135">
        <v>27107</v>
      </c>
      <c r="Y19" s="135">
        <v>26322</v>
      </c>
      <c r="Z19" s="135">
        <v>25309</v>
      </c>
    </row>
    <row r="20" spans="2:26" x14ac:dyDescent="0.3">
      <c r="B20" s="27" t="s">
        <v>185</v>
      </c>
      <c r="C20" s="5"/>
      <c r="D20" s="181">
        <f>Z51</f>
        <v>14494</v>
      </c>
      <c r="E20" s="182">
        <f>Y51</f>
        <v>13481</v>
      </c>
      <c r="F20" s="181">
        <f>X51</f>
        <v>14960</v>
      </c>
      <c r="I20" s="30" t="s">
        <v>185</v>
      </c>
      <c r="J20" s="5"/>
      <c r="K20" s="47">
        <f t="shared" si="0"/>
        <v>3.7991140468139763E-2</v>
      </c>
      <c r="L20" s="71">
        <f t="shared" si="1"/>
        <v>3.5869559433154001E-2</v>
      </c>
      <c r="M20" s="71">
        <f t="shared" si="2"/>
        <v>4.2495171003295078E-2</v>
      </c>
      <c r="P20" s="132" t="s">
        <v>186</v>
      </c>
      <c r="Q20" s="135">
        <v>2064</v>
      </c>
      <c r="R20" s="135">
        <v>2457</v>
      </c>
      <c r="S20" s="135">
        <v>4599</v>
      </c>
      <c r="T20" s="135">
        <v>5752</v>
      </c>
      <c r="U20" s="135">
        <v>11774</v>
      </c>
      <c r="V20" s="135">
        <v>5016</v>
      </c>
      <c r="W20" s="135">
        <v>6083</v>
      </c>
      <c r="X20" s="135">
        <v>8423</v>
      </c>
      <c r="Y20" s="135">
        <v>12616</v>
      </c>
      <c r="Z20" s="135">
        <v>11772</v>
      </c>
    </row>
    <row r="21" spans="2:26" x14ac:dyDescent="0.3">
      <c r="B21" s="27" t="s">
        <v>187</v>
      </c>
      <c r="C21" s="5"/>
      <c r="D21" s="183">
        <f>Z45</f>
        <v>77847</v>
      </c>
      <c r="E21" s="182">
        <f>Y45</f>
        <v>66065</v>
      </c>
      <c r="F21" s="181">
        <f>X45</f>
        <v>52912</v>
      </c>
      <c r="I21" s="30" t="s">
        <v>187</v>
      </c>
      <c r="J21" s="5"/>
      <c r="K21" s="47">
        <f t="shared" si="0"/>
        <v>0.20404969725564207</v>
      </c>
      <c r="L21" s="71">
        <f t="shared" si="1"/>
        <v>0.17578239329065493</v>
      </c>
      <c r="M21" s="71">
        <f t="shared" si="2"/>
        <v>0.15030110214748324</v>
      </c>
      <c r="P21" s="132" t="s">
        <v>188</v>
      </c>
      <c r="Q21" s="135">
        <v>0</v>
      </c>
      <c r="R21" s="135">
        <v>416</v>
      </c>
      <c r="S21" s="135">
        <v>1664</v>
      </c>
      <c r="T21" s="135">
        <v>7499</v>
      </c>
      <c r="U21" s="135">
        <v>3522</v>
      </c>
      <c r="V21" s="135">
        <v>2544</v>
      </c>
      <c r="W21" s="135">
        <v>3128</v>
      </c>
      <c r="X21" s="135">
        <v>4043</v>
      </c>
      <c r="Y21" s="135">
        <v>4316</v>
      </c>
      <c r="Z21" s="135">
        <v>2856</v>
      </c>
    </row>
    <row r="22" spans="2:26" x14ac:dyDescent="0.3">
      <c r="B22" s="27" t="s">
        <v>189</v>
      </c>
      <c r="C22" s="5"/>
      <c r="D22" s="181">
        <f>Z52+Z53+Z54</f>
        <v>3717</v>
      </c>
      <c r="E22" s="182">
        <f>Y52+Y53+Y54</f>
        <v>4083</v>
      </c>
      <c r="F22" s="181">
        <f>X52+X53+X54</f>
        <v>4313</v>
      </c>
      <c r="I22" s="30" t="s">
        <v>189</v>
      </c>
      <c r="J22" s="5"/>
      <c r="K22" s="47">
        <f t="shared" si="0"/>
        <v>9.7428638829912713E-3</v>
      </c>
      <c r="L22" s="71">
        <f t="shared" si="1"/>
        <v>1.0863838822458852E-2</v>
      </c>
      <c r="M22" s="71">
        <f t="shared" si="2"/>
        <v>1.2251448699011475E-2</v>
      </c>
      <c r="P22" s="132" t="s">
        <v>190</v>
      </c>
      <c r="Q22" s="135">
        <v>0</v>
      </c>
      <c r="R22" s="135">
        <v>0</v>
      </c>
      <c r="S22" s="135">
        <v>0</v>
      </c>
      <c r="T22" s="135">
        <v>265</v>
      </c>
      <c r="U22" s="135">
        <v>0</v>
      </c>
      <c r="V22" s="135">
        <v>0</v>
      </c>
      <c r="W22" s="135">
        <v>0</v>
      </c>
      <c r="X22" s="135">
        <v>0</v>
      </c>
      <c r="Y22" s="135">
        <v>0</v>
      </c>
      <c r="Z22" s="135">
        <v>0</v>
      </c>
    </row>
    <row r="23" spans="2:26" x14ac:dyDescent="0.3">
      <c r="B23" s="27" t="s">
        <v>191</v>
      </c>
      <c r="C23" s="5"/>
      <c r="D23" s="6">
        <v>-24365</v>
      </c>
      <c r="E23" s="10">
        <v>-12780</v>
      </c>
      <c r="F23" s="6">
        <v>4410</v>
      </c>
      <c r="I23" s="30" t="s">
        <v>191</v>
      </c>
      <c r="J23" s="5"/>
      <c r="K23" s="47">
        <f t="shared" si="0"/>
        <v>-6.3864643128620488E-2</v>
      </c>
      <c r="L23" s="71">
        <f t="shared" si="1"/>
        <v>-3.4004374271619918E-2</v>
      </c>
      <c r="M23" s="71">
        <f t="shared" si="2"/>
        <v>1.2526985569821611E-2</v>
      </c>
      <c r="P23" s="132" t="s">
        <v>192</v>
      </c>
      <c r="Q23" s="135">
        <v>179</v>
      </c>
      <c r="R23" s="135">
        <v>77</v>
      </c>
      <c r="S23" s="135">
        <v>4767</v>
      </c>
      <c r="T23" s="135">
        <v>8823</v>
      </c>
      <c r="U23" s="135">
        <v>7031</v>
      </c>
      <c r="V23" s="135">
        <v>0</v>
      </c>
      <c r="W23" s="135">
        <v>0</v>
      </c>
      <c r="X23" s="135">
        <v>0</v>
      </c>
      <c r="Y23" s="135">
        <v>0</v>
      </c>
      <c r="Z23" s="135">
        <v>0</v>
      </c>
    </row>
    <row r="24" spans="2:26" x14ac:dyDescent="0.3">
      <c r="B24" s="27" t="s">
        <v>193</v>
      </c>
      <c r="C24" s="5"/>
      <c r="D24" s="6">
        <f t="shared" ref="D24:E24" si="5">D20+D21+D22+D23</f>
        <v>71693</v>
      </c>
      <c r="E24" s="10">
        <f t="shared" si="5"/>
        <v>70849</v>
      </c>
      <c r="F24" s="6">
        <f>F20+F21+F22+F23</f>
        <v>76595</v>
      </c>
      <c r="I24" s="30" t="s">
        <v>193</v>
      </c>
      <c r="J24" s="5"/>
      <c r="K24" s="47">
        <f t="shared" si="0"/>
        <v>0.1879190584781526</v>
      </c>
      <c r="L24" s="71">
        <f t="shared" si="1"/>
        <v>0.18851141727464785</v>
      </c>
      <c r="M24" s="71">
        <f t="shared" si="2"/>
        <v>0.21757470741961141</v>
      </c>
      <c r="P24" s="132" t="s">
        <v>194</v>
      </c>
      <c r="Q24" s="135">
        <v>23918</v>
      </c>
      <c r="R24" s="135">
        <v>35182</v>
      </c>
      <c r="S24" s="135">
        <v>7001</v>
      </c>
      <c r="T24" s="135">
        <v>12092</v>
      </c>
      <c r="U24" s="135">
        <v>3953</v>
      </c>
      <c r="V24" s="135">
        <v>26368</v>
      </c>
      <c r="W24" s="135">
        <v>27283</v>
      </c>
      <c r="X24" s="135">
        <v>14641</v>
      </c>
      <c r="Y24" s="135">
        <v>9390</v>
      </c>
      <c r="Z24" s="135">
        <v>10681</v>
      </c>
    </row>
    <row r="25" spans="2:26" x14ac:dyDescent="0.3">
      <c r="B25" s="27"/>
      <c r="C25" s="5"/>
      <c r="D25" s="6"/>
      <c r="E25" s="10"/>
      <c r="F25" s="6"/>
      <c r="I25" s="30"/>
      <c r="J25" s="5"/>
      <c r="K25" s="47"/>
      <c r="L25" s="71"/>
      <c r="M25" s="71"/>
      <c r="P25" s="129" t="s">
        <v>195</v>
      </c>
      <c r="Q25" s="141">
        <v>105419</v>
      </c>
      <c r="R25" s="141">
        <v>122526</v>
      </c>
      <c r="S25" s="141">
        <v>149861</v>
      </c>
      <c r="T25" s="141">
        <v>163265</v>
      </c>
      <c r="U25" s="141">
        <v>181070</v>
      </c>
      <c r="V25" s="141">
        <v>215658</v>
      </c>
      <c r="W25" s="141">
        <v>231723</v>
      </c>
      <c r="X25" s="141">
        <v>252553</v>
      </c>
      <c r="Y25" s="141">
        <v>244557</v>
      </c>
      <c r="Z25" s="141">
        <v>244327</v>
      </c>
    </row>
    <row r="26" spans="2:26" x14ac:dyDescent="0.3">
      <c r="B26" s="27" t="s">
        <v>196</v>
      </c>
      <c r="C26" s="5"/>
      <c r="D26" s="6">
        <f t="shared" ref="D26:E26" si="6">D10+D17+D24</f>
        <v>381510</v>
      </c>
      <c r="E26" s="10">
        <f t="shared" si="6"/>
        <v>375836</v>
      </c>
      <c r="F26" s="6">
        <f>F10+F17+F24</f>
        <v>352040</v>
      </c>
      <c r="I26" s="30" t="s">
        <v>196</v>
      </c>
      <c r="J26" s="5"/>
      <c r="K26" s="47">
        <f t="shared" si="0"/>
        <v>1</v>
      </c>
      <c r="L26" s="71">
        <f t="shared" si="1"/>
        <v>1.0000053214983211</v>
      </c>
      <c r="M26" s="71">
        <f t="shared" si="2"/>
        <v>1</v>
      </c>
      <c r="P26" s="132" t="s">
        <v>197</v>
      </c>
      <c r="Q26" s="135">
        <v>22121</v>
      </c>
      <c r="R26" s="135">
        <v>28277</v>
      </c>
      <c r="S26" s="135">
        <v>30635</v>
      </c>
      <c r="T26" s="135">
        <v>35457</v>
      </c>
      <c r="U26" s="135">
        <v>32209</v>
      </c>
      <c r="V26" s="135">
        <v>28992</v>
      </c>
      <c r="W26" s="135">
        <v>38840</v>
      </c>
      <c r="X26" s="135">
        <v>35887</v>
      </c>
      <c r="Y26" s="135">
        <v>37140</v>
      </c>
      <c r="Z26" s="135">
        <v>40430</v>
      </c>
    </row>
    <row r="27" spans="2:26" ht="15" thickBot="1" x14ac:dyDescent="0.35">
      <c r="B27" s="28"/>
      <c r="C27" s="7"/>
      <c r="D27" s="8"/>
      <c r="E27" s="11"/>
      <c r="F27" s="8"/>
      <c r="I27" s="60"/>
      <c r="J27" s="5"/>
      <c r="K27" s="47"/>
      <c r="L27" s="71"/>
      <c r="M27" s="71"/>
      <c r="P27" s="132" t="s">
        <v>198</v>
      </c>
      <c r="Q27" s="135">
        <v>48319</v>
      </c>
      <c r="R27" s="135">
        <v>60585</v>
      </c>
      <c r="S27" s="135">
        <v>67473</v>
      </c>
      <c r="T27" s="135">
        <v>88090</v>
      </c>
      <c r="U27" s="135">
        <v>91806</v>
      </c>
      <c r="V27" s="135">
        <v>90098</v>
      </c>
      <c r="W27" s="135">
        <v>104369</v>
      </c>
      <c r="X27" s="135">
        <v>106713</v>
      </c>
      <c r="Y27" s="135">
        <v>112323</v>
      </c>
      <c r="Z27" s="135">
        <v>123213</v>
      </c>
    </row>
    <row r="28" spans="2:26" x14ac:dyDescent="0.3">
      <c r="B28" s="80" t="s">
        <v>199</v>
      </c>
      <c r="C28" s="3"/>
      <c r="D28" s="4"/>
      <c r="E28" s="9"/>
      <c r="F28" s="4"/>
      <c r="I28" s="76" t="s">
        <v>199</v>
      </c>
      <c r="J28" s="5"/>
      <c r="K28" s="47"/>
      <c r="L28" s="71"/>
      <c r="M28" s="71"/>
      <c r="P28" s="132" t="s">
        <v>200</v>
      </c>
      <c r="Q28" s="135">
        <v>26198</v>
      </c>
      <c r="R28" s="135">
        <v>32308</v>
      </c>
      <c r="S28" s="135">
        <v>36838</v>
      </c>
      <c r="T28" s="135">
        <v>52633</v>
      </c>
      <c r="U28" s="135">
        <v>59597</v>
      </c>
      <c r="V28" s="135">
        <v>61106</v>
      </c>
      <c r="W28" s="135">
        <v>65529</v>
      </c>
      <c r="X28" s="135">
        <v>70826</v>
      </c>
      <c r="Y28" s="135">
        <v>75183</v>
      </c>
      <c r="Z28" s="135">
        <v>82783</v>
      </c>
    </row>
    <row r="29" spans="2:26" x14ac:dyDescent="0.3">
      <c r="B29" s="81" t="s">
        <v>201</v>
      </c>
      <c r="C29" s="5"/>
      <c r="D29" s="6"/>
      <c r="E29" s="10"/>
      <c r="F29" s="6"/>
      <c r="I29" s="83" t="s">
        <v>201</v>
      </c>
      <c r="J29" s="5"/>
      <c r="K29" s="47"/>
      <c r="L29" s="71"/>
      <c r="M29" s="71"/>
      <c r="P29" s="132" t="s">
        <v>202</v>
      </c>
      <c r="Q29" s="135">
        <v>13477</v>
      </c>
      <c r="R29" s="135">
        <v>13142</v>
      </c>
      <c r="S29" s="135">
        <v>1213</v>
      </c>
      <c r="T29" s="135">
        <v>2329</v>
      </c>
      <c r="U29" s="135">
        <v>14602</v>
      </c>
      <c r="V29" s="135">
        <v>9516</v>
      </c>
      <c r="W29" s="135">
        <v>4204</v>
      </c>
      <c r="X29" s="135">
        <v>6680</v>
      </c>
      <c r="Y29" s="135">
        <v>3803</v>
      </c>
      <c r="Z29" s="135">
        <v>5599</v>
      </c>
    </row>
    <row r="30" spans="2:26" x14ac:dyDescent="0.3">
      <c r="B30" s="27" t="s">
        <v>203</v>
      </c>
      <c r="C30" s="5"/>
      <c r="D30" s="181">
        <f>Z27</f>
        <v>123213</v>
      </c>
      <c r="E30" s="182">
        <f>Y27</f>
        <v>112323</v>
      </c>
      <c r="F30" s="181">
        <f>X27</f>
        <v>106713</v>
      </c>
      <c r="I30" s="30" t="s">
        <v>203</v>
      </c>
      <c r="J30" s="5"/>
      <c r="K30" s="47">
        <f t="shared" si="0"/>
        <v>0.32296139026499959</v>
      </c>
      <c r="L30" s="71">
        <f t="shared" si="1"/>
        <v>0.29886332795862003</v>
      </c>
      <c r="M30" s="71">
        <f t="shared" si="2"/>
        <v>0.30312748551300989</v>
      </c>
      <c r="P30" s="132" t="s">
        <v>204</v>
      </c>
      <c r="Q30" s="135">
        <v>13477</v>
      </c>
      <c r="R30" s="135">
        <v>13142</v>
      </c>
      <c r="S30" s="135">
        <v>1211</v>
      </c>
      <c r="T30" s="135">
        <v>2171</v>
      </c>
      <c r="U30" s="135">
        <v>14457</v>
      </c>
      <c r="V30" s="135">
        <v>9436</v>
      </c>
      <c r="W30" s="135">
        <v>4095</v>
      </c>
      <c r="X30" s="135">
        <v>6655</v>
      </c>
      <c r="Y30" s="135">
        <v>3794</v>
      </c>
      <c r="Z30" s="135">
        <v>5588</v>
      </c>
    </row>
    <row r="31" spans="2:26" x14ac:dyDescent="0.3">
      <c r="B31" s="27" t="s">
        <v>205</v>
      </c>
      <c r="C31" s="5"/>
      <c r="D31" s="181">
        <f>Z33</f>
        <v>109334</v>
      </c>
      <c r="E31" s="182">
        <f>Y33</f>
        <v>110844</v>
      </c>
      <c r="F31" s="181">
        <f>X33</f>
        <v>54590</v>
      </c>
      <c r="I31" s="30" t="s">
        <v>205</v>
      </c>
      <c r="J31" s="5"/>
      <c r="K31" s="47">
        <f t="shared" si="0"/>
        <v>0.28658226520929991</v>
      </c>
      <c r="L31" s="71">
        <f t="shared" si="1"/>
        <v>0.29492807995019077</v>
      </c>
      <c r="M31" s="71">
        <f t="shared" si="2"/>
        <v>0.15506760595386887</v>
      </c>
      <c r="P31" s="132" t="s">
        <v>206</v>
      </c>
      <c r="Q31" s="135" t="s">
        <v>44</v>
      </c>
      <c r="R31" s="135" t="s">
        <v>44</v>
      </c>
      <c r="S31" s="135">
        <v>2</v>
      </c>
      <c r="T31" s="135">
        <v>158</v>
      </c>
      <c r="U31" s="135">
        <v>145</v>
      </c>
      <c r="V31" s="135">
        <v>80</v>
      </c>
      <c r="W31" s="135">
        <v>109</v>
      </c>
      <c r="X31" s="135">
        <v>25</v>
      </c>
      <c r="Y31" s="135">
        <v>9</v>
      </c>
      <c r="Z31" s="135">
        <v>11</v>
      </c>
    </row>
    <row r="32" spans="2:26" x14ac:dyDescent="0.3">
      <c r="B32" s="27" t="s">
        <v>207</v>
      </c>
      <c r="C32" s="5"/>
      <c r="F32" s="227"/>
      <c r="I32" s="30" t="s">
        <v>207</v>
      </c>
      <c r="J32" s="5"/>
      <c r="K32" s="47">
        <f>C55/$D$50</f>
        <v>0</v>
      </c>
      <c r="L32" s="71">
        <f>D55/$E$50</f>
        <v>0</v>
      </c>
      <c r="M32" s="71">
        <f>E55/$F$50</f>
        <v>0</v>
      </c>
      <c r="P32" s="132" t="s">
        <v>208</v>
      </c>
      <c r="Q32" s="135">
        <v>18365</v>
      </c>
      <c r="R32" s="135">
        <v>34536</v>
      </c>
      <c r="S32" s="135">
        <v>43538</v>
      </c>
      <c r="T32" s="135">
        <v>59614</v>
      </c>
      <c r="U32" s="135">
        <v>76491</v>
      </c>
      <c r="V32" s="135">
        <v>80303</v>
      </c>
      <c r="W32" s="135">
        <v>98768</v>
      </c>
      <c r="X32" s="135">
        <v>101660</v>
      </c>
      <c r="Y32" s="135">
        <v>163207</v>
      </c>
      <c r="Z32" s="135">
        <v>171177</v>
      </c>
    </row>
    <row r="33" spans="2:26" x14ac:dyDescent="0.3">
      <c r="B33" s="27" t="s">
        <v>209</v>
      </c>
      <c r="C33" s="5"/>
      <c r="D33" s="6">
        <v>0</v>
      </c>
      <c r="E33" s="10">
        <v>0</v>
      </c>
      <c r="F33" s="6">
        <v>0</v>
      </c>
      <c r="I33" s="30" t="s">
        <v>209</v>
      </c>
      <c r="J33" s="5"/>
      <c r="K33" s="47">
        <f t="shared" si="0"/>
        <v>0</v>
      </c>
      <c r="L33" s="71">
        <f t="shared" si="1"/>
        <v>0</v>
      </c>
      <c r="M33" s="71">
        <f t="shared" si="2"/>
        <v>0</v>
      </c>
      <c r="P33" s="132" t="s">
        <v>210</v>
      </c>
      <c r="Q33" s="135">
        <v>6485</v>
      </c>
      <c r="R33" s="135">
        <v>18285</v>
      </c>
      <c r="S33" s="135">
        <v>19298</v>
      </c>
      <c r="T33" s="135">
        <v>32873</v>
      </c>
      <c r="U33" s="135">
        <v>44508</v>
      </c>
      <c r="V33" s="135">
        <v>42675</v>
      </c>
      <c r="W33" s="135">
        <v>48937</v>
      </c>
      <c r="X33" s="135">
        <v>54590</v>
      </c>
      <c r="Y33" s="135">
        <v>110844</v>
      </c>
      <c r="Z33" s="135">
        <v>109334</v>
      </c>
    </row>
    <row r="34" spans="2:26" x14ac:dyDescent="0.3">
      <c r="B34" s="27" t="s">
        <v>211</v>
      </c>
      <c r="C34" s="5"/>
      <c r="D34" s="6">
        <f>D30+D31+C55+D33</f>
        <v>232547</v>
      </c>
      <c r="E34" s="10">
        <f>E30+E31+D55+E33</f>
        <v>223167</v>
      </c>
      <c r="F34" s="6">
        <f>F30+F31+E55+F33</f>
        <v>161303</v>
      </c>
      <c r="I34" s="30" t="s">
        <v>211</v>
      </c>
      <c r="J34" s="5"/>
      <c r="K34" s="47">
        <f t="shared" si="0"/>
        <v>0.60954365547429945</v>
      </c>
      <c r="L34" s="71">
        <f t="shared" si="1"/>
        <v>0.5937914079088108</v>
      </c>
      <c r="M34" s="71">
        <f t="shared" si="2"/>
        <v>0.45819509146687876</v>
      </c>
      <c r="P34" s="133" t="s">
        <v>212</v>
      </c>
      <c r="Q34" s="146">
        <v>5694</v>
      </c>
      <c r="R34" s="146">
        <v>17337</v>
      </c>
      <c r="S34" s="146">
        <v>18325</v>
      </c>
      <c r="T34" s="146">
        <v>26279</v>
      </c>
      <c r="U34" s="146">
        <v>27727</v>
      </c>
      <c r="V34" s="146">
        <v>28163</v>
      </c>
      <c r="W34" s="146">
        <v>33877</v>
      </c>
      <c r="X34" s="146">
        <v>40082</v>
      </c>
      <c r="Y34" s="146">
        <v>74258</v>
      </c>
      <c r="Z34" s="146">
        <v>76657</v>
      </c>
    </row>
    <row r="35" spans="2:26" x14ac:dyDescent="0.3">
      <c r="B35" s="27" t="s">
        <v>213</v>
      </c>
      <c r="C35" s="5"/>
      <c r="D35" s="181">
        <f>Z30</f>
        <v>5588</v>
      </c>
      <c r="E35" s="182">
        <f>Y30</f>
        <v>3794</v>
      </c>
      <c r="F35" s="181">
        <f>X30</f>
        <v>6655</v>
      </c>
      <c r="I35" s="30" t="s">
        <v>213</v>
      </c>
      <c r="J35" s="5"/>
      <c r="K35" s="47">
        <f t="shared" si="0"/>
        <v>1.4647060365390161E-2</v>
      </c>
      <c r="L35" s="71">
        <f t="shared" si="1"/>
        <v>1.009488231506463E-2</v>
      </c>
      <c r="M35" s="71">
        <f t="shared" si="2"/>
        <v>1.8904101806612884E-2</v>
      </c>
      <c r="P35" s="133" t="s">
        <v>214</v>
      </c>
      <c r="Q35" s="146">
        <v>791</v>
      </c>
      <c r="R35" s="146">
        <v>948</v>
      </c>
      <c r="S35" s="146">
        <v>973</v>
      </c>
      <c r="T35" s="146">
        <v>6594</v>
      </c>
      <c r="U35" s="146">
        <v>16781</v>
      </c>
      <c r="V35" s="146">
        <v>14512</v>
      </c>
      <c r="W35" s="146">
        <v>15060</v>
      </c>
      <c r="X35" s="146">
        <v>14508</v>
      </c>
      <c r="Y35" s="146">
        <v>36586</v>
      </c>
      <c r="Z35" s="146">
        <v>32677</v>
      </c>
    </row>
    <row r="36" spans="2:26" x14ac:dyDescent="0.3">
      <c r="B36" s="27" t="s">
        <v>215</v>
      </c>
      <c r="C36" s="5"/>
      <c r="D36" s="181">
        <f>Z37</f>
        <v>12965</v>
      </c>
      <c r="E36" s="182">
        <f>Y37</f>
        <v>8191</v>
      </c>
      <c r="F36" s="181">
        <f>X37</f>
        <v>9133</v>
      </c>
      <c r="I36" s="30" t="s">
        <v>215</v>
      </c>
      <c r="J36" s="5"/>
      <c r="K36" s="47">
        <f t="shared" si="0"/>
        <v>3.3983381824853873E-2</v>
      </c>
      <c r="L36" s="71">
        <f t="shared" si="1"/>
        <v>2.1794196373931044E-2</v>
      </c>
      <c r="M36" s="71">
        <f t="shared" si="2"/>
        <v>2.5943074650607887E-2</v>
      </c>
      <c r="P36" s="132" t="s">
        <v>216</v>
      </c>
      <c r="Q36" s="135">
        <v>4691</v>
      </c>
      <c r="R36" s="135">
        <v>8596</v>
      </c>
      <c r="S36" s="135">
        <v>3656</v>
      </c>
      <c r="T36" s="135">
        <v>4544</v>
      </c>
      <c r="U36" s="135">
        <v>3252</v>
      </c>
      <c r="V36" s="135">
        <v>3214</v>
      </c>
      <c r="W36" s="135">
        <v>2087</v>
      </c>
      <c r="X36" s="135">
        <v>2193</v>
      </c>
      <c r="Y36" s="135">
        <v>3745</v>
      </c>
      <c r="Z36" s="135">
        <v>5026</v>
      </c>
    </row>
    <row r="37" spans="2:26" x14ac:dyDescent="0.3">
      <c r="B37" s="27" t="s">
        <v>217</v>
      </c>
      <c r="C37" s="5"/>
      <c r="D37" s="181">
        <f>Z31</f>
        <v>11</v>
      </c>
      <c r="E37" s="182">
        <f>Y31</f>
        <v>9</v>
      </c>
      <c r="F37" s="181">
        <f>X31</f>
        <v>25</v>
      </c>
      <c r="I37" s="30" t="s">
        <v>217</v>
      </c>
      <c r="J37" s="5"/>
      <c r="K37" s="47">
        <f t="shared" si="0"/>
        <v>2.883279599486252E-5</v>
      </c>
      <c r="L37" s="71">
        <f t="shared" si="1"/>
        <v>2.3946742444802758E-5</v>
      </c>
      <c r="M37" s="71">
        <f t="shared" si="2"/>
        <v>7.1014657425292585E-5</v>
      </c>
      <c r="P37" s="132" t="s">
        <v>218</v>
      </c>
      <c r="Q37" s="135">
        <v>3830</v>
      </c>
      <c r="R37" s="135">
        <v>3901</v>
      </c>
      <c r="S37" s="135">
        <v>5322</v>
      </c>
      <c r="T37" s="135">
        <v>2674</v>
      </c>
      <c r="U37" s="135">
        <v>5766</v>
      </c>
      <c r="V37" s="135">
        <v>6091</v>
      </c>
      <c r="W37" s="135">
        <v>8443</v>
      </c>
      <c r="X37" s="135">
        <v>9133</v>
      </c>
      <c r="Y37" s="135">
        <v>8191</v>
      </c>
      <c r="Z37" s="135">
        <v>12965</v>
      </c>
    </row>
    <row r="38" spans="2:26" x14ac:dyDescent="0.3">
      <c r="B38" s="27" t="s">
        <v>219</v>
      </c>
      <c r="C38" s="5"/>
      <c r="D38" s="181">
        <f>Z41-SUM(D34:D37)</f>
        <v>-33905</v>
      </c>
      <c r="E38" s="182">
        <f>Y41-SUM(E34:E37)</f>
        <v>-31011</v>
      </c>
      <c r="F38" s="181">
        <f>X41-SUM(F34:F37)</f>
        <v>-32889</v>
      </c>
      <c r="I38" s="30" t="s">
        <v>219</v>
      </c>
      <c r="J38" s="5"/>
      <c r="K38" s="47">
        <f t="shared" si="0"/>
        <v>-8.8870540745983065E-2</v>
      </c>
      <c r="L38" s="71">
        <f t="shared" si="1"/>
        <v>-8.2512492217308706E-2</v>
      </c>
      <c r="M38" s="71">
        <f t="shared" si="2"/>
        <v>-9.3424042722417902E-2</v>
      </c>
      <c r="P38" s="132" t="s">
        <v>188</v>
      </c>
      <c r="Q38" s="135">
        <v>0</v>
      </c>
      <c r="R38" s="135">
        <v>401</v>
      </c>
      <c r="S38" s="135">
        <v>1218</v>
      </c>
      <c r="T38" s="135">
        <v>2324</v>
      </c>
      <c r="U38" s="135">
        <v>346</v>
      </c>
      <c r="V38" s="135">
        <v>2291</v>
      </c>
      <c r="W38" s="135">
        <v>1638</v>
      </c>
      <c r="X38" s="135">
        <v>1390</v>
      </c>
      <c r="Y38" s="135">
        <v>1764</v>
      </c>
      <c r="Z38" s="135">
        <v>671</v>
      </c>
    </row>
    <row r="39" spans="2:26" x14ac:dyDescent="0.3">
      <c r="B39" s="27" t="s">
        <v>220</v>
      </c>
      <c r="C39" s="5"/>
      <c r="D39" s="6">
        <f t="shared" ref="D39:E39" si="7">D34+D35+D36+D37+D38</f>
        <v>217206</v>
      </c>
      <c r="E39" s="10">
        <f t="shared" si="7"/>
        <v>204150</v>
      </c>
      <c r="F39" s="6">
        <f>F34+F35+F36+F37+F38</f>
        <v>144227</v>
      </c>
      <c r="I39" s="30" t="s">
        <v>220</v>
      </c>
      <c r="J39" s="5"/>
      <c r="K39" s="47">
        <f t="shared" si="0"/>
        <v>0.56933238971455535</v>
      </c>
      <c r="L39" s="71">
        <f t="shared" si="1"/>
        <v>0.54319194112294256</v>
      </c>
      <c r="M39" s="71">
        <f t="shared" si="2"/>
        <v>0.40968923985910694</v>
      </c>
      <c r="P39" s="132" t="s">
        <v>221</v>
      </c>
      <c r="Q39" s="135">
        <v>1</v>
      </c>
      <c r="R39" s="135">
        <v>232</v>
      </c>
      <c r="S39" s="135">
        <v>258</v>
      </c>
      <c r="T39" s="135">
        <v>242</v>
      </c>
      <c r="U39" s="135">
        <v>74</v>
      </c>
      <c r="V39" s="135">
        <v>361</v>
      </c>
      <c r="W39" s="135">
        <v>197</v>
      </c>
      <c r="X39" s="135">
        <v>279</v>
      </c>
      <c r="Y39" s="135">
        <v>1969</v>
      </c>
      <c r="Z39" s="135">
        <v>1729</v>
      </c>
    </row>
    <row r="40" spans="2:26" x14ac:dyDescent="0.3">
      <c r="B40" s="27"/>
      <c r="C40" s="5"/>
      <c r="D40" s="6"/>
      <c r="E40" s="10"/>
      <c r="F40" s="6"/>
      <c r="I40" s="30"/>
      <c r="J40" s="5"/>
      <c r="K40" s="47"/>
      <c r="L40" s="71"/>
      <c r="M40" s="71"/>
      <c r="P40" s="132" t="s">
        <v>222</v>
      </c>
      <c r="Q40" s="135">
        <v>3358</v>
      </c>
      <c r="R40" s="135">
        <v>3121</v>
      </c>
      <c r="S40" s="135">
        <v>13786</v>
      </c>
      <c r="T40" s="135">
        <v>16957</v>
      </c>
      <c r="U40" s="135">
        <v>22545</v>
      </c>
      <c r="V40" s="135">
        <v>25671</v>
      </c>
      <c r="W40" s="135">
        <v>37466</v>
      </c>
      <c r="X40" s="135">
        <v>34075</v>
      </c>
      <c r="Y40" s="135">
        <v>36694</v>
      </c>
      <c r="Z40" s="135">
        <v>41452</v>
      </c>
    </row>
    <row r="41" spans="2:26" x14ac:dyDescent="0.3">
      <c r="B41" s="27" t="s">
        <v>223</v>
      </c>
      <c r="C41" s="5"/>
      <c r="D41" s="6"/>
      <c r="E41" s="10"/>
      <c r="F41" s="6"/>
      <c r="I41" s="30" t="s">
        <v>223</v>
      </c>
      <c r="J41" s="5"/>
      <c r="K41" s="47"/>
      <c r="L41" s="71"/>
      <c r="M41" s="71"/>
      <c r="P41" s="129" t="s">
        <v>224</v>
      </c>
      <c r="Q41" s="141">
        <v>53963</v>
      </c>
      <c r="R41" s="141">
        <v>75955</v>
      </c>
      <c r="S41" s="141">
        <v>75386</v>
      </c>
      <c r="T41" s="141">
        <v>97400</v>
      </c>
      <c r="U41" s="141">
        <v>123302</v>
      </c>
      <c r="V41" s="141">
        <v>118811</v>
      </c>
      <c r="W41" s="141">
        <v>141812</v>
      </c>
      <c r="X41" s="141">
        <v>144227</v>
      </c>
      <c r="Y41" s="141">
        <v>204150</v>
      </c>
      <c r="Z41" s="141">
        <v>217206</v>
      </c>
    </row>
    <row r="42" spans="2:26" x14ac:dyDescent="0.3">
      <c r="B42" s="27" t="s">
        <v>225</v>
      </c>
      <c r="C42" s="5"/>
      <c r="D42" s="181">
        <f>Z21+Z22</f>
        <v>2856</v>
      </c>
      <c r="E42" s="182">
        <f>Y21 + Y22</f>
        <v>4316</v>
      </c>
      <c r="F42" s="181">
        <f>X21 + X22</f>
        <v>4043</v>
      </c>
      <c r="I42" s="30" t="s">
        <v>225</v>
      </c>
      <c r="J42" s="5"/>
      <c r="K42" s="47">
        <f t="shared" si="0"/>
        <v>7.4860423055752145E-3</v>
      </c>
      <c r="L42" s="71">
        <f t="shared" si="1"/>
        <v>1.1483793376863189E-2</v>
      </c>
      <c r="M42" s="71">
        <f t="shared" si="2"/>
        <v>1.1484490398818317E-2</v>
      </c>
      <c r="P42" s="129" t="s">
        <v>159</v>
      </c>
      <c r="Q42" s="141">
        <v>159382</v>
      </c>
      <c r="R42" s="141">
        <v>198481</v>
      </c>
      <c r="S42" s="141">
        <v>225247</v>
      </c>
      <c r="T42" s="141">
        <v>260665</v>
      </c>
      <c r="U42" s="141">
        <v>304372</v>
      </c>
      <c r="V42" s="141">
        <v>334469</v>
      </c>
      <c r="W42" s="141">
        <v>373535</v>
      </c>
      <c r="X42" s="141">
        <v>396780</v>
      </c>
      <c r="Y42" s="141">
        <v>448707</v>
      </c>
      <c r="Z42" s="141">
        <v>461533</v>
      </c>
    </row>
    <row r="43" spans="2:26" x14ac:dyDescent="0.3">
      <c r="B43" s="27" t="s">
        <v>226</v>
      </c>
      <c r="C43" s="5"/>
      <c r="D43" s="181">
        <f>Z14</f>
        <v>236</v>
      </c>
      <c r="E43" s="182">
        <f>Y14</f>
        <v>405</v>
      </c>
      <c r="F43" s="181">
        <f>X14</f>
        <v>242</v>
      </c>
      <c r="I43" s="30" t="s">
        <v>226</v>
      </c>
      <c r="J43" s="5"/>
      <c r="K43" s="47">
        <f t="shared" si="0"/>
        <v>6.1859453225341407E-4</v>
      </c>
      <c r="L43" s="71">
        <f t="shared" si="1"/>
        <v>1.0776034100161242E-3</v>
      </c>
      <c r="M43" s="71">
        <f t="shared" si="2"/>
        <v>6.874218838768322E-4</v>
      </c>
      <c r="P43" s="129"/>
      <c r="Q43" s="140"/>
      <c r="R43" s="140"/>
      <c r="S43" s="140"/>
      <c r="T43" s="140"/>
      <c r="U43" s="140"/>
      <c r="V43" s="140"/>
      <c r="W43" s="140"/>
      <c r="X43" s="140"/>
      <c r="Y43" s="140"/>
      <c r="Z43" s="140"/>
    </row>
    <row r="44" spans="2:26" x14ac:dyDescent="0.3">
      <c r="B44" s="27" t="s">
        <v>227</v>
      </c>
      <c r="C44" s="5"/>
      <c r="D44" s="181">
        <f>Z10</f>
        <v>81424</v>
      </c>
      <c r="E44" s="182">
        <f>Y10</f>
        <v>74676</v>
      </c>
      <c r="F44" s="181">
        <f>X10</f>
        <v>64728</v>
      </c>
      <c r="I44" s="30" t="s">
        <v>227</v>
      </c>
      <c r="J44" s="5"/>
      <c r="K44" s="47">
        <f t="shared" si="0"/>
        <v>0.21342559828051688</v>
      </c>
      <c r="L44" s="71">
        <f t="shared" si="1"/>
        <v>0.19869410431201009</v>
      </c>
      <c r="M44" s="71">
        <f t="shared" si="2"/>
        <v>0.18386546983297353</v>
      </c>
      <c r="P44" s="129" t="s">
        <v>228</v>
      </c>
      <c r="Q44" s="140"/>
      <c r="R44" s="140"/>
      <c r="S44" s="140"/>
      <c r="T44" s="140"/>
      <c r="U44" s="140"/>
      <c r="V44" s="140"/>
      <c r="W44" s="140"/>
      <c r="X44" s="140"/>
      <c r="Y44" s="140"/>
      <c r="Z44" s="140"/>
    </row>
    <row r="45" spans="2:26" x14ac:dyDescent="0.3">
      <c r="B45" s="27" t="s">
        <v>229</v>
      </c>
      <c r="C45" s="5"/>
      <c r="D45" s="181">
        <f>Z7</f>
        <v>69107</v>
      </c>
      <c r="E45" s="182">
        <f>Y7</f>
        <v>82897</v>
      </c>
      <c r="F45" s="181">
        <f>X7</f>
        <v>124159</v>
      </c>
      <c r="I45" s="30" t="s">
        <v>229</v>
      </c>
      <c r="J45" s="5"/>
      <c r="K45" s="47">
        <f t="shared" si="0"/>
        <v>0.18114073025608765</v>
      </c>
      <c r="L45" s="71">
        <f t="shared" si="1"/>
        <v>0.22056812316075713</v>
      </c>
      <c r="M45" s="71">
        <f t="shared" si="2"/>
        <v>0.35268435405067605</v>
      </c>
      <c r="P45" s="132" t="s">
        <v>230</v>
      </c>
      <c r="Q45" s="135">
        <v>26222</v>
      </c>
      <c r="R45" s="135">
        <v>37201</v>
      </c>
      <c r="S45" s="135">
        <v>32477</v>
      </c>
      <c r="T45" s="135">
        <v>34615</v>
      </c>
      <c r="U45" s="135">
        <v>41373</v>
      </c>
      <c r="V45" s="135">
        <v>46740</v>
      </c>
      <c r="W45" s="135">
        <v>54516</v>
      </c>
      <c r="X45" s="135">
        <v>52912</v>
      </c>
      <c r="Y45" s="135">
        <v>66065</v>
      </c>
      <c r="Z45" s="135">
        <v>77847</v>
      </c>
    </row>
    <row r="46" spans="2:26" x14ac:dyDescent="0.3">
      <c r="B46" s="27" t="s">
        <v>231</v>
      </c>
      <c r="C46" s="5"/>
      <c r="D46" s="6">
        <v>0</v>
      </c>
      <c r="E46" s="10">
        <v>0</v>
      </c>
      <c r="F46" s="6">
        <v>0</v>
      </c>
      <c r="I46" s="30" t="s">
        <v>231</v>
      </c>
      <c r="J46" s="5"/>
      <c r="K46" s="47">
        <f t="shared" si="0"/>
        <v>0</v>
      </c>
      <c r="L46" s="71">
        <f t="shared" si="1"/>
        <v>0</v>
      </c>
      <c r="M46" s="71">
        <f t="shared" si="2"/>
        <v>0</v>
      </c>
      <c r="P46" s="132" t="s">
        <v>232</v>
      </c>
      <c r="Q46" s="135">
        <v>14722</v>
      </c>
      <c r="R46" s="135">
        <v>20587</v>
      </c>
      <c r="S46" s="135">
        <v>17188</v>
      </c>
      <c r="T46" s="135">
        <v>18059</v>
      </c>
      <c r="U46" s="135">
        <v>20368</v>
      </c>
      <c r="V46" s="135">
        <v>24893</v>
      </c>
      <c r="W46" s="135">
        <v>32566</v>
      </c>
      <c r="X46" s="135">
        <v>27850</v>
      </c>
      <c r="Y46" s="135">
        <v>40947</v>
      </c>
      <c r="Z46" s="135">
        <v>43846</v>
      </c>
    </row>
    <row r="47" spans="2:26" x14ac:dyDescent="0.3">
      <c r="B47" s="27" t="s">
        <v>233</v>
      </c>
      <c r="C47" s="5"/>
      <c r="D47" s="181">
        <f>Z23+Z24</f>
        <v>10681</v>
      </c>
      <c r="E47" s="182">
        <f>Y23+Y24</f>
        <v>9390</v>
      </c>
      <c r="F47" s="181">
        <f>X23+X24</f>
        <v>14641</v>
      </c>
      <c r="I47" s="30" t="s">
        <v>233</v>
      </c>
      <c r="J47" s="5"/>
      <c r="K47" s="47">
        <f t="shared" si="0"/>
        <v>2.7996644911011507E-2</v>
      </c>
      <c r="L47" s="71">
        <f t="shared" si="1"/>
        <v>2.4984434617410879E-2</v>
      </c>
      <c r="M47" s="71">
        <f t="shared" si="2"/>
        <v>4.1589023974548348E-2</v>
      </c>
      <c r="P47" s="132" t="s">
        <v>234</v>
      </c>
      <c r="Q47" s="135">
        <v>4980</v>
      </c>
      <c r="R47" s="135">
        <v>8268</v>
      </c>
      <c r="S47" s="135">
        <v>6916</v>
      </c>
      <c r="T47" s="135">
        <v>8246</v>
      </c>
      <c r="U47" s="135">
        <v>9379</v>
      </c>
      <c r="V47" s="135">
        <v>10175</v>
      </c>
      <c r="W47" s="135">
        <v>10205</v>
      </c>
      <c r="X47" s="135">
        <v>11143</v>
      </c>
      <c r="Y47" s="135">
        <v>10441</v>
      </c>
      <c r="Z47" s="135">
        <v>15405</v>
      </c>
    </row>
    <row r="48" spans="2:26" x14ac:dyDescent="0.3">
      <c r="B48" s="27" t="s">
        <v>195</v>
      </c>
      <c r="C48" s="5"/>
      <c r="D48" s="6">
        <f t="shared" ref="D48:E48" si="8">D42+D43+D44+D45+D46+D47</f>
        <v>164304</v>
      </c>
      <c r="E48" s="10">
        <f t="shared" si="8"/>
        <v>171684</v>
      </c>
      <c r="F48" s="6">
        <f>F42+F43+F44+F45+F46+F47</f>
        <v>207813</v>
      </c>
      <c r="I48" s="30" t="s">
        <v>195</v>
      </c>
      <c r="J48" s="5"/>
      <c r="K48" s="47">
        <f t="shared" si="0"/>
        <v>0.4306676102854447</v>
      </c>
      <c r="L48" s="71">
        <f t="shared" si="1"/>
        <v>0.45680805887705744</v>
      </c>
      <c r="M48" s="71">
        <f t="shared" si="2"/>
        <v>0.59031076014089312</v>
      </c>
      <c r="P48" s="132" t="s">
        <v>235</v>
      </c>
      <c r="Q48" s="135">
        <v>4999</v>
      </c>
      <c r="R48" s="135">
        <v>5808</v>
      </c>
      <c r="S48" s="135">
        <v>91</v>
      </c>
      <c r="T48" s="135">
        <v>113</v>
      </c>
      <c r="U48" s="135">
        <v>168</v>
      </c>
      <c r="V48" s="135">
        <v>224</v>
      </c>
      <c r="W48" s="135">
        <v>303</v>
      </c>
      <c r="X48" s="135">
        <v>340</v>
      </c>
      <c r="Y48" s="135">
        <v>386</v>
      </c>
      <c r="Z48" s="135">
        <v>659</v>
      </c>
    </row>
    <row r="49" spans="2:26" x14ac:dyDescent="0.3">
      <c r="B49" s="27"/>
      <c r="C49" s="5"/>
      <c r="D49" s="6"/>
      <c r="E49" s="10"/>
      <c r="F49" s="6"/>
      <c r="I49" s="30"/>
      <c r="J49" s="5"/>
      <c r="K49" s="47"/>
      <c r="L49" s="71"/>
      <c r="M49" s="71"/>
      <c r="P49" s="132" t="s">
        <v>236</v>
      </c>
      <c r="Q49" s="135">
        <v>1521</v>
      </c>
      <c r="R49" s="135">
        <v>2538</v>
      </c>
      <c r="S49" s="135">
        <v>8282</v>
      </c>
      <c r="T49" s="135">
        <v>8197</v>
      </c>
      <c r="U49" s="135">
        <v>11458</v>
      </c>
      <c r="V49" s="135">
        <v>11448</v>
      </c>
      <c r="W49" s="135">
        <v>11442</v>
      </c>
      <c r="X49" s="135">
        <v>13579</v>
      </c>
      <c r="Y49" s="135">
        <v>14291</v>
      </c>
      <c r="Z49" s="135">
        <v>17937</v>
      </c>
    </row>
    <row r="50" spans="2:26" ht="15" thickBot="1" x14ac:dyDescent="0.35">
      <c r="B50" s="28" t="s">
        <v>159</v>
      </c>
      <c r="C50" s="7"/>
      <c r="D50" s="8">
        <f t="shared" ref="D50:E50" si="9">D39+D48</f>
        <v>381510</v>
      </c>
      <c r="E50" s="11">
        <f t="shared" si="9"/>
        <v>375834</v>
      </c>
      <c r="F50" s="8">
        <f>F39+F48</f>
        <v>352040</v>
      </c>
      <c r="I50" s="30" t="s">
        <v>159</v>
      </c>
      <c r="J50" s="5"/>
      <c r="K50" s="47">
        <f t="shared" si="0"/>
        <v>1</v>
      </c>
      <c r="L50" s="71">
        <f t="shared" si="1"/>
        <v>1</v>
      </c>
      <c r="M50" s="71">
        <f t="shared" si="2"/>
        <v>1</v>
      </c>
      <c r="P50" s="132" t="s">
        <v>237</v>
      </c>
      <c r="Q50" s="135">
        <v>3441</v>
      </c>
      <c r="R50" s="135">
        <v>6541</v>
      </c>
      <c r="S50" s="135">
        <v>8943</v>
      </c>
      <c r="T50" s="135">
        <v>9809</v>
      </c>
      <c r="U50" s="135">
        <v>16255</v>
      </c>
      <c r="V50" s="135">
        <v>17869</v>
      </c>
      <c r="W50" s="135">
        <v>26379</v>
      </c>
      <c r="X50" s="135">
        <v>19273</v>
      </c>
      <c r="Y50" s="135">
        <v>17564</v>
      </c>
      <c r="Z50" s="135">
        <v>18211</v>
      </c>
    </row>
    <row r="51" spans="2:26" ht="15" thickBot="1" x14ac:dyDescent="0.35">
      <c r="B51" s="49" t="s">
        <v>238</v>
      </c>
      <c r="C51" s="5"/>
      <c r="D51" s="6">
        <f>D48-D24</f>
        <v>92611</v>
      </c>
      <c r="E51" s="10">
        <f t="shared" ref="E51:F51" si="10">E48-E24</f>
        <v>100835</v>
      </c>
      <c r="F51" s="6">
        <f t="shared" si="10"/>
        <v>131218</v>
      </c>
      <c r="I51" s="60"/>
      <c r="J51" s="7"/>
      <c r="K51" s="8"/>
      <c r="L51" s="11"/>
      <c r="M51" s="11"/>
      <c r="P51" s="132" t="s">
        <v>239</v>
      </c>
      <c r="Q51" s="135">
        <v>334</v>
      </c>
      <c r="R51" s="135">
        <v>6286</v>
      </c>
      <c r="S51" s="135">
        <v>8055</v>
      </c>
      <c r="T51" s="135">
        <v>8342</v>
      </c>
      <c r="U51" s="135">
        <v>9549</v>
      </c>
      <c r="V51" s="135">
        <v>11961</v>
      </c>
      <c r="W51" s="135">
        <v>22495</v>
      </c>
      <c r="X51" s="135">
        <v>14960</v>
      </c>
      <c r="Y51" s="135">
        <v>13481</v>
      </c>
      <c r="Z51" s="135">
        <v>14494</v>
      </c>
    </row>
    <row r="52" spans="2:26" ht="15" thickBot="1" x14ac:dyDescent="0.35">
      <c r="B52" s="50" t="s">
        <v>240</v>
      </c>
      <c r="C52" s="7"/>
      <c r="D52" s="8">
        <f>D51-E51</f>
        <v>-8224</v>
      </c>
      <c r="E52" s="11">
        <f>E51-F51</f>
        <v>-30383</v>
      </c>
      <c r="F52" s="8"/>
      <c r="P52" s="132" t="s">
        <v>241</v>
      </c>
      <c r="Q52" s="135">
        <v>42</v>
      </c>
      <c r="R52" s="135">
        <v>163</v>
      </c>
      <c r="S52" s="135">
        <v>762</v>
      </c>
      <c r="T52" s="135">
        <v>1163</v>
      </c>
      <c r="U52" s="135">
        <v>1331</v>
      </c>
      <c r="V52" s="135">
        <v>299</v>
      </c>
      <c r="W52" s="135">
        <v>3459</v>
      </c>
      <c r="X52" s="135">
        <v>4003</v>
      </c>
      <c r="Y52" s="135">
        <v>3167</v>
      </c>
      <c r="Z52" s="135">
        <v>3717</v>
      </c>
    </row>
    <row r="53" spans="2:26" x14ac:dyDescent="0.3">
      <c r="P53" s="133" t="s">
        <v>242</v>
      </c>
      <c r="Q53" s="146">
        <v>42</v>
      </c>
      <c r="R53" s="146">
        <v>163</v>
      </c>
      <c r="S53" s="146">
        <v>762</v>
      </c>
      <c r="T53" s="146">
        <v>1163</v>
      </c>
      <c r="U53" s="146">
        <v>1331</v>
      </c>
      <c r="V53" s="146">
        <v>299</v>
      </c>
      <c r="W53" s="146">
        <v>0</v>
      </c>
      <c r="X53" s="146">
        <v>0</v>
      </c>
      <c r="Y53" s="146">
        <v>0</v>
      </c>
      <c r="Z53" s="146">
        <v>0</v>
      </c>
    </row>
    <row r="54" spans="2:26" x14ac:dyDescent="0.3">
      <c r="P54" s="132" t="s">
        <v>243</v>
      </c>
      <c r="Q54" s="135">
        <v>3065</v>
      </c>
      <c r="R54" s="135">
        <v>92</v>
      </c>
      <c r="S54" s="135">
        <v>126</v>
      </c>
      <c r="T54" s="135">
        <v>304</v>
      </c>
      <c r="U54" s="135">
        <v>5375</v>
      </c>
      <c r="V54" s="135">
        <v>5609</v>
      </c>
      <c r="W54" s="135">
        <v>425</v>
      </c>
      <c r="X54" s="135">
        <v>310</v>
      </c>
      <c r="Y54" s="135">
        <v>916</v>
      </c>
      <c r="Z54" s="135">
        <v>0</v>
      </c>
    </row>
    <row r="55" spans="2:26" x14ac:dyDescent="0.3">
      <c r="P55" s="132" t="s">
        <v>244</v>
      </c>
      <c r="Q55" s="135">
        <v>28376</v>
      </c>
      <c r="R55" s="135">
        <v>25648</v>
      </c>
      <c r="S55" s="135">
        <v>27241</v>
      </c>
      <c r="T55" s="135">
        <v>31809</v>
      </c>
      <c r="U55" s="135">
        <v>33843</v>
      </c>
      <c r="V55" s="135">
        <v>51007</v>
      </c>
      <c r="W55" s="135">
        <v>40666</v>
      </c>
      <c r="X55" s="135">
        <v>42894</v>
      </c>
      <c r="Y55" s="135">
        <v>53723</v>
      </c>
      <c r="Z55" s="135">
        <v>49456</v>
      </c>
    </row>
    <row r="56" spans="2:26" ht="15" thickBot="1" x14ac:dyDescent="0.35">
      <c r="P56" s="132" t="s">
        <v>245</v>
      </c>
      <c r="Q56" s="135">
        <v>1</v>
      </c>
      <c r="R56" s="135">
        <v>1236</v>
      </c>
      <c r="S56" s="135">
        <v>1618</v>
      </c>
      <c r="T56" s="135">
        <v>2838</v>
      </c>
      <c r="U56" s="135">
        <v>2419</v>
      </c>
      <c r="V56" s="135">
        <v>2168</v>
      </c>
      <c r="W56" s="135">
        <v>2277</v>
      </c>
      <c r="X56" s="135">
        <v>6736</v>
      </c>
      <c r="Y56" s="135">
        <v>10680</v>
      </c>
      <c r="Z56" s="135">
        <v>11259</v>
      </c>
    </row>
    <row r="57" spans="2:26" ht="21.6" thickBot="1" x14ac:dyDescent="0.45">
      <c r="B57" s="253" t="s">
        <v>246</v>
      </c>
      <c r="P57" s="132" t="s">
        <v>247</v>
      </c>
      <c r="Q57" s="135">
        <v>2394</v>
      </c>
      <c r="R57" s="135" t="s">
        <v>44</v>
      </c>
      <c r="S57" s="135">
        <v>519</v>
      </c>
      <c r="T57" s="135">
        <v>53</v>
      </c>
      <c r="U57" s="135">
        <v>1363</v>
      </c>
      <c r="V57" s="135">
        <v>531</v>
      </c>
      <c r="W57" s="135">
        <v>2972</v>
      </c>
      <c r="X57" s="135">
        <v>1670</v>
      </c>
      <c r="Y57" s="135">
        <v>212</v>
      </c>
      <c r="Z57" s="135">
        <v>1266</v>
      </c>
    </row>
    <row r="58" spans="2:26" ht="15" thickBot="1" x14ac:dyDescent="0.35">
      <c r="B58" s="86"/>
      <c r="C58" s="15"/>
      <c r="D58" s="20" t="s">
        <v>25</v>
      </c>
      <c r="E58" s="87" t="s">
        <v>26</v>
      </c>
      <c r="F58" s="20" t="s">
        <v>27</v>
      </c>
      <c r="G58" s="15"/>
      <c r="H58" s="87" t="s">
        <v>92</v>
      </c>
      <c r="P58" s="132" t="s">
        <v>248</v>
      </c>
      <c r="Q58" s="135">
        <v>25981</v>
      </c>
      <c r="R58" s="135">
        <v>24412</v>
      </c>
      <c r="S58" s="135">
        <v>25104</v>
      </c>
      <c r="T58" s="135">
        <v>28918</v>
      </c>
      <c r="U58" s="135">
        <v>30061</v>
      </c>
      <c r="V58" s="135">
        <v>48308</v>
      </c>
      <c r="W58" s="135">
        <v>35417</v>
      </c>
      <c r="X58" s="135">
        <v>34488</v>
      </c>
      <c r="Y58" s="135">
        <v>42831</v>
      </c>
      <c r="Z58" s="135">
        <v>36931</v>
      </c>
    </row>
    <row r="59" spans="2:26" x14ac:dyDescent="0.3">
      <c r="B59" s="18" t="s">
        <v>249</v>
      </c>
      <c r="C59" s="40"/>
      <c r="D59" s="16">
        <f>'TECH M Income Statement'!D7/'TECH M Balance Sheet'!D44</f>
        <v>6.5447779524464531</v>
      </c>
      <c r="E59" s="16">
        <f>'TECH M Income Statement'!E7/'TECH M Balance Sheet'!E44</f>
        <v>5.9786276715410578</v>
      </c>
      <c r="F59" s="16">
        <f>'TECH M Income Statement'!F7/'TECH M Balance Sheet'!F44</f>
        <v>5.8483345692745026</v>
      </c>
      <c r="G59" s="40"/>
      <c r="H59" s="18">
        <f t="shared" ref="H59:H64" si="11">AVERAGE(D59:F59)</f>
        <v>6.1239133977540048</v>
      </c>
      <c r="P59" s="129" t="s">
        <v>193</v>
      </c>
      <c r="Q59" s="141">
        <v>58039</v>
      </c>
      <c r="R59" s="141">
        <v>69390</v>
      </c>
      <c r="S59" s="141">
        <v>68661</v>
      </c>
      <c r="T59" s="141">
        <v>76233</v>
      </c>
      <c r="U59" s="141">
        <v>91471</v>
      </c>
      <c r="V59" s="141">
        <v>115616</v>
      </c>
      <c r="W59" s="141">
        <v>121561</v>
      </c>
      <c r="X59" s="141">
        <v>115079</v>
      </c>
      <c r="Y59" s="141">
        <v>137352</v>
      </c>
      <c r="Z59" s="141">
        <v>145514</v>
      </c>
    </row>
    <row r="60" spans="2:26" x14ac:dyDescent="0.3">
      <c r="B60" s="18" t="s">
        <v>250</v>
      </c>
      <c r="C60" s="40"/>
      <c r="D60" s="16">
        <f>'TECH M Income Statement'!D8/'TECH M Balance Sheet'!D43</f>
        <v>1821.5254237288136</v>
      </c>
      <c r="E60" s="16">
        <f>'TECH M Income Statement'!E8/'TECH M Balance Sheet'!E43</f>
        <v>859.91358024691363</v>
      </c>
      <c r="F60" s="16">
        <f>'TECH M Income Statement'!F8/'TECH M Balance Sheet'!F43</f>
        <v>1207.0413223140497</v>
      </c>
      <c r="G60" s="40"/>
      <c r="H60" s="18">
        <f t="shared" si="11"/>
        <v>1296.1601087632589</v>
      </c>
      <c r="P60" s="132" t="s">
        <v>251</v>
      </c>
      <c r="Q60" s="135">
        <v>190</v>
      </c>
      <c r="R60" s="135">
        <v>460</v>
      </c>
      <c r="S60" s="135">
        <v>1966</v>
      </c>
      <c r="T60" s="135">
        <v>3853</v>
      </c>
      <c r="U60" s="135">
        <v>7711</v>
      </c>
      <c r="V60" s="135">
        <v>2086</v>
      </c>
      <c r="W60" s="135">
        <v>10326</v>
      </c>
      <c r="X60" s="135">
        <v>9735</v>
      </c>
      <c r="Y60" s="135">
        <v>8620</v>
      </c>
      <c r="Z60" s="135">
        <v>9191</v>
      </c>
    </row>
    <row r="61" spans="2:26" x14ac:dyDescent="0.3">
      <c r="B61" s="18" t="s">
        <v>252</v>
      </c>
      <c r="C61" s="40"/>
      <c r="D61" s="16">
        <f>'TECH M Income Statement'!D8/'TECH M Balance Sheet'!D21</f>
        <v>5.5221138900664126</v>
      </c>
      <c r="E61" s="16">
        <f>'TECH M Income Statement'!E8/'TECH M Balance Sheet'!E21</f>
        <v>5.2715507454779384</v>
      </c>
      <c r="F61" s="16">
        <f>'TECH M Income Statement'!F8/'TECH M Balance Sheet'!F21</f>
        <v>5.5205624433020866</v>
      </c>
      <c r="G61" s="40"/>
      <c r="H61" s="18">
        <f t="shared" si="11"/>
        <v>5.4380756929488117</v>
      </c>
      <c r="P61" s="132" t="s">
        <v>253</v>
      </c>
      <c r="Q61" s="135">
        <v>140</v>
      </c>
      <c r="R61" s="135">
        <v>348</v>
      </c>
      <c r="S61" s="135">
        <v>107</v>
      </c>
      <c r="T61" s="135">
        <v>1889</v>
      </c>
      <c r="U61" s="135">
        <v>6004</v>
      </c>
      <c r="V61" s="135">
        <v>1844</v>
      </c>
      <c r="W61" s="135">
        <v>1787</v>
      </c>
      <c r="X61" s="135">
        <v>1658</v>
      </c>
      <c r="Y61" s="135">
        <v>1420</v>
      </c>
      <c r="Z61" s="135">
        <v>1288</v>
      </c>
    </row>
    <row r="62" spans="2:26" x14ac:dyDescent="0.3">
      <c r="B62" s="18" t="s">
        <v>254</v>
      </c>
      <c r="C62" s="40"/>
      <c r="D62" s="16">
        <f>D45/D24</f>
        <v>0.96392953286931782</v>
      </c>
      <c r="E62" s="16">
        <f>E45/E24</f>
        <v>1.1700518003076967</v>
      </c>
      <c r="F62" s="16">
        <f>F45/F24</f>
        <v>1.6209804817546838</v>
      </c>
      <c r="G62" s="40"/>
      <c r="H62" s="18">
        <f t="shared" si="11"/>
        <v>1.251653938310566</v>
      </c>
      <c r="P62" s="132" t="s">
        <v>255</v>
      </c>
      <c r="Q62" s="135">
        <v>50</v>
      </c>
      <c r="R62" s="135">
        <v>112</v>
      </c>
      <c r="S62" s="135">
        <v>1859</v>
      </c>
      <c r="T62" s="135">
        <v>1964</v>
      </c>
      <c r="U62" s="135">
        <v>1707</v>
      </c>
      <c r="V62" s="135">
        <v>242</v>
      </c>
      <c r="W62" s="135">
        <v>8539</v>
      </c>
      <c r="X62" s="135">
        <v>8077</v>
      </c>
      <c r="Y62" s="135">
        <v>7200</v>
      </c>
      <c r="Z62" s="135">
        <v>7903</v>
      </c>
    </row>
    <row r="63" spans="2:26" x14ac:dyDescent="0.3">
      <c r="B63" s="18" t="s">
        <v>256</v>
      </c>
      <c r="C63" s="40"/>
      <c r="D63" s="16">
        <f>'TECH M Income Statement'!D7/'TECH M Balance Sheet'!D51</f>
        <v>5.7541976655040976</v>
      </c>
      <c r="E63" s="16">
        <f>'TECH M Income Statement'!E7/'TECH M Balance Sheet'!E51</f>
        <v>4.4276292953835474</v>
      </c>
      <c r="F63" s="16">
        <f>'TECH M Income Statement'!F7/'TECH M Balance Sheet'!F51</f>
        <v>2.8849014616897071</v>
      </c>
      <c r="G63" s="40"/>
      <c r="H63" s="18">
        <f t="shared" si="11"/>
        <v>4.3555761408591174</v>
      </c>
      <c r="P63" s="133" t="s">
        <v>257</v>
      </c>
      <c r="Q63" s="146">
        <v>50</v>
      </c>
      <c r="R63" s="146">
        <v>112</v>
      </c>
      <c r="S63" s="146">
        <v>1859</v>
      </c>
      <c r="T63" s="146">
        <v>1964</v>
      </c>
      <c r="U63" s="146">
        <v>1707</v>
      </c>
      <c r="V63" s="146">
        <v>242</v>
      </c>
      <c r="W63" s="146" t="s">
        <v>44</v>
      </c>
      <c r="X63" s="146">
        <v>0</v>
      </c>
      <c r="Y63" s="146">
        <v>0</v>
      </c>
      <c r="Z63" s="146">
        <v>0</v>
      </c>
    </row>
    <row r="64" spans="2:26" ht="15" thickBot="1" x14ac:dyDescent="0.35">
      <c r="B64" s="19" t="s">
        <v>258</v>
      </c>
      <c r="C64" s="39"/>
      <c r="D64" s="17">
        <f>'TECH M Income Statement'!D7/'TECH M Balance Sheet'!D30</f>
        <v>4.3250468700542966</v>
      </c>
      <c r="E64" s="17">
        <f>'TECH M Income Statement'!E7/'TECH M Balance Sheet'!E30</f>
        <v>3.9747869982105177</v>
      </c>
      <c r="F64" s="17">
        <f>'TECH M Income Statement'!F7/'TECH M Balance Sheet'!F30</f>
        <v>3.5473747340998756</v>
      </c>
      <c r="G64" s="39"/>
      <c r="H64" s="19">
        <f t="shared" si="11"/>
        <v>3.9490695341215631</v>
      </c>
      <c r="P64" s="132" t="s">
        <v>259</v>
      </c>
      <c r="Q64" s="135">
        <v>7895</v>
      </c>
      <c r="R64" s="135">
        <v>4541</v>
      </c>
      <c r="S64" s="135">
        <v>6784</v>
      </c>
      <c r="T64" s="135">
        <v>11566</v>
      </c>
      <c r="U64" s="135">
        <v>11671</v>
      </c>
      <c r="V64" s="135">
        <v>9146</v>
      </c>
      <c r="W64" s="135">
        <v>19584</v>
      </c>
      <c r="X64" s="135">
        <v>19521</v>
      </c>
      <c r="Y64" s="135">
        <v>28924</v>
      </c>
      <c r="Z64" s="135">
        <v>22881</v>
      </c>
    </row>
    <row r="65" spans="2:26" x14ac:dyDescent="0.3">
      <c r="P65" s="132" t="s">
        <v>260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 t="s">
        <v>44</v>
      </c>
      <c r="Y65" s="135" t="s">
        <v>44</v>
      </c>
      <c r="Z65" s="135">
        <v>0</v>
      </c>
    </row>
    <row r="66" spans="2:26" x14ac:dyDescent="0.3">
      <c r="P66" s="132" t="s">
        <v>261</v>
      </c>
      <c r="Q66" s="135" t="s">
        <v>44</v>
      </c>
      <c r="R66" s="135" t="s">
        <v>44</v>
      </c>
      <c r="S66" s="135">
        <v>2396</v>
      </c>
      <c r="T66" s="135">
        <v>2848</v>
      </c>
      <c r="U66" s="135">
        <v>2977</v>
      </c>
      <c r="V66" s="135">
        <v>3342</v>
      </c>
      <c r="W66" s="135">
        <v>4028</v>
      </c>
      <c r="X66" s="135">
        <v>4336</v>
      </c>
      <c r="Y66" s="135">
        <v>5423</v>
      </c>
      <c r="Z66" s="135">
        <v>5288</v>
      </c>
    </row>
    <row r="67" spans="2:26" ht="15" thickBot="1" x14ac:dyDescent="0.35">
      <c r="P67" s="132" t="s">
        <v>262</v>
      </c>
      <c r="Q67" s="135">
        <v>4138</v>
      </c>
      <c r="R67" s="135">
        <v>4074</v>
      </c>
      <c r="S67" s="135" t="s">
        <v>44</v>
      </c>
      <c r="T67" s="135" t="s">
        <v>44</v>
      </c>
      <c r="U67" s="135" t="s">
        <v>44</v>
      </c>
      <c r="V67" s="135" t="s">
        <v>44</v>
      </c>
      <c r="W67" s="135" t="s">
        <v>44</v>
      </c>
      <c r="X67" s="135" t="s">
        <v>44</v>
      </c>
      <c r="Y67" s="135" t="s">
        <v>44</v>
      </c>
      <c r="Z67" s="135" t="s">
        <v>44</v>
      </c>
    </row>
    <row r="68" spans="2:26" ht="24" thickBot="1" x14ac:dyDescent="0.5">
      <c r="B68" s="88" t="s">
        <v>263</v>
      </c>
      <c r="C68" s="75" t="s">
        <v>110</v>
      </c>
      <c r="D68" s="75" t="s">
        <v>111</v>
      </c>
      <c r="E68" s="75" t="s">
        <v>112</v>
      </c>
      <c r="F68" s="75" t="s">
        <v>113</v>
      </c>
      <c r="G68" s="75" t="s">
        <v>114</v>
      </c>
      <c r="H68" s="75" t="s">
        <v>25</v>
      </c>
      <c r="P68" s="132" t="s">
        <v>245</v>
      </c>
      <c r="Q68" s="135">
        <v>16</v>
      </c>
      <c r="R68" s="135">
        <v>24</v>
      </c>
      <c r="S68" s="135">
        <v>0</v>
      </c>
      <c r="T68" s="135">
        <v>0</v>
      </c>
      <c r="U68" s="135">
        <v>0</v>
      </c>
      <c r="V68" s="135">
        <v>0</v>
      </c>
      <c r="W68" s="135">
        <v>0</v>
      </c>
      <c r="X68" s="135">
        <v>964</v>
      </c>
      <c r="Y68" s="135">
        <v>781</v>
      </c>
      <c r="Z68" s="135">
        <v>249</v>
      </c>
    </row>
    <row r="69" spans="2:26" ht="15" thickBot="1" x14ac:dyDescent="0.35">
      <c r="B69" s="11"/>
      <c r="C69" s="67"/>
      <c r="D69" s="67"/>
      <c r="E69" s="67"/>
      <c r="F69" s="67"/>
      <c r="G69" s="67"/>
      <c r="H69" s="68"/>
      <c r="P69" s="132" t="s">
        <v>264</v>
      </c>
      <c r="Q69" s="135" t="s">
        <v>44</v>
      </c>
      <c r="R69" s="135" t="s">
        <v>44</v>
      </c>
      <c r="S69" s="135">
        <v>0</v>
      </c>
      <c r="T69" s="135">
        <v>95</v>
      </c>
      <c r="U69" s="135">
        <v>58</v>
      </c>
      <c r="V69" s="135">
        <v>11</v>
      </c>
      <c r="W69" s="135">
        <v>356</v>
      </c>
      <c r="X69" s="135">
        <v>761</v>
      </c>
      <c r="Y69" s="135">
        <v>4552</v>
      </c>
      <c r="Z69" s="135">
        <v>3261</v>
      </c>
    </row>
    <row r="70" spans="2:26" x14ac:dyDescent="0.3">
      <c r="B70" s="44" t="s">
        <v>265</v>
      </c>
      <c r="C70" s="55">
        <f>'TECH M Income Statement'!C54/'TECH M Balance Sheet'!$H$64</f>
        <v>317321.10888625158</v>
      </c>
      <c r="D70" s="55">
        <f>'TECH M Income Statement'!D54/'TECH M Balance Sheet'!$H$64</f>
        <v>267442.04503909656</v>
      </c>
      <c r="E70" s="55">
        <f>'TECH M Income Statement'!E54/'TECH M Balance Sheet'!$H$64</f>
        <v>225403.3704399206</v>
      </c>
      <c r="F70" s="55">
        <f>'TECH M Income Statement'!F54/'TECH M Balance Sheet'!$H$64</f>
        <v>189972.67014709223</v>
      </c>
      <c r="G70" s="55">
        <f>'TECH M Income Statement'!G54/'TECH M Balance Sheet'!$H$64</f>
        <v>160111.25003312805</v>
      </c>
      <c r="H70" s="56">
        <f>D30</f>
        <v>123213</v>
      </c>
      <c r="P70" s="132" t="s">
        <v>247</v>
      </c>
      <c r="Q70" s="135">
        <v>3659</v>
      </c>
      <c r="R70" s="135" t="s">
        <v>44</v>
      </c>
      <c r="S70" s="135">
        <v>385</v>
      </c>
      <c r="T70" s="135">
        <v>28</v>
      </c>
      <c r="U70" s="135">
        <v>654</v>
      </c>
      <c r="V70" s="135">
        <v>101</v>
      </c>
      <c r="W70" s="135">
        <v>2450</v>
      </c>
      <c r="X70" s="135">
        <v>956</v>
      </c>
      <c r="Y70" s="135">
        <v>164</v>
      </c>
      <c r="Z70" s="135">
        <v>665</v>
      </c>
    </row>
    <row r="71" spans="2:26" x14ac:dyDescent="0.3">
      <c r="B71" s="44" t="s">
        <v>238</v>
      </c>
      <c r="C71" s="55">
        <f>'TECH M Income Statement'!C54/'TECH M Balance Sheet'!$H$63</f>
        <v>287705.47985167225</v>
      </c>
      <c r="D71" s="55">
        <f>'TECH M Income Statement'!D54/'TECH M Balance Sheet'!$H$63</f>
        <v>242481.63688368973</v>
      </c>
      <c r="E71" s="55">
        <f>'TECH M Income Statement'!E54/'TECH M Balance Sheet'!$H$63</f>
        <v>204366.43840119682</v>
      </c>
      <c r="F71" s="55">
        <f>'TECH M Income Statement'!F54/'TECH M Balance Sheet'!$H$63</f>
        <v>172242.49094303066</v>
      </c>
      <c r="G71" s="55">
        <f>'TECH M Income Statement'!G54/'TECH M Balance Sheet'!H63</f>
        <v>145168.04186810282</v>
      </c>
      <c r="H71" s="56">
        <f>D51</f>
        <v>92611</v>
      </c>
      <c r="P71" s="132" t="s">
        <v>266</v>
      </c>
      <c r="Q71" s="135">
        <v>82</v>
      </c>
      <c r="R71" s="135">
        <v>443</v>
      </c>
      <c r="S71" s="135">
        <v>4003</v>
      </c>
      <c r="T71" s="135">
        <v>8595</v>
      </c>
      <c r="U71" s="135">
        <v>7982</v>
      </c>
      <c r="V71" s="135">
        <v>5692</v>
      </c>
      <c r="W71" s="135">
        <v>12750</v>
      </c>
      <c r="X71" s="135">
        <v>12504</v>
      </c>
      <c r="Y71" s="135">
        <v>18004</v>
      </c>
      <c r="Z71" s="135">
        <v>13418</v>
      </c>
    </row>
    <row r="72" spans="2:26" x14ac:dyDescent="0.3">
      <c r="B72" s="44" t="s">
        <v>240</v>
      </c>
      <c r="C72" s="55">
        <f>C71-D71</f>
        <v>45223.84296798252</v>
      </c>
      <c r="D72" s="55">
        <f>D71-E71</f>
        <v>38115.19848249291</v>
      </c>
      <c r="E72" s="55">
        <f>E71-F71</f>
        <v>32123.947458166163</v>
      </c>
      <c r="F72" s="55">
        <f>F71-G71</f>
        <v>27074.449074927834</v>
      </c>
      <c r="G72" s="55">
        <f>G71-H71</f>
        <v>52557.041868102824</v>
      </c>
      <c r="H72" s="56">
        <f>D51-E51</f>
        <v>-8224</v>
      </c>
      <c r="P72" s="129" t="s">
        <v>267</v>
      </c>
      <c r="Q72" s="141">
        <v>8085</v>
      </c>
      <c r="R72" s="141">
        <v>5001</v>
      </c>
      <c r="S72" s="141">
        <v>8750</v>
      </c>
      <c r="T72" s="141">
        <v>15419</v>
      </c>
      <c r="U72" s="141">
        <v>19382</v>
      </c>
      <c r="V72" s="141">
        <v>11232</v>
      </c>
      <c r="W72" s="141">
        <v>29910</v>
      </c>
      <c r="X72" s="141">
        <v>29256</v>
      </c>
      <c r="Y72" s="141">
        <v>37544</v>
      </c>
      <c r="Z72" s="141">
        <v>32072</v>
      </c>
    </row>
    <row r="73" spans="2:26" ht="15" thickBot="1" x14ac:dyDescent="0.35">
      <c r="B73" s="45" t="s">
        <v>268</v>
      </c>
      <c r="C73" s="57">
        <f t="shared" ref="C73:E73" si="12">$G$73</f>
        <v>14378.667626483943</v>
      </c>
      <c r="D73" s="57">
        <f t="shared" si="12"/>
        <v>14378.667626483943</v>
      </c>
      <c r="E73" s="57">
        <f t="shared" si="12"/>
        <v>14378.667626483943</v>
      </c>
      <c r="F73" s="57">
        <f>$G$73</f>
        <v>14378.667626483943</v>
      </c>
      <c r="G73" s="57">
        <f>H73+'TECH M Income Statement'!G59</f>
        <v>14378.667626483943</v>
      </c>
      <c r="H73" s="58">
        <v>13418</v>
      </c>
      <c r="P73" s="129" t="s">
        <v>269</v>
      </c>
      <c r="Q73" s="141">
        <v>66124</v>
      </c>
      <c r="R73" s="141">
        <v>74391</v>
      </c>
      <c r="S73" s="141">
        <v>77411</v>
      </c>
      <c r="T73" s="141">
        <v>91652</v>
      </c>
      <c r="U73" s="141">
        <v>110853</v>
      </c>
      <c r="V73" s="141">
        <v>126848</v>
      </c>
      <c r="W73" s="141">
        <v>151471</v>
      </c>
      <c r="X73" s="141">
        <v>144335</v>
      </c>
      <c r="Y73" s="141">
        <v>174896</v>
      </c>
      <c r="Z73" s="141">
        <v>177586</v>
      </c>
    </row>
    <row r="74" spans="2:26" ht="15" thickBot="1" x14ac:dyDescent="0.35">
      <c r="P74" s="132" t="s">
        <v>270</v>
      </c>
      <c r="Q74" s="135">
        <v>0</v>
      </c>
      <c r="R74" s="135">
        <v>0</v>
      </c>
      <c r="S74" s="135">
        <v>0</v>
      </c>
      <c r="T74" s="135">
        <v>0</v>
      </c>
      <c r="U74" s="135">
        <v>0</v>
      </c>
      <c r="V74" s="135">
        <v>0</v>
      </c>
      <c r="W74" s="135">
        <v>0</v>
      </c>
      <c r="X74" s="135">
        <v>0</v>
      </c>
      <c r="Y74" s="135">
        <v>0</v>
      </c>
      <c r="Z74" s="135">
        <v>0</v>
      </c>
    </row>
    <row r="75" spans="2:26" ht="15" thickBot="1" x14ac:dyDescent="0.35">
      <c r="B75" s="254" t="s">
        <v>426</v>
      </c>
      <c r="P75" s="132" t="s">
        <v>271</v>
      </c>
      <c r="Q75" s="135">
        <v>30119</v>
      </c>
      <c r="R75" s="135">
        <v>33964</v>
      </c>
      <c r="S75" s="135">
        <v>24075</v>
      </c>
      <c r="T75" s="135">
        <v>25780</v>
      </c>
      <c r="U75" s="135">
        <v>28229</v>
      </c>
      <c r="V75" s="135">
        <v>12068</v>
      </c>
      <c r="W75" s="135">
        <v>13574</v>
      </c>
      <c r="X75" s="135">
        <v>14992</v>
      </c>
      <c r="Y75" s="135">
        <v>17239</v>
      </c>
      <c r="Z75" s="135">
        <v>18702</v>
      </c>
    </row>
    <row r="76" spans="2:26" x14ac:dyDescent="0.3">
      <c r="K76" s="248" t="s">
        <v>272</v>
      </c>
      <c r="L76" s="249">
        <v>2350</v>
      </c>
      <c r="M76" s="249">
        <v>4807</v>
      </c>
      <c r="N76" s="249">
        <v>4355</v>
      </c>
      <c r="O76" s="249">
        <v>4388</v>
      </c>
      <c r="P76" s="135">
        <v>4440</v>
      </c>
      <c r="Q76" s="135">
        <v>4457</v>
      </c>
      <c r="R76" s="135">
        <v>4366</v>
      </c>
      <c r="S76" s="135">
        <v>4422</v>
      </c>
      <c r="T76" s="135">
        <v>4399</v>
      </c>
      <c r="U76" s="135">
        <v>4413</v>
      </c>
    </row>
    <row r="77" spans="2:26" x14ac:dyDescent="0.3">
      <c r="P77" s="132" t="s">
        <v>273</v>
      </c>
      <c r="Q77" s="135">
        <v>27769</v>
      </c>
      <c r="R77" s="135">
        <v>29157</v>
      </c>
      <c r="S77" s="135">
        <v>19720</v>
      </c>
      <c r="T77" s="135">
        <v>21392</v>
      </c>
      <c r="U77" s="135">
        <v>23789</v>
      </c>
      <c r="V77" s="135">
        <v>7611</v>
      </c>
      <c r="W77" s="135">
        <v>9208</v>
      </c>
      <c r="X77" s="135">
        <v>10570</v>
      </c>
      <c r="Y77" s="135">
        <v>12840</v>
      </c>
      <c r="Z77" s="135">
        <v>14289</v>
      </c>
    </row>
    <row r="78" spans="2:26" x14ac:dyDescent="0.3">
      <c r="P78" s="132" t="s">
        <v>274</v>
      </c>
      <c r="Q78" s="135">
        <v>0</v>
      </c>
      <c r="R78" s="135">
        <v>0</v>
      </c>
      <c r="S78" s="135">
        <v>0</v>
      </c>
      <c r="T78" s="135">
        <v>0</v>
      </c>
      <c r="U78" s="135">
        <v>0</v>
      </c>
      <c r="V78" s="135">
        <v>0</v>
      </c>
      <c r="W78" s="135">
        <v>0</v>
      </c>
      <c r="X78" s="135">
        <v>0</v>
      </c>
      <c r="Y78" s="135">
        <v>0</v>
      </c>
      <c r="Z78" s="135">
        <v>0</v>
      </c>
    </row>
    <row r="79" spans="2:26" x14ac:dyDescent="0.3">
      <c r="P79" s="132" t="s">
        <v>275</v>
      </c>
      <c r="Q79" s="135">
        <v>49400</v>
      </c>
      <c r="R79" s="135">
        <v>72945</v>
      </c>
      <c r="S79" s="135">
        <v>112871</v>
      </c>
      <c r="T79" s="135">
        <v>128439</v>
      </c>
      <c r="U79" s="135">
        <v>153923</v>
      </c>
      <c r="V79" s="135">
        <v>176196</v>
      </c>
      <c r="W79" s="135">
        <v>185009</v>
      </c>
      <c r="X79" s="135">
        <v>203271</v>
      </c>
      <c r="Y79" s="135">
        <v>225609</v>
      </c>
      <c r="Z79" s="135">
        <v>239049</v>
      </c>
    </row>
    <row r="80" spans="2:26" x14ac:dyDescent="0.3">
      <c r="P80" s="132" t="s">
        <v>276</v>
      </c>
      <c r="Q80" s="135">
        <v>12301</v>
      </c>
      <c r="R80" s="135">
        <v>15580</v>
      </c>
      <c r="S80" s="135">
        <v>8963</v>
      </c>
      <c r="T80" s="135">
        <v>10153</v>
      </c>
      <c r="U80" s="135">
        <v>6276</v>
      </c>
      <c r="V80" s="135">
        <v>14579</v>
      </c>
      <c r="W80" s="135">
        <v>19548</v>
      </c>
      <c r="X80" s="135">
        <v>30387</v>
      </c>
      <c r="Y80" s="135">
        <v>26009</v>
      </c>
      <c r="Z80" s="135">
        <v>21494</v>
      </c>
    </row>
    <row r="81" spans="16:26" x14ac:dyDescent="0.3">
      <c r="P81" s="129" t="s">
        <v>277</v>
      </c>
      <c r="Q81" s="141">
        <v>91820</v>
      </c>
      <c r="R81" s="141">
        <v>122489</v>
      </c>
      <c r="S81" s="141">
        <v>145909</v>
      </c>
      <c r="T81" s="141">
        <v>164372</v>
      </c>
      <c r="U81" s="141">
        <v>188428</v>
      </c>
      <c r="V81" s="141">
        <v>202843</v>
      </c>
      <c r="W81" s="141">
        <v>218131</v>
      </c>
      <c r="X81" s="141">
        <v>248650</v>
      </c>
      <c r="Y81" s="141">
        <v>268857</v>
      </c>
      <c r="Z81" s="141">
        <v>279245</v>
      </c>
    </row>
    <row r="82" spans="16:26" x14ac:dyDescent="0.3">
      <c r="P82" s="132" t="s">
        <v>278</v>
      </c>
      <c r="Q82" s="135">
        <v>1438</v>
      </c>
      <c r="R82" s="135">
        <v>1601</v>
      </c>
      <c r="S82" s="135">
        <v>1927</v>
      </c>
      <c r="T82" s="135">
        <v>4641</v>
      </c>
      <c r="U82" s="135">
        <v>5091</v>
      </c>
      <c r="V82" s="135">
        <v>4778</v>
      </c>
      <c r="W82" s="135">
        <v>3933</v>
      </c>
      <c r="X82" s="135">
        <v>3795</v>
      </c>
      <c r="Y82" s="135">
        <v>4954</v>
      </c>
      <c r="Z82" s="135">
        <v>4702</v>
      </c>
    </row>
    <row r="83" spans="16:26" x14ac:dyDescent="0.3">
      <c r="P83" s="129" t="s">
        <v>279</v>
      </c>
      <c r="Q83" s="141">
        <v>93258</v>
      </c>
      <c r="R83" s="141">
        <v>124090</v>
      </c>
      <c r="S83" s="141">
        <v>147836</v>
      </c>
      <c r="T83" s="141">
        <v>169013</v>
      </c>
      <c r="U83" s="141">
        <v>193519</v>
      </c>
      <c r="V83" s="141">
        <v>207621</v>
      </c>
      <c r="W83" s="141">
        <v>222064</v>
      </c>
      <c r="X83" s="141">
        <v>252445</v>
      </c>
      <c r="Y83" s="141">
        <v>273811</v>
      </c>
      <c r="Z83" s="141">
        <v>283947</v>
      </c>
    </row>
    <row r="84" spans="16:26" x14ac:dyDescent="0.3">
      <c r="P84" s="129" t="s">
        <v>280</v>
      </c>
      <c r="Q84" s="141">
        <v>159382</v>
      </c>
      <c r="R84" s="141">
        <v>198481</v>
      </c>
      <c r="S84" s="141">
        <v>225247</v>
      </c>
      <c r="T84" s="141">
        <v>260665</v>
      </c>
      <c r="U84" s="141">
        <v>304372</v>
      </c>
      <c r="V84" s="141">
        <v>334469</v>
      </c>
      <c r="W84" s="141">
        <v>373535</v>
      </c>
      <c r="X84" s="141">
        <v>396780</v>
      </c>
      <c r="Y84" s="141">
        <v>448707</v>
      </c>
      <c r="Z84" s="141">
        <v>461533</v>
      </c>
    </row>
    <row r="85" spans="16:26" x14ac:dyDescent="0.3">
      <c r="P85" s="129"/>
      <c r="Q85" s="140"/>
      <c r="R85" s="140"/>
      <c r="S85" s="140"/>
      <c r="T85" s="140"/>
      <c r="U85" s="140"/>
      <c r="V85" s="140"/>
      <c r="W85" s="140"/>
      <c r="X85" s="140"/>
      <c r="Y85" s="140"/>
      <c r="Z85" s="140"/>
    </row>
    <row r="86" spans="16:26" x14ac:dyDescent="0.3">
      <c r="P86" s="129" t="s">
        <v>133</v>
      </c>
      <c r="Q86" s="140"/>
      <c r="R86" s="140"/>
      <c r="S86" s="140"/>
      <c r="T86" s="140"/>
      <c r="U86" s="140"/>
      <c r="V86" s="140"/>
      <c r="W86" s="140"/>
      <c r="X86" s="140"/>
      <c r="Y86" s="140"/>
      <c r="Z86" s="140"/>
    </row>
    <row r="87" spans="16:26" x14ac:dyDescent="0.3">
      <c r="P87" s="132" t="s">
        <v>134</v>
      </c>
      <c r="Q87" s="134" t="s">
        <v>135</v>
      </c>
      <c r="R87" s="134" t="s">
        <v>135</v>
      </c>
      <c r="S87" s="134" t="s">
        <v>135</v>
      </c>
      <c r="T87" s="134" t="s">
        <v>135</v>
      </c>
      <c r="U87" s="134" t="s">
        <v>135</v>
      </c>
      <c r="V87" s="134" t="s">
        <v>135</v>
      </c>
      <c r="W87" s="134" t="s">
        <v>135</v>
      </c>
      <c r="X87" s="134" t="s">
        <v>135</v>
      </c>
      <c r="Y87" s="134" t="s">
        <v>135</v>
      </c>
      <c r="Z87" s="134" t="s">
        <v>135</v>
      </c>
    </row>
    <row r="88" spans="16:26" x14ac:dyDescent="0.3">
      <c r="P88" s="132" t="s">
        <v>281</v>
      </c>
      <c r="Q88" s="135">
        <v>933.89149999999995</v>
      </c>
      <c r="R88" s="135">
        <v>960.78890000000001</v>
      </c>
      <c r="S88" s="135">
        <v>871.09690000000001</v>
      </c>
      <c r="T88" s="135">
        <v>877.53930000000003</v>
      </c>
      <c r="U88" s="135">
        <v>883.31859999999995</v>
      </c>
      <c r="V88" s="135">
        <v>887.26859999999999</v>
      </c>
      <c r="W88" s="135">
        <v>871.54719999999998</v>
      </c>
      <c r="X88" s="135">
        <v>873.95939999999996</v>
      </c>
      <c r="Y88" s="135">
        <v>877.59789999999998</v>
      </c>
      <c r="Z88" s="135">
        <v>879.91179999999997</v>
      </c>
    </row>
    <row r="89" spans="16:26" x14ac:dyDescent="0.3">
      <c r="P89" s="132" t="s">
        <v>282</v>
      </c>
      <c r="Q89" s="135">
        <v>0</v>
      </c>
      <c r="R89" s="135">
        <v>0</v>
      </c>
      <c r="S89" s="135">
        <v>0</v>
      </c>
      <c r="T89" s="135">
        <v>0</v>
      </c>
      <c r="U89" s="135">
        <v>0</v>
      </c>
      <c r="V89" s="135">
        <v>0</v>
      </c>
      <c r="W89" s="135">
        <v>0</v>
      </c>
      <c r="X89" s="135">
        <v>0</v>
      </c>
      <c r="Y89" s="135">
        <v>0</v>
      </c>
      <c r="Z89" s="135">
        <v>0</v>
      </c>
    </row>
    <row r="90" spans="16:26" x14ac:dyDescent="0.3">
      <c r="P90" s="132" t="s">
        <v>283</v>
      </c>
      <c r="Q90" s="135">
        <v>0</v>
      </c>
      <c r="R90" s="135">
        <v>0</v>
      </c>
      <c r="S90" s="135">
        <v>2396</v>
      </c>
      <c r="T90" s="135">
        <v>2848</v>
      </c>
      <c r="U90" s="135">
        <v>2977</v>
      </c>
      <c r="V90" s="135">
        <v>3342</v>
      </c>
      <c r="W90" s="135">
        <v>4028</v>
      </c>
      <c r="X90" s="135">
        <v>4336</v>
      </c>
      <c r="Y90" s="135">
        <v>5423</v>
      </c>
      <c r="Z90" s="135">
        <v>5288</v>
      </c>
    </row>
    <row r="91" spans="16:26" x14ac:dyDescent="0.3">
      <c r="P91" s="132" t="s">
        <v>284</v>
      </c>
      <c r="Q91" s="135">
        <v>3120</v>
      </c>
      <c r="R91" s="135">
        <v>6015</v>
      </c>
      <c r="S91" s="135">
        <v>5951</v>
      </c>
      <c r="T91" s="135">
        <v>5358</v>
      </c>
      <c r="U91" s="135">
        <v>8420</v>
      </c>
      <c r="V91" s="135">
        <v>7971</v>
      </c>
      <c r="W91" s="135" t="s">
        <v>44</v>
      </c>
      <c r="X91" s="135" t="s">
        <v>44</v>
      </c>
      <c r="Y91" s="135" t="s">
        <v>44</v>
      </c>
      <c r="Z91" s="135" t="s">
        <v>44</v>
      </c>
    </row>
    <row r="92" spans="16:26" x14ac:dyDescent="0.3">
      <c r="P92" s="132" t="s">
        <v>285</v>
      </c>
      <c r="Q92" s="135">
        <v>92</v>
      </c>
      <c r="R92" s="135">
        <v>275</v>
      </c>
      <c r="S92" s="135">
        <v>2621</v>
      </c>
      <c r="T92" s="135">
        <v>3127</v>
      </c>
      <c r="U92" s="135">
        <v>3038</v>
      </c>
      <c r="V92" s="135">
        <v>541</v>
      </c>
      <c r="W92" s="135" t="s">
        <v>44</v>
      </c>
      <c r="X92" s="135" t="s">
        <v>44</v>
      </c>
      <c r="Y92" s="135" t="s">
        <v>44</v>
      </c>
      <c r="Z92" s="135" t="s">
        <v>44</v>
      </c>
    </row>
    <row r="93" spans="16:26" x14ac:dyDescent="0.3">
      <c r="P93" s="132" t="s">
        <v>286</v>
      </c>
      <c r="Q93" s="136">
        <v>40.213999999999999</v>
      </c>
      <c r="R93" s="136">
        <v>35.79</v>
      </c>
      <c r="S93" s="136">
        <v>26.01</v>
      </c>
      <c r="T93" s="136">
        <v>37.65</v>
      </c>
      <c r="U93" s="136">
        <v>39.9</v>
      </c>
      <c r="V93" s="136">
        <v>39.659999999999997</v>
      </c>
      <c r="W93" s="136">
        <v>40.551000000000002</v>
      </c>
      <c r="X93" s="136">
        <v>39.18</v>
      </c>
      <c r="Y93" s="136">
        <v>35.21</v>
      </c>
      <c r="Z93" s="136">
        <v>27.9</v>
      </c>
    </row>
    <row r="94" spans="16:26" x14ac:dyDescent="0.3">
      <c r="P94" s="132" t="s">
        <v>287</v>
      </c>
      <c r="Q94" s="136">
        <v>501775</v>
      </c>
      <c r="R94" s="136">
        <v>484776</v>
      </c>
      <c r="S94" s="136">
        <v>527603</v>
      </c>
      <c r="T94" s="136">
        <v>506079</v>
      </c>
      <c r="U94" s="136">
        <v>442581</v>
      </c>
      <c r="V94" s="136">
        <v>498714</v>
      </c>
      <c r="W94" s="136">
        <v>470489</v>
      </c>
      <c r="X94" s="136">
        <v>547051</v>
      </c>
      <c r="Y94" s="136">
        <v>754989</v>
      </c>
      <c r="Z94" s="136">
        <v>967440</v>
      </c>
    </row>
    <row r="95" spans="16:26" x14ac:dyDescent="0.3">
      <c r="P95" s="132" t="s">
        <v>288</v>
      </c>
      <c r="Q95" s="135">
        <v>1.4854000000000001</v>
      </c>
      <c r="R95" s="135">
        <v>1.5869</v>
      </c>
      <c r="S95" s="135">
        <v>6.2497999999999996</v>
      </c>
      <c r="T95" s="135">
        <v>0.83799999999999997</v>
      </c>
      <c r="U95" s="135">
        <v>5.1384999999999996</v>
      </c>
      <c r="V95" s="135">
        <v>2.4430000000000001</v>
      </c>
      <c r="W95" s="135">
        <v>3.1111</v>
      </c>
      <c r="X95" s="135">
        <v>1.4355</v>
      </c>
      <c r="Y95" s="135">
        <v>1.1509</v>
      </c>
      <c r="Z95" s="135">
        <v>0.36909999999999998</v>
      </c>
    </row>
    <row r="96" spans="16:26" x14ac:dyDescent="0.3">
      <c r="P96" s="132" t="s">
        <v>289</v>
      </c>
      <c r="Q96" s="135">
        <v>19.3247</v>
      </c>
      <c r="R96" s="135">
        <v>30.543700000000001</v>
      </c>
      <c r="S96" s="135">
        <v>28.0731</v>
      </c>
      <c r="T96" s="135">
        <v>20.9498</v>
      </c>
      <c r="U96" s="135">
        <v>18.403300000000002</v>
      </c>
      <c r="V96" s="135">
        <v>15.917199999999999</v>
      </c>
      <c r="W96" s="135">
        <v>15.1304</v>
      </c>
      <c r="X96" s="135">
        <v>13.2311</v>
      </c>
      <c r="Y96" s="135">
        <v>9.5168999999999997</v>
      </c>
      <c r="Z96" s="135">
        <v>6.8456999999999999</v>
      </c>
    </row>
    <row r="97" spans="16:26" x14ac:dyDescent="0.3">
      <c r="P97" s="132" t="s">
        <v>290</v>
      </c>
      <c r="Q97" s="135">
        <v>-32043</v>
      </c>
      <c r="R97" s="135">
        <v>-25089</v>
      </c>
      <c r="S97" s="135">
        <v>-40476</v>
      </c>
      <c r="T97" s="135">
        <v>-40101</v>
      </c>
      <c r="U97" s="135">
        <v>-40464</v>
      </c>
      <c r="V97" s="135">
        <v>-66824</v>
      </c>
      <c r="W97" s="135">
        <v>-50157</v>
      </c>
      <c r="X97" s="135">
        <v>-95151</v>
      </c>
      <c r="Y97" s="135">
        <v>-56713</v>
      </c>
      <c r="Z97" s="135">
        <v>-41705</v>
      </c>
    </row>
    <row r="98" spans="16:26" x14ac:dyDescent="0.3">
      <c r="P98" s="132" t="s">
        <v>291</v>
      </c>
      <c r="Q98" s="136">
        <v>-34.359499999999997</v>
      </c>
      <c r="R98" s="136">
        <v>-20.218399999999999</v>
      </c>
      <c r="S98" s="136">
        <v>-27.379000000000001</v>
      </c>
      <c r="T98" s="136">
        <v>-23.726600000000001</v>
      </c>
      <c r="U98" s="136">
        <v>-20.909600000000001</v>
      </c>
      <c r="V98" s="136">
        <v>-32.185600000000001</v>
      </c>
      <c r="W98" s="136">
        <v>-22.5867</v>
      </c>
      <c r="X98" s="136">
        <v>-37.691800000000001</v>
      </c>
      <c r="Y98" s="136">
        <v>-20.712499999999999</v>
      </c>
      <c r="Z98" s="136">
        <v>-14.6876</v>
      </c>
    </row>
    <row r="99" spans="16:26" x14ac:dyDescent="0.3">
      <c r="P99" s="132" t="s">
        <v>292</v>
      </c>
      <c r="Q99" s="136">
        <v>55.812100000000001</v>
      </c>
      <c r="R99" s="136">
        <v>57.828099999999999</v>
      </c>
      <c r="S99" s="136">
        <v>61.476900000000001</v>
      </c>
      <c r="T99" s="136">
        <v>57.727699999999999</v>
      </c>
      <c r="U99" s="136">
        <v>55.382800000000003</v>
      </c>
      <c r="V99" s="136">
        <v>54.890799999999999</v>
      </c>
      <c r="W99" s="136">
        <v>52.124200000000002</v>
      </c>
      <c r="X99" s="136">
        <v>56.711199999999998</v>
      </c>
      <c r="Y99" s="136">
        <v>46.7684</v>
      </c>
      <c r="Z99" s="136">
        <v>48.242899999999999</v>
      </c>
    </row>
    <row r="100" spans="16:26" x14ac:dyDescent="0.3">
      <c r="P100" s="132" t="s">
        <v>293</v>
      </c>
      <c r="Q100" s="136">
        <v>1.8163</v>
      </c>
      <c r="R100" s="136">
        <v>1.7658</v>
      </c>
      <c r="S100" s="136">
        <v>2.1825999999999999</v>
      </c>
      <c r="T100" s="136">
        <v>2.1417000000000002</v>
      </c>
      <c r="U100" s="136">
        <v>1.9795</v>
      </c>
      <c r="V100" s="136">
        <v>1.8653</v>
      </c>
      <c r="W100" s="136">
        <v>1.9061999999999999</v>
      </c>
      <c r="X100" s="136">
        <v>2.1945999999999999</v>
      </c>
      <c r="Y100" s="136">
        <v>1.7805</v>
      </c>
      <c r="Z100" s="136">
        <v>1.6791</v>
      </c>
    </row>
    <row r="101" spans="16:26" x14ac:dyDescent="0.3">
      <c r="P101" s="132" t="s">
        <v>294</v>
      </c>
      <c r="Q101" s="136" t="s">
        <v>44</v>
      </c>
      <c r="R101" s="136" t="s">
        <v>44</v>
      </c>
      <c r="S101" s="136" t="s">
        <v>44</v>
      </c>
      <c r="T101" s="136">
        <v>39.2211</v>
      </c>
      <c r="U101" s="136">
        <v>38.702500000000001</v>
      </c>
      <c r="V101" s="136">
        <v>36.441699999999997</v>
      </c>
      <c r="W101" s="136">
        <v>32.389499999999998</v>
      </c>
      <c r="X101" s="136">
        <v>25.495200000000001</v>
      </c>
      <c r="Y101" s="136">
        <v>16.848800000000001</v>
      </c>
      <c r="Z101" s="136">
        <v>13.1523</v>
      </c>
    </row>
    <row r="102" spans="16:26" x14ac:dyDescent="0.3">
      <c r="P102" s="132" t="s">
        <v>295</v>
      </c>
      <c r="Q102" s="136">
        <v>89441</v>
      </c>
      <c r="R102" s="136">
        <v>103281</v>
      </c>
      <c r="S102" s="136">
        <v>105432</v>
      </c>
      <c r="T102" s="136">
        <v>117693</v>
      </c>
      <c r="U102" s="136">
        <v>78304</v>
      </c>
      <c r="V102" s="136">
        <v>87080</v>
      </c>
      <c r="W102" s="136">
        <v>88802</v>
      </c>
      <c r="X102" s="136">
        <v>80641</v>
      </c>
      <c r="Y102" s="136">
        <v>104583</v>
      </c>
      <c r="Z102" s="136">
        <v>152400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6"/>
  <sheetViews>
    <sheetView showGridLines="0" zoomScaleNormal="100" workbookViewId="0">
      <selection activeCell="S7" sqref="S7"/>
    </sheetView>
  </sheetViews>
  <sheetFormatPr defaultRowHeight="14.4" x14ac:dyDescent="0.3"/>
  <cols>
    <col min="2" max="2" width="26.33203125" bestFit="1" customWidth="1"/>
  </cols>
  <sheetData>
    <row r="2" spans="2:11" ht="15" thickBot="1" x14ac:dyDescent="0.35"/>
    <row r="3" spans="2:11" ht="18.600000000000001" thickBot="1" x14ac:dyDescent="0.4">
      <c r="B3" s="255" t="s">
        <v>296</v>
      </c>
    </row>
    <row r="5" spans="2:11" x14ac:dyDescent="0.3">
      <c r="B5" s="119" t="s">
        <v>297</v>
      </c>
      <c r="C5" s="258"/>
      <c r="D5" s="226" t="s">
        <v>110</v>
      </c>
      <c r="E5" s="226" t="s">
        <v>111</v>
      </c>
      <c r="F5" s="226" t="s">
        <v>112</v>
      </c>
      <c r="G5" s="226" t="s">
        <v>113</v>
      </c>
      <c r="H5" s="226" t="s">
        <v>114</v>
      </c>
      <c r="I5" s="226" t="s">
        <v>25</v>
      </c>
      <c r="J5" s="226" t="s">
        <v>26</v>
      </c>
      <c r="K5" s="226" t="s">
        <v>27</v>
      </c>
    </row>
    <row r="6" spans="2:11" x14ac:dyDescent="0.3">
      <c r="B6" s="256"/>
      <c r="D6" s="238"/>
      <c r="E6" s="109"/>
      <c r="F6" s="109"/>
      <c r="G6" s="109"/>
      <c r="H6" s="109"/>
      <c r="I6" s="109"/>
      <c r="J6" s="109"/>
      <c r="K6" s="109"/>
    </row>
    <row r="7" spans="2:11" x14ac:dyDescent="0.3">
      <c r="B7" s="256" t="s">
        <v>298</v>
      </c>
      <c r="D7" s="257">
        <f>'TECH M Income Statement'!C65</f>
        <v>177103.50275999826</v>
      </c>
      <c r="E7" s="225">
        <f>'TECH M Income Statement'!D65</f>
        <v>149139.04337206885</v>
      </c>
      <c r="F7" s="225">
        <f>'TECH M Income Statement'!E65</f>
        <v>125570.2608433228</v>
      </c>
      <c r="G7" s="225">
        <f>'TECH M Income Statement'!F65</f>
        <v>105706.20761127304</v>
      </c>
      <c r="H7" s="225">
        <f>'TECH M Income Statement'!G65</f>
        <v>90393.151523740584</v>
      </c>
      <c r="I7" s="225">
        <v>48313</v>
      </c>
      <c r="J7" s="225">
        <v>55661</v>
      </c>
      <c r="K7" s="225">
        <v>44279.999999999985</v>
      </c>
    </row>
    <row r="8" spans="2:11" x14ac:dyDescent="0.3">
      <c r="B8" s="256" t="s">
        <v>299</v>
      </c>
      <c r="D8" s="257">
        <v>40287.724663497589</v>
      </c>
      <c r="E8" s="225">
        <v>33954.978639130393</v>
      </c>
      <c r="F8" s="225">
        <v>28617.66416479745</v>
      </c>
      <c r="G8" s="225">
        <v>24119.311366767703</v>
      </c>
      <c r="H8" s="225">
        <v>18560.92380028675</v>
      </c>
      <c r="I8" s="225">
        <v>19567</v>
      </c>
      <c r="J8" s="225">
        <v>15204</v>
      </c>
      <c r="K8" s="225">
        <v>14577</v>
      </c>
    </row>
    <row r="9" spans="2:11" x14ac:dyDescent="0.3">
      <c r="B9" s="256" t="s">
        <v>300</v>
      </c>
      <c r="D9" s="257">
        <f>'TECH M Income Statement'!C59*(1-'TECH M Income Statement'!$H$49)</f>
        <v>801.0643660834387</v>
      </c>
      <c r="E9" s="225">
        <f>'TECH M Income Statement'!D59*(1-'TECH M Income Statement'!$H$49)</f>
        <v>801.0643660834387</v>
      </c>
      <c r="F9" s="225">
        <f>'TECH M Income Statement'!E59*(1-'TECH M Income Statement'!$H$49)</f>
        <v>801.0643660834387</v>
      </c>
      <c r="G9" s="225">
        <f>'TECH M Income Statement'!F59*(1-'TECH M Income Statement'!$H$49)</f>
        <v>801.0643660834387</v>
      </c>
      <c r="H9" s="225">
        <f>'TECH M Income Statement'!G59*(1-'TECH M Income Statement'!$H$49)</f>
        <v>747.54364891985381</v>
      </c>
      <c r="I9" s="225">
        <f>'TECH M Income Statement'!D25*(1-'TECH M Income Statement'!$H$49)</f>
        <v>1438.021460408796</v>
      </c>
      <c r="J9" s="225">
        <f>'TECH M Income Statement'!E25*(1-'TECH M Income Statement'!$H$49)</f>
        <v>394.52212144332225</v>
      </c>
      <c r="K9" s="225">
        <f>'TECH M Income Statement'!F25*(1-'TECH M Income Statement'!$H$49)</f>
        <v>-1391.3324519539649</v>
      </c>
    </row>
    <row r="10" spans="2:11" x14ac:dyDescent="0.3">
      <c r="B10" s="256" t="s">
        <v>240</v>
      </c>
      <c r="D10" s="257">
        <v>45223.84296798252</v>
      </c>
      <c r="E10" s="225">
        <v>38115.19848249291</v>
      </c>
      <c r="F10" s="225">
        <v>32123.947458166163</v>
      </c>
      <c r="G10" s="225">
        <v>27074.449074927834</v>
      </c>
      <c r="H10" s="225">
        <v>52557.041868102824</v>
      </c>
      <c r="I10" s="225">
        <v>-8224</v>
      </c>
      <c r="J10" s="225">
        <v>-30383</v>
      </c>
      <c r="K10" s="225"/>
    </row>
    <row r="11" spans="2:11" x14ac:dyDescent="0.3">
      <c r="B11" s="119" t="s">
        <v>301</v>
      </c>
      <c r="C11" s="259"/>
      <c r="D11" s="225">
        <f>'TECH M Balance Sheet'!C70-'TECH M Balance Sheet'!D70+'TECH M Income Statement'!C58</f>
        <v>90166.788510652608</v>
      </c>
      <c r="E11" s="225">
        <f>'TECH M Balance Sheet'!D70-'TECH M Balance Sheet'!E70+'TECH M Income Statement'!D58</f>
        <v>75993.653238306346</v>
      </c>
      <c r="F11" s="225">
        <f>'TECH M Balance Sheet'!E70-'TECH M Balance Sheet'!F70+'TECH M Income Statement'!E58</f>
        <v>64048.364457625823</v>
      </c>
      <c r="G11" s="225">
        <f>'TECH M Balance Sheet'!F70-'TECH M Balance Sheet'!G70+'TECH M Income Statement'!F58</f>
        <v>53980.731480731883</v>
      </c>
      <c r="H11" s="225">
        <f>'TECH M Balance Sheet'!G70-'TECH M Balance Sheet'!H70+'TECH M Income Statement'!G58</f>
        <v>55459.173833414796</v>
      </c>
      <c r="I11" s="225">
        <f>'TECH M Balance Sheet'!D30-'TECH M Balance Sheet'!E30+'TECH M Income Statement'!D21</f>
        <v>30457</v>
      </c>
      <c r="J11" s="225">
        <f>'TECH M Balance Sheet'!E30-'TECH M Balance Sheet'!F30+'TECH M Income Statement'!E21</f>
        <v>20814</v>
      </c>
      <c r="K11" s="225"/>
    </row>
    <row r="12" spans="2:11" ht="15" thickBot="1" x14ac:dyDescent="0.35"/>
    <row r="13" spans="2:11" ht="15" thickBot="1" x14ac:dyDescent="0.35">
      <c r="B13" s="110" t="s">
        <v>302</v>
      </c>
      <c r="C13" s="111"/>
      <c r="D13" s="111">
        <f>D7+D8+D9-D10-D11</f>
        <v>82801.660310944164</v>
      </c>
      <c r="E13" s="111">
        <f t="shared" ref="E13:J13" si="0">E7+E8+E9-E10-E11</f>
        <v>69786.23465648343</v>
      </c>
      <c r="F13" s="111">
        <f t="shared" si="0"/>
        <v>58816.677458411708</v>
      </c>
      <c r="G13" s="111">
        <f t="shared" si="0"/>
        <v>49571.402788464467</v>
      </c>
      <c r="H13" s="111">
        <f t="shared" si="0"/>
        <v>1685.4032714295608</v>
      </c>
      <c r="I13" s="111">
        <f t="shared" si="0"/>
        <v>47085.021460408796</v>
      </c>
      <c r="J13" s="112">
        <f t="shared" si="0"/>
        <v>80828.522121443326</v>
      </c>
    </row>
    <row r="15" spans="2:11" ht="15" thickBot="1" x14ac:dyDescent="0.35"/>
    <row r="16" spans="2:11" ht="18.600000000000001" thickBot="1" x14ac:dyDescent="0.4">
      <c r="B16" s="255" t="s">
        <v>303</v>
      </c>
    </row>
    <row r="18" spans="2:11" x14ac:dyDescent="0.3">
      <c r="B18" s="119" t="s">
        <v>297</v>
      </c>
      <c r="C18" s="258"/>
      <c r="D18" s="226" t="s">
        <v>110</v>
      </c>
      <c r="E18" s="226" t="s">
        <v>111</v>
      </c>
      <c r="F18" s="226" t="s">
        <v>112</v>
      </c>
      <c r="G18" s="226" t="s">
        <v>113</v>
      </c>
      <c r="H18" s="226" t="s">
        <v>114</v>
      </c>
      <c r="I18" s="226" t="s">
        <v>25</v>
      </c>
      <c r="J18" s="226" t="s">
        <v>26</v>
      </c>
      <c r="K18" s="226" t="s">
        <v>27</v>
      </c>
    </row>
    <row r="19" spans="2:11" x14ac:dyDescent="0.3">
      <c r="B19" s="256"/>
      <c r="D19" s="238"/>
      <c r="E19" s="109"/>
      <c r="F19" s="109"/>
      <c r="G19" s="109"/>
      <c r="H19" s="109"/>
      <c r="I19" s="109"/>
      <c r="J19" s="109"/>
      <c r="K19" s="109"/>
    </row>
    <row r="20" spans="2:11" x14ac:dyDescent="0.3">
      <c r="B20" s="256" t="s">
        <v>298</v>
      </c>
      <c r="D20" s="257">
        <f>D7</f>
        <v>177103.50275999826</v>
      </c>
      <c r="E20" s="225">
        <f t="shared" ref="E20:H20" si="1">E7</f>
        <v>149139.04337206885</v>
      </c>
      <c r="F20" s="225">
        <f t="shared" si="1"/>
        <v>125570.2608433228</v>
      </c>
      <c r="G20" s="225">
        <f t="shared" si="1"/>
        <v>105706.20761127304</v>
      </c>
      <c r="H20" s="225">
        <f t="shared" si="1"/>
        <v>90393.151523740584</v>
      </c>
      <c r="I20" s="225">
        <v>36457</v>
      </c>
      <c r="J20" s="225">
        <v>36955</v>
      </c>
      <c r="K20" s="225">
        <v>10532</v>
      </c>
    </row>
    <row r="21" spans="2:11" x14ac:dyDescent="0.3">
      <c r="B21" s="256" t="s">
        <v>299</v>
      </c>
      <c r="D21" s="257">
        <v>40287.724663497589</v>
      </c>
      <c r="E21" s="225">
        <v>33954.978639130393</v>
      </c>
      <c r="F21" s="225">
        <v>28617.66416479745</v>
      </c>
      <c r="G21" s="225">
        <v>24119.311366767703</v>
      </c>
      <c r="H21" s="225">
        <v>18560.92380028675</v>
      </c>
      <c r="I21" s="225">
        <v>19567</v>
      </c>
      <c r="J21" s="225">
        <v>15204</v>
      </c>
      <c r="K21" s="225">
        <v>14577</v>
      </c>
    </row>
    <row r="22" spans="2:11" x14ac:dyDescent="0.3">
      <c r="B22" s="256" t="s">
        <v>240</v>
      </c>
      <c r="D22" s="257">
        <v>45223.84296798252</v>
      </c>
      <c r="E22" s="225">
        <v>38115.19848249291</v>
      </c>
      <c r="F22" s="225">
        <v>32123.947458166163</v>
      </c>
      <c r="G22" s="225">
        <v>27074.449074927834</v>
      </c>
      <c r="H22" s="225">
        <v>52557.041868102824</v>
      </c>
      <c r="I22" s="225">
        <v>-8224</v>
      </c>
      <c r="J22" s="225">
        <v>-30383</v>
      </c>
      <c r="K22" s="225"/>
    </row>
    <row r="23" spans="2:11" x14ac:dyDescent="0.3">
      <c r="B23" s="256" t="s">
        <v>301</v>
      </c>
      <c r="D23" s="257">
        <v>90166.788510652608</v>
      </c>
      <c r="E23" s="225">
        <v>75993.653238306346</v>
      </c>
      <c r="F23" s="225">
        <v>64048.364457625823</v>
      </c>
      <c r="G23" s="225">
        <v>53980.731480731883</v>
      </c>
      <c r="H23" s="225">
        <v>55459.173833414796</v>
      </c>
      <c r="I23" s="225">
        <v>30457</v>
      </c>
      <c r="J23" s="225">
        <v>20814</v>
      </c>
      <c r="K23" s="225"/>
    </row>
    <row r="24" spans="2:11" x14ac:dyDescent="0.3">
      <c r="B24" s="119" t="s">
        <v>304</v>
      </c>
      <c r="C24" s="259"/>
      <c r="D24" s="225">
        <v>29113.287191635667</v>
      </c>
      <c r="E24" s="225">
        <v>29113.287191635667</v>
      </c>
      <c r="F24" s="225">
        <v>29113.287191635667</v>
      </c>
      <c r="G24" s="225">
        <v>29113.287191635667</v>
      </c>
      <c r="H24" s="225">
        <v>29113.287191635667</v>
      </c>
      <c r="I24" s="225">
        <v>9191</v>
      </c>
      <c r="J24" s="225">
        <v>8620</v>
      </c>
      <c r="K24" s="225">
        <v>9735</v>
      </c>
    </row>
    <row r="25" spans="2:11" ht="15" thickBot="1" x14ac:dyDescent="0.35"/>
    <row r="26" spans="2:11" ht="15" thickBot="1" x14ac:dyDescent="0.35">
      <c r="B26" s="110" t="s">
        <v>305</v>
      </c>
      <c r="C26" s="111"/>
      <c r="D26" s="111">
        <f>D20+D21-D22-D23+D24</f>
        <v>111113.88313649638</v>
      </c>
      <c r="E26" s="111">
        <f t="shared" ref="E26:J26" si="2">E20+E21-E22-E23+E24</f>
        <v>98098.45748203565</v>
      </c>
      <c r="F26" s="111">
        <f t="shared" si="2"/>
        <v>87128.900283963929</v>
      </c>
      <c r="G26" s="111">
        <f t="shared" si="2"/>
        <v>77883.625614016695</v>
      </c>
      <c r="H26" s="111">
        <f t="shared" si="2"/>
        <v>30051.146814145381</v>
      </c>
      <c r="I26" s="111">
        <f t="shared" si="2"/>
        <v>42982</v>
      </c>
      <c r="J26" s="112">
        <f t="shared" si="2"/>
        <v>70348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Z265"/>
  <sheetViews>
    <sheetView showGridLines="0" topLeftCell="A47" workbookViewId="0">
      <selection activeCell="J5" sqref="J5"/>
    </sheetView>
  </sheetViews>
  <sheetFormatPr defaultRowHeight="14.4" x14ac:dyDescent="0.3"/>
  <cols>
    <col min="2" max="2" width="12" customWidth="1"/>
    <col min="7" max="7" width="10.6640625" customWidth="1"/>
    <col min="11" max="11" width="14.44140625" customWidth="1"/>
    <col min="16" max="16" width="15.109375" customWidth="1"/>
    <col min="23" max="23" width="15.21875" customWidth="1"/>
    <col min="30" max="30" width="13.88671875" customWidth="1"/>
    <col min="37" max="37" width="13.5546875" customWidth="1"/>
    <col min="44" max="44" width="13.44140625" customWidth="1"/>
    <col min="51" max="51" width="13.88671875" customWidth="1"/>
  </cols>
  <sheetData>
    <row r="1" spans="2:52" ht="15" thickBot="1" x14ac:dyDescent="0.35"/>
    <row r="2" spans="2:52" ht="18.600000000000001" thickBot="1" x14ac:dyDescent="0.35">
      <c r="M2" s="277" t="s">
        <v>306</v>
      </c>
      <c r="N2" s="278"/>
      <c r="O2" s="278"/>
      <c r="P2" s="278"/>
      <c r="Q2" s="279"/>
      <c r="T2" s="277" t="s">
        <v>307</v>
      </c>
      <c r="U2" s="278"/>
      <c r="V2" s="278"/>
      <c r="W2" s="278"/>
      <c r="X2" s="279"/>
      <c r="AA2" s="277" t="s">
        <v>308</v>
      </c>
      <c r="AB2" s="278"/>
      <c r="AC2" s="278"/>
      <c r="AD2" s="278"/>
      <c r="AE2" s="279"/>
      <c r="AH2" s="277" t="s">
        <v>309</v>
      </c>
      <c r="AI2" s="278"/>
      <c r="AJ2" s="278"/>
      <c r="AK2" s="278"/>
      <c r="AL2" s="279"/>
      <c r="AO2" s="277" t="s">
        <v>310</v>
      </c>
      <c r="AP2" s="278"/>
      <c r="AQ2" s="278"/>
      <c r="AR2" s="278"/>
      <c r="AS2" s="279"/>
      <c r="AV2" s="277" t="s">
        <v>311</v>
      </c>
      <c r="AW2" s="278"/>
      <c r="AX2" s="278"/>
      <c r="AY2" s="278"/>
      <c r="AZ2" s="279"/>
    </row>
    <row r="3" spans="2:52" ht="18.600000000000001" thickBot="1" x14ac:dyDescent="0.35">
      <c r="B3" s="161"/>
      <c r="C3" s="277" t="s">
        <v>312</v>
      </c>
      <c r="D3" s="278"/>
      <c r="E3" s="278"/>
      <c r="F3" s="278"/>
      <c r="G3" s="278"/>
      <c r="H3" s="279"/>
      <c r="K3" s="121" t="s">
        <v>313</v>
      </c>
      <c r="M3" s="157" t="s">
        <v>314</v>
      </c>
      <c r="N3" s="158" t="s">
        <v>315</v>
      </c>
      <c r="O3" s="158" t="s">
        <v>316</v>
      </c>
      <c r="P3" s="158" t="s">
        <v>427</v>
      </c>
      <c r="Q3" s="159" t="s">
        <v>317</v>
      </c>
      <c r="T3" s="157" t="s">
        <v>314</v>
      </c>
      <c r="U3" s="158" t="s">
        <v>315</v>
      </c>
      <c r="V3" s="158" t="s">
        <v>316</v>
      </c>
      <c r="W3" s="158" t="s">
        <v>427</v>
      </c>
      <c r="X3" s="159" t="s">
        <v>317</v>
      </c>
      <c r="AA3" s="157" t="s">
        <v>314</v>
      </c>
      <c r="AB3" s="158" t="s">
        <v>315</v>
      </c>
      <c r="AC3" s="158" t="s">
        <v>316</v>
      </c>
      <c r="AD3" s="158" t="s">
        <v>427</v>
      </c>
      <c r="AE3" s="159" t="s">
        <v>317</v>
      </c>
      <c r="AH3" s="157" t="s">
        <v>314</v>
      </c>
      <c r="AI3" s="158" t="s">
        <v>315</v>
      </c>
      <c r="AJ3" s="158" t="s">
        <v>316</v>
      </c>
      <c r="AK3" s="158" t="s">
        <v>427</v>
      </c>
      <c r="AL3" s="159" t="s">
        <v>317</v>
      </c>
      <c r="AO3" s="157" t="s">
        <v>314</v>
      </c>
      <c r="AP3" s="158" t="s">
        <v>315</v>
      </c>
      <c r="AQ3" s="158" t="s">
        <v>316</v>
      </c>
      <c r="AR3" s="158" t="s">
        <v>427</v>
      </c>
      <c r="AS3" s="159" t="s">
        <v>317</v>
      </c>
      <c r="AV3" s="157" t="s">
        <v>314</v>
      </c>
      <c r="AW3" s="158" t="s">
        <v>315</v>
      </c>
      <c r="AX3" s="158" t="s">
        <v>316</v>
      </c>
      <c r="AY3" s="158" t="s">
        <v>427</v>
      </c>
      <c r="AZ3" s="159" t="s">
        <v>317</v>
      </c>
    </row>
    <row r="4" spans="2:52" ht="15" thickBot="1" x14ac:dyDescent="0.35">
      <c r="B4" s="121" t="s">
        <v>313</v>
      </c>
      <c r="C4" s="157" t="s">
        <v>318</v>
      </c>
      <c r="D4" s="158" t="s">
        <v>319</v>
      </c>
      <c r="E4" s="158" t="s">
        <v>320</v>
      </c>
      <c r="F4" s="158" t="s">
        <v>321</v>
      </c>
      <c r="G4" s="158" t="s">
        <v>310</v>
      </c>
      <c r="H4" s="159" t="s">
        <v>322</v>
      </c>
      <c r="K4" s="122">
        <v>43185</v>
      </c>
      <c r="M4" s="148">
        <v>9989.1503909999992</v>
      </c>
      <c r="N4" s="149">
        <v>10207.900390999999</v>
      </c>
      <c r="O4" s="149">
        <v>9958.5498050000006</v>
      </c>
      <c r="P4" s="149">
        <v>10113.700194999999</v>
      </c>
      <c r="Q4" s="150">
        <v>832700</v>
      </c>
      <c r="T4" s="12">
        <v>625</v>
      </c>
      <c r="U4" s="12">
        <v>641.29999999999995</v>
      </c>
      <c r="V4" s="12">
        <v>616.5</v>
      </c>
      <c r="W4" s="12">
        <v>638.70000000000005</v>
      </c>
      <c r="X4" s="12">
        <v>8530000</v>
      </c>
      <c r="AA4" s="12">
        <v>213.9</v>
      </c>
      <c r="AB4" s="12">
        <v>214.24</v>
      </c>
      <c r="AC4" s="12">
        <v>204.08</v>
      </c>
      <c r="AD4" s="12">
        <v>210.86</v>
      </c>
      <c r="AE4" s="12">
        <v>28390000</v>
      </c>
      <c r="AH4" s="12">
        <v>482.5</v>
      </c>
      <c r="AI4" s="12">
        <v>490.8</v>
      </c>
      <c r="AJ4" s="12">
        <v>472.5</v>
      </c>
      <c r="AK4" s="12">
        <v>484.3</v>
      </c>
      <c r="AL4" s="12">
        <v>10910000</v>
      </c>
      <c r="AO4" s="12">
        <v>583.5</v>
      </c>
      <c r="AP4" s="12">
        <v>585</v>
      </c>
      <c r="AQ4" s="12">
        <v>563.12</v>
      </c>
      <c r="AR4" s="12">
        <v>565.9</v>
      </c>
      <c r="AS4" s="12">
        <v>26100000</v>
      </c>
      <c r="AV4" s="12">
        <v>1408.35</v>
      </c>
      <c r="AW4" s="12">
        <v>1437.5</v>
      </c>
      <c r="AX4" s="12">
        <v>1390.78</v>
      </c>
      <c r="AY4" s="12">
        <v>1424.57</v>
      </c>
      <c r="AZ4" s="12">
        <v>12860000</v>
      </c>
    </row>
    <row r="5" spans="2:52" ht="15" thickBot="1" x14ac:dyDescent="0.35">
      <c r="B5" s="123">
        <v>43192</v>
      </c>
      <c r="C5" s="164">
        <f>LN(P5/P4)</f>
        <v>2.1316162322449851E-2</v>
      </c>
      <c r="D5" s="163">
        <f>LN(W5/W4)</f>
        <v>-3.2622830869527504E-2</v>
      </c>
      <c r="E5" s="163">
        <f>LN(AD5/AD4)</f>
        <v>9.9099484979978877E-3</v>
      </c>
      <c r="F5" s="163">
        <f>LN(AK5/AK4)</f>
        <v>-1.6593658072541016E-2</v>
      </c>
      <c r="G5" s="163">
        <f>LN(AR5/AR4)</f>
        <v>-4.2500506686470804E-3</v>
      </c>
      <c r="H5" s="165">
        <f>LN(AY5/AY4)</f>
        <v>3.4889665738826917E-2</v>
      </c>
      <c r="K5" s="123">
        <v>43192</v>
      </c>
      <c r="M5" s="151">
        <v>10151.650390999999</v>
      </c>
      <c r="N5" s="152">
        <v>10350.450194999999</v>
      </c>
      <c r="O5" s="152">
        <v>10111.299805000001</v>
      </c>
      <c r="P5" s="152">
        <v>10331.599609000001</v>
      </c>
      <c r="Q5" s="153">
        <v>1098800</v>
      </c>
      <c r="T5" s="12">
        <v>635.65</v>
      </c>
      <c r="U5" s="12">
        <v>646.5</v>
      </c>
      <c r="V5" s="12">
        <v>603.1</v>
      </c>
      <c r="W5" s="12">
        <v>618.20000000000005</v>
      </c>
      <c r="X5" s="12">
        <v>13200000</v>
      </c>
      <c r="AA5" s="12">
        <v>211.09</v>
      </c>
      <c r="AB5" s="12">
        <v>221.25</v>
      </c>
      <c r="AC5" s="12">
        <v>209.1</v>
      </c>
      <c r="AD5" s="12">
        <v>212.96</v>
      </c>
      <c r="AE5" s="12">
        <v>10420000</v>
      </c>
      <c r="AH5" s="12">
        <v>485</v>
      </c>
      <c r="AI5" s="12">
        <v>494.5</v>
      </c>
      <c r="AJ5" s="12">
        <v>474.75</v>
      </c>
      <c r="AK5" s="12">
        <v>476.33</v>
      </c>
      <c r="AL5" s="12">
        <v>11050000</v>
      </c>
      <c r="AO5" s="12">
        <v>567.75</v>
      </c>
      <c r="AP5" s="12">
        <v>575.65</v>
      </c>
      <c r="AQ5" s="12">
        <v>560</v>
      </c>
      <c r="AR5" s="12">
        <v>563.5</v>
      </c>
      <c r="AS5" s="12">
        <v>31560000</v>
      </c>
      <c r="AV5" s="12">
        <v>1422.5</v>
      </c>
      <c r="AW5" s="12">
        <v>1481.88</v>
      </c>
      <c r="AX5" s="12">
        <v>1420</v>
      </c>
      <c r="AY5" s="12">
        <v>1475.15</v>
      </c>
      <c r="AZ5" s="12">
        <v>9800000</v>
      </c>
    </row>
    <row r="6" spans="2:52" ht="15" thickBot="1" x14ac:dyDescent="0.35">
      <c r="B6" s="123">
        <v>43199</v>
      </c>
      <c r="C6" s="164">
        <v>1.4318769889197783E-2</v>
      </c>
      <c r="D6" s="163">
        <f t="shared" ref="D6:D69" si="0">LN(W6/W5)</f>
        <v>8.2776443657068169E-2</v>
      </c>
      <c r="E6" s="163">
        <f>LN(AD6/AD5)</f>
        <v>3.5292082060870138E-2</v>
      </c>
      <c r="F6" s="163">
        <f t="shared" ref="F6:F69" si="1">LN(AK6/AK5)</f>
        <v>3.9698612729199674E-2</v>
      </c>
      <c r="G6" s="163">
        <f t="shared" ref="G6:G69" si="2">LN(AR6/AR5)</f>
        <v>3.8674526207225383E-2</v>
      </c>
      <c r="H6" s="165">
        <f t="shared" ref="H6:H69" si="3">LN(AY6/AY5)</f>
        <v>6.6542663418876088E-2</v>
      </c>
      <c r="K6" s="123">
        <v>43199</v>
      </c>
      <c r="M6" s="151">
        <v>10333.700194999999</v>
      </c>
      <c r="N6" s="152">
        <v>10519.900390999999</v>
      </c>
      <c r="O6" s="152">
        <v>10328.5</v>
      </c>
      <c r="P6" s="152">
        <v>10480.599609000001</v>
      </c>
      <c r="Q6" s="153">
        <v>1175400</v>
      </c>
      <c r="T6" s="12">
        <v>617</v>
      </c>
      <c r="U6" s="12">
        <v>673.85</v>
      </c>
      <c r="V6" s="12">
        <v>610.1</v>
      </c>
      <c r="W6" s="12">
        <v>671.55</v>
      </c>
      <c r="X6" s="12">
        <v>15550000</v>
      </c>
      <c r="AA6" s="12">
        <v>212.96</v>
      </c>
      <c r="AB6" s="12">
        <v>225</v>
      </c>
      <c r="AC6" s="12">
        <v>208.31</v>
      </c>
      <c r="AD6" s="12">
        <v>220.61</v>
      </c>
      <c r="AE6" s="12">
        <v>16900000</v>
      </c>
      <c r="AH6" s="12">
        <v>477.15</v>
      </c>
      <c r="AI6" s="12">
        <v>510</v>
      </c>
      <c r="AJ6" s="12">
        <v>471.77</v>
      </c>
      <c r="AK6" s="12">
        <v>495.62</v>
      </c>
      <c r="AL6" s="12">
        <v>23100000</v>
      </c>
      <c r="AO6" s="12">
        <v>564.95000000000005</v>
      </c>
      <c r="AP6" s="12">
        <v>592.95000000000005</v>
      </c>
      <c r="AQ6" s="12">
        <v>552.70000000000005</v>
      </c>
      <c r="AR6" s="12">
        <v>585.72</v>
      </c>
      <c r="AS6" s="12">
        <v>66040000</v>
      </c>
      <c r="AV6" s="12">
        <v>1475</v>
      </c>
      <c r="AW6" s="12">
        <v>1620.4</v>
      </c>
      <c r="AX6" s="12">
        <v>1457.5</v>
      </c>
      <c r="AY6" s="12">
        <v>1576.65</v>
      </c>
      <c r="AZ6" s="12">
        <v>22260000</v>
      </c>
    </row>
    <row r="7" spans="2:52" ht="15" thickBot="1" x14ac:dyDescent="0.35">
      <c r="B7" s="123">
        <v>43206</v>
      </c>
      <c r="C7" s="164">
        <v>7.9308171650758329E-3</v>
      </c>
      <c r="D7" s="163">
        <f t="shared" si="0"/>
        <v>4.2205892421977483E-2</v>
      </c>
      <c r="E7" s="163">
        <f t="shared" ref="E7:E69" si="4">LN(AD7/AD6)</f>
        <v>1.3193932249793615E-2</v>
      </c>
      <c r="F7" s="163">
        <f t="shared" si="1"/>
        <v>6.9272616597943482E-2</v>
      </c>
      <c r="G7" s="163">
        <f t="shared" si="2"/>
        <v>5.9577686566197469E-3</v>
      </c>
      <c r="H7" s="165">
        <f t="shared" si="3"/>
        <v>7.6043297780141336E-2</v>
      </c>
      <c r="K7" s="123">
        <v>43206</v>
      </c>
      <c r="M7" s="151">
        <v>10398.299805000001</v>
      </c>
      <c r="N7" s="152">
        <v>10594.200194999999</v>
      </c>
      <c r="O7" s="152">
        <v>10396.349609000001</v>
      </c>
      <c r="P7" s="152">
        <v>10564.049805000001</v>
      </c>
      <c r="Q7" s="153">
        <v>1113700</v>
      </c>
      <c r="T7" s="12">
        <v>658</v>
      </c>
      <c r="U7" s="12">
        <v>706</v>
      </c>
      <c r="V7" s="12">
        <v>654.20000000000005</v>
      </c>
      <c r="W7" s="12">
        <v>700.5</v>
      </c>
      <c r="X7" s="12">
        <v>15960000</v>
      </c>
      <c r="AA7" s="12">
        <v>217.5</v>
      </c>
      <c r="AB7" s="12">
        <v>225</v>
      </c>
      <c r="AC7" s="12">
        <v>212.48</v>
      </c>
      <c r="AD7" s="12">
        <v>223.54</v>
      </c>
      <c r="AE7" s="12">
        <v>16060000</v>
      </c>
      <c r="AH7" s="12">
        <v>490</v>
      </c>
      <c r="AI7" s="12">
        <v>537.1</v>
      </c>
      <c r="AJ7" s="12">
        <v>488.05</v>
      </c>
      <c r="AK7" s="12">
        <v>531.16999999999996</v>
      </c>
      <c r="AL7" s="12">
        <v>22040000</v>
      </c>
      <c r="AO7" s="12">
        <v>549.65</v>
      </c>
      <c r="AP7" s="12">
        <v>596.85</v>
      </c>
      <c r="AQ7" s="12">
        <v>549.5</v>
      </c>
      <c r="AR7" s="12">
        <v>589.22</v>
      </c>
      <c r="AS7" s="12">
        <v>81430000</v>
      </c>
      <c r="AV7" s="12">
        <v>1566</v>
      </c>
      <c r="AW7" s="12">
        <v>1711.18</v>
      </c>
      <c r="AX7" s="12">
        <v>1554.03</v>
      </c>
      <c r="AY7" s="12">
        <v>1701.22</v>
      </c>
      <c r="AZ7" s="12">
        <v>37470000</v>
      </c>
    </row>
    <row r="8" spans="2:52" ht="15" thickBot="1" x14ac:dyDescent="0.35">
      <c r="B8" s="123">
        <v>43213</v>
      </c>
      <c r="C8" s="164">
        <v>1.2067128986496627E-2</v>
      </c>
      <c r="D8" s="163">
        <f t="shared" si="0"/>
        <v>-4.3770663055328472E-2</v>
      </c>
      <c r="E8" s="163">
        <f t="shared" si="4"/>
        <v>-7.6340315869405873E-2</v>
      </c>
      <c r="F8" s="163">
        <f t="shared" si="1"/>
        <v>-1.965842774181881E-2</v>
      </c>
      <c r="G8" s="163">
        <f t="shared" si="2"/>
        <v>5.7200067957886742E-3</v>
      </c>
      <c r="H8" s="165">
        <f t="shared" si="3"/>
        <v>1.4443570546430119E-2</v>
      </c>
      <c r="K8" s="123">
        <v>43213</v>
      </c>
      <c r="M8" s="151">
        <v>10592.799805000001</v>
      </c>
      <c r="N8" s="152">
        <v>10719.799805000001</v>
      </c>
      <c r="O8" s="152">
        <v>10514.950194999999</v>
      </c>
      <c r="P8" s="152">
        <v>10692.299805000001</v>
      </c>
      <c r="Q8" s="153">
        <v>937700</v>
      </c>
      <c r="T8" s="12">
        <v>694.55</v>
      </c>
      <c r="U8" s="12">
        <v>729.5</v>
      </c>
      <c r="V8" s="12">
        <v>668.45</v>
      </c>
      <c r="W8" s="12">
        <v>670.5</v>
      </c>
      <c r="X8" s="12">
        <v>22020000</v>
      </c>
      <c r="AA8" s="12">
        <v>224.85</v>
      </c>
      <c r="AB8" s="12">
        <v>225.75</v>
      </c>
      <c r="AC8" s="12">
        <v>205.5</v>
      </c>
      <c r="AD8" s="12">
        <v>207.11</v>
      </c>
      <c r="AE8" s="12">
        <v>37370000</v>
      </c>
      <c r="AH8" s="12">
        <v>531</v>
      </c>
      <c r="AI8" s="12">
        <v>554</v>
      </c>
      <c r="AJ8" s="12">
        <v>517.5</v>
      </c>
      <c r="AK8" s="12">
        <v>520.83000000000004</v>
      </c>
      <c r="AL8" s="12">
        <v>27740000</v>
      </c>
      <c r="AO8" s="12">
        <v>584</v>
      </c>
      <c r="AP8" s="12">
        <v>607.20000000000005</v>
      </c>
      <c r="AQ8" s="12">
        <v>572.6</v>
      </c>
      <c r="AR8" s="12">
        <v>592.6</v>
      </c>
      <c r="AS8" s="12">
        <v>63370000</v>
      </c>
      <c r="AV8" s="12">
        <v>1712</v>
      </c>
      <c r="AW8" s="12">
        <v>1780</v>
      </c>
      <c r="AX8" s="12">
        <v>1671.25</v>
      </c>
      <c r="AY8" s="12">
        <v>1725.97</v>
      </c>
      <c r="AZ8" s="12">
        <v>50700000</v>
      </c>
    </row>
    <row r="9" spans="2:52" ht="15" thickBot="1" x14ac:dyDescent="0.35">
      <c r="B9" s="123">
        <v>43220</v>
      </c>
      <c r="C9" s="164">
        <v>-6.9496191989956504E-3</v>
      </c>
      <c r="D9" s="163">
        <f t="shared" si="0"/>
        <v>-1.1776755395045555E-2</v>
      </c>
      <c r="E9" s="163">
        <f t="shared" si="4"/>
        <v>-2.2855905314573571E-2</v>
      </c>
      <c r="F9" s="163">
        <f t="shared" si="1"/>
        <v>-0.11355834514645963</v>
      </c>
      <c r="G9" s="163">
        <f t="shared" si="2"/>
        <v>-1.026171918773559E-2</v>
      </c>
      <c r="H9" s="165">
        <f t="shared" si="3"/>
        <v>8.3142689053276458E-3</v>
      </c>
      <c r="K9" s="123">
        <v>43220</v>
      </c>
      <c r="M9" s="151">
        <v>10705.75</v>
      </c>
      <c r="N9" s="152">
        <v>10784.650390999999</v>
      </c>
      <c r="O9" s="152">
        <v>10601.599609000001</v>
      </c>
      <c r="P9" s="152">
        <v>10618.25</v>
      </c>
      <c r="Q9" s="153">
        <v>775200</v>
      </c>
      <c r="T9" s="12">
        <v>680</v>
      </c>
      <c r="U9" s="12">
        <v>684.8</v>
      </c>
      <c r="V9" s="12">
        <v>636.45000000000005</v>
      </c>
      <c r="W9" s="12">
        <v>662.65</v>
      </c>
      <c r="X9" s="12">
        <v>10200000</v>
      </c>
      <c r="AA9" s="12">
        <v>208.5</v>
      </c>
      <c r="AB9" s="12">
        <v>211.76</v>
      </c>
      <c r="AC9" s="12">
        <v>198.04</v>
      </c>
      <c r="AD9" s="12">
        <v>202.43</v>
      </c>
      <c r="AE9" s="12">
        <v>15800000</v>
      </c>
      <c r="AH9" s="12">
        <v>521</v>
      </c>
      <c r="AI9" s="12">
        <v>539.5</v>
      </c>
      <c r="AJ9" s="12">
        <v>453.85</v>
      </c>
      <c r="AK9" s="12">
        <v>464.92</v>
      </c>
      <c r="AL9" s="12">
        <v>43450000</v>
      </c>
      <c r="AO9" s="12">
        <v>594</v>
      </c>
      <c r="AP9" s="12">
        <v>603.97</v>
      </c>
      <c r="AQ9" s="12">
        <v>577.5</v>
      </c>
      <c r="AR9" s="12">
        <v>586.54999999999995</v>
      </c>
      <c r="AS9" s="12">
        <v>28340000</v>
      </c>
      <c r="AV9" s="12">
        <v>1727.5</v>
      </c>
      <c r="AW9" s="12">
        <v>1780</v>
      </c>
      <c r="AX9" s="12">
        <v>1718.8</v>
      </c>
      <c r="AY9" s="12">
        <v>1740.38</v>
      </c>
      <c r="AZ9" s="12">
        <v>13280000</v>
      </c>
    </row>
    <row r="10" spans="2:52" ht="15" thickBot="1" x14ac:dyDescent="0.35">
      <c r="B10" s="123">
        <v>43227</v>
      </c>
      <c r="C10" s="164">
        <v>1.7573586133819246E-2</v>
      </c>
      <c r="D10" s="163">
        <f t="shared" si="0"/>
        <v>5.718170723339612E-3</v>
      </c>
      <c r="E10" s="163">
        <f t="shared" si="4"/>
        <v>1.0124926758237182E-2</v>
      </c>
      <c r="F10" s="163">
        <f t="shared" si="1"/>
        <v>3.2211679880391015E-3</v>
      </c>
      <c r="G10" s="163">
        <f t="shared" si="2"/>
        <v>6.5084814219979175E-3</v>
      </c>
      <c r="H10" s="165">
        <f t="shared" si="3"/>
        <v>-6.8668560474061504E-3</v>
      </c>
      <c r="K10" s="123">
        <v>43227</v>
      </c>
      <c r="M10" s="151">
        <v>10653.150390999999</v>
      </c>
      <c r="N10" s="152">
        <v>10812.049805000001</v>
      </c>
      <c r="O10" s="152">
        <v>10635.650390999999</v>
      </c>
      <c r="P10" s="152">
        <v>10806.5</v>
      </c>
      <c r="Q10" s="153">
        <v>1048800</v>
      </c>
      <c r="T10" s="12">
        <v>670</v>
      </c>
      <c r="U10" s="12">
        <v>675.85</v>
      </c>
      <c r="V10" s="12">
        <v>648.29999999999995</v>
      </c>
      <c r="W10" s="12">
        <v>666.45</v>
      </c>
      <c r="X10" s="12">
        <v>14070000</v>
      </c>
      <c r="AA10" s="12">
        <v>201</v>
      </c>
      <c r="AB10" s="12">
        <v>207</v>
      </c>
      <c r="AC10" s="12">
        <v>200.4</v>
      </c>
      <c r="AD10" s="12">
        <v>204.49</v>
      </c>
      <c r="AE10" s="12">
        <v>12720000</v>
      </c>
      <c r="AH10" s="12">
        <v>468.75</v>
      </c>
      <c r="AI10" s="12">
        <v>472</v>
      </c>
      <c r="AJ10" s="12">
        <v>453.55</v>
      </c>
      <c r="AK10" s="12">
        <v>466.42</v>
      </c>
      <c r="AL10" s="12">
        <v>16340000</v>
      </c>
      <c r="AO10" s="12">
        <v>588.54999999999995</v>
      </c>
      <c r="AP10" s="12">
        <v>595.1</v>
      </c>
      <c r="AQ10" s="12">
        <v>580.53</v>
      </c>
      <c r="AR10" s="12">
        <v>590.38</v>
      </c>
      <c r="AS10" s="12">
        <v>21730000</v>
      </c>
      <c r="AV10" s="12">
        <v>1741.12</v>
      </c>
      <c r="AW10" s="12">
        <v>1755.57</v>
      </c>
      <c r="AX10" s="12">
        <v>1698.35</v>
      </c>
      <c r="AY10" s="12">
        <v>1728.47</v>
      </c>
      <c r="AZ10" s="12">
        <v>16200000</v>
      </c>
    </row>
    <row r="11" spans="2:52" ht="15" thickBot="1" x14ac:dyDescent="0.35">
      <c r="B11" s="123">
        <v>43234</v>
      </c>
      <c r="C11" s="164">
        <v>-1.9633447250830841E-2</v>
      </c>
      <c r="D11" s="163">
        <f t="shared" si="0"/>
        <v>3.8992728464784347E-2</v>
      </c>
      <c r="E11" s="163">
        <f t="shared" si="4"/>
        <v>-1.3836791652058793E-2</v>
      </c>
      <c r="F11" s="163">
        <f t="shared" si="1"/>
        <v>-4.6226025885667765E-2</v>
      </c>
      <c r="G11" s="163">
        <f t="shared" si="2"/>
        <v>2.0643334629175951E-3</v>
      </c>
      <c r="H11" s="165">
        <f t="shared" si="3"/>
        <v>1.2967562083935381E-2</v>
      </c>
      <c r="K11" s="123">
        <v>43234</v>
      </c>
      <c r="M11" s="151">
        <v>10815.150390999999</v>
      </c>
      <c r="N11" s="152">
        <v>10929.200194999999</v>
      </c>
      <c r="O11" s="152">
        <v>10589.099609000001</v>
      </c>
      <c r="P11" s="152">
        <v>10596.400390999999</v>
      </c>
      <c r="Q11" s="153">
        <v>1093900</v>
      </c>
      <c r="T11" s="12">
        <v>661.6</v>
      </c>
      <c r="U11" s="12">
        <v>697.5</v>
      </c>
      <c r="V11" s="12">
        <v>658.25</v>
      </c>
      <c r="W11" s="12">
        <v>692.95</v>
      </c>
      <c r="X11" s="12">
        <v>12240000</v>
      </c>
      <c r="AA11" s="12">
        <v>203.55</v>
      </c>
      <c r="AB11" s="12">
        <v>210.6</v>
      </c>
      <c r="AC11" s="12">
        <v>201.04</v>
      </c>
      <c r="AD11" s="12">
        <v>201.68</v>
      </c>
      <c r="AE11" s="12">
        <v>19040000</v>
      </c>
      <c r="AH11" s="12">
        <v>468.7</v>
      </c>
      <c r="AI11" s="12">
        <v>468.7</v>
      </c>
      <c r="AJ11" s="12">
        <v>443.55</v>
      </c>
      <c r="AK11" s="12">
        <v>445.35</v>
      </c>
      <c r="AL11" s="12">
        <v>19650000</v>
      </c>
      <c r="AO11" s="12">
        <v>592.16999999999996</v>
      </c>
      <c r="AP11" s="12">
        <v>604</v>
      </c>
      <c r="AQ11" s="12">
        <v>585</v>
      </c>
      <c r="AR11" s="12">
        <v>591.6</v>
      </c>
      <c r="AS11" s="12">
        <v>33900000</v>
      </c>
      <c r="AV11" s="12">
        <v>1728.5</v>
      </c>
      <c r="AW11" s="12">
        <v>1766.57</v>
      </c>
      <c r="AX11" s="12">
        <v>1705.4</v>
      </c>
      <c r="AY11" s="12">
        <v>1751.03</v>
      </c>
      <c r="AZ11" s="12">
        <v>11770000</v>
      </c>
    </row>
    <row r="12" spans="2:52" ht="15" thickBot="1" x14ac:dyDescent="0.35">
      <c r="B12" s="123">
        <v>43241</v>
      </c>
      <c r="C12" s="164">
        <v>8.2541136606043106E-4</v>
      </c>
      <c r="D12" s="163">
        <f t="shared" si="0"/>
        <v>1.4043363271829722E-2</v>
      </c>
      <c r="E12" s="163">
        <f t="shared" si="4"/>
        <v>-1.6145103650590058E-2</v>
      </c>
      <c r="F12" s="163">
        <f t="shared" si="1"/>
        <v>2.8008694236306347E-2</v>
      </c>
      <c r="G12" s="163">
        <f t="shared" si="2"/>
        <v>3.7408467148458489E-2</v>
      </c>
      <c r="H12" s="165">
        <f t="shared" si="3"/>
        <v>2.363023439548018E-2</v>
      </c>
      <c r="K12" s="123">
        <v>43241</v>
      </c>
      <c r="M12" s="151">
        <v>10616.700194999999</v>
      </c>
      <c r="N12" s="152">
        <v>10628.049805000001</v>
      </c>
      <c r="O12" s="152">
        <v>10417.799805000001</v>
      </c>
      <c r="P12" s="152">
        <v>10605.150390999999</v>
      </c>
      <c r="Q12" s="153">
        <v>1091000</v>
      </c>
      <c r="T12" s="12">
        <v>690.75</v>
      </c>
      <c r="U12" s="12">
        <v>718.7</v>
      </c>
      <c r="V12" s="12">
        <v>675</v>
      </c>
      <c r="W12" s="12">
        <v>702.75</v>
      </c>
      <c r="X12" s="12">
        <v>17680000</v>
      </c>
      <c r="AA12" s="12">
        <v>201.75</v>
      </c>
      <c r="AB12" s="12">
        <v>202.5</v>
      </c>
      <c r="AC12" s="12">
        <v>196.46</v>
      </c>
      <c r="AD12" s="12">
        <v>198.45</v>
      </c>
      <c r="AE12" s="12">
        <v>17510000</v>
      </c>
      <c r="AH12" s="12">
        <v>445</v>
      </c>
      <c r="AI12" s="12">
        <v>462.15</v>
      </c>
      <c r="AJ12" s="12">
        <v>443.5</v>
      </c>
      <c r="AK12" s="12">
        <v>458</v>
      </c>
      <c r="AL12" s="12">
        <v>17980000</v>
      </c>
      <c r="AO12" s="12">
        <v>590</v>
      </c>
      <c r="AP12" s="12">
        <v>624.33000000000004</v>
      </c>
      <c r="AQ12" s="12">
        <v>585</v>
      </c>
      <c r="AR12" s="12">
        <v>614.15</v>
      </c>
      <c r="AS12" s="12">
        <v>43780000</v>
      </c>
      <c r="AV12" s="12">
        <v>1760</v>
      </c>
      <c r="AW12" s="12">
        <v>1837.4</v>
      </c>
      <c r="AX12" s="12">
        <v>1740.5</v>
      </c>
      <c r="AY12" s="12">
        <v>1792.9</v>
      </c>
      <c r="AZ12" s="12">
        <v>14240000</v>
      </c>
    </row>
    <row r="13" spans="2:52" ht="15" thickBot="1" x14ac:dyDescent="0.35">
      <c r="B13" s="123">
        <v>43248</v>
      </c>
      <c r="C13" s="164">
        <v>8.5487873774415229E-3</v>
      </c>
      <c r="D13" s="163">
        <f t="shared" si="0"/>
        <v>-2.2793656139815316E-3</v>
      </c>
      <c r="E13" s="163">
        <f t="shared" si="4"/>
        <v>-1.5232586990110533E-2</v>
      </c>
      <c r="F13" s="163">
        <f t="shared" si="1"/>
        <v>-1.2258232184495432E-2</v>
      </c>
      <c r="G13" s="163">
        <f t="shared" si="2"/>
        <v>-6.1247180148561514E-3</v>
      </c>
      <c r="H13" s="165">
        <f t="shared" si="3"/>
        <v>-3.4297828982641956E-2</v>
      </c>
      <c r="K13" s="123">
        <v>43248</v>
      </c>
      <c r="M13" s="151">
        <v>10648.349609000001</v>
      </c>
      <c r="N13" s="152">
        <v>10764.75</v>
      </c>
      <c r="O13" s="152">
        <v>10558.450194999999</v>
      </c>
      <c r="P13" s="152">
        <v>10696.200194999999</v>
      </c>
      <c r="Q13" s="153">
        <v>1528000</v>
      </c>
      <c r="T13" s="12">
        <v>722</v>
      </c>
      <c r="U13" s="12">
        <v>722</v>
      </c>
      <c r="V13" s="12">
        <v>662.35</v>
      </c>
      <c r="W13" s="12">
        <v>701.15</v>
      </c>
      <c r="X13" s="12">
        <v>29560000</v>
      </c>
      <c r="AA13" s="12">
        <v>198.26</v>
      </c>
      <c r="AB13" s="12">
        <v>198.56</v>
      </c>
      <c r="AC13" s="12">
        <v>193.5</v>
      </c>
      <c r="AD13" s="12">
        <v>195.45</v>
      </c>
      <c r="AE13" s="12">
        <v>16980000</v>
      </c>
      <c r="AH13" s="12">
        <v>457.98</v>
      </c>
      <c r="AI13" s="12">
        <v>461.95</v>
      </c>
      <c r="AJ13" s="12">
        <v>445.5</v>
      </c>
      <c r="AK13" s="12">
        <v>452.42</v>
      </c>
      <c r="AL13" s="12">
        <v>15150000</v>
      </c>
      <c r="AO13" s="12">
        <v>614.15</v>
      </c>
      <c r="AP13" s="12">
        <v>623.12</v>
      </c>
      <c r="AQ13" s="12">
        <v>602.79999999999995</v>
      </c>
      <c r="AR13" s="12">
        <v>610.4</v>
      </c>
      <c r="AS13" s="12">
        <v>41900000</v>
      </c>
      <c r="AV13" s="12">
        <v>1800.55</v>
      </c>
      <c r="AW13" s="12">
        <v>1809</v>
      </c>
      <c r="AX13" s="12">
        <v>1716.3</v>
      </c>
      <c r="AY13" s="12">
        <v>1732.45</v>
      </c>
      <c r="AZ13" s="12">
        <v>18570000</v>
      </c>
    </row>
    <row r="14" spans="2:52" ht="15" thickBot="1" x14ac:dyDescent="0.35">
      <c r="B14" s="123">
        <v>43255</v>
      </c>
      <c r="C14" s="164">
        <v>6.6577485373697006E-3</v>
      </c>
      <c r="D14" s="163">
        <f t="shared" si="0"/>
        <v>8.2380978651899056E-3</v>
      </c>
      <c r="E14" s="163">
        <f t="shared" si="4"/>
        <v>1.2962438455571417E-2</v>
      </c>
      <c r="F14" s="163">
        <f t="shared" si="1"/>
        <v>2.6027626292327816E-2</v>
      </c>
      <c r="G14" s="163">
        <f t="shared" si="2"/>
        <v>3.1652957329199399E-2</v>
      </c>
      <c r="H14" s="165">
        <f t="shared" si="3"/>
        <v>8.4206788616592605E-3</v>
      </c>
      <c r="K14" s="123">
        <v>43255</v>
      </c>
      <c r="M14" s="151">
        <v>10765.950194999999</v>
      </c>
      <c r="N14" s="152">
        <v>10818</v>
      </c>
      <c r="O14" s="152">
        <v>10550.900390999999</v>
      </c>
      <c r="P14" s="152">
        <v>10767.650390999999</v>
      </c>
      <c r="Q14" s="153">
        <v>991700</v>
      </c>
      <c r="T14" s="12">
        <v>702</v>
      </c>
      <c r="U14" s="12">
        <v>721.3</v>
      </c>
      <c r="V14" s="12">
        <v>683</v>
      </c>
      <c r="W14" s="12">
        <v>706.95</v>
      </c>
      <c r="X14" s="12">
        <v>17890000</v>
      </c>
      <c r="AA14" s="12">
        <v>198.71</v>
      </c>
      <c r="AB14" s="12">
        <v>199.5</v>
      </c>
      <c r="AC14" s="12">
        <v>190.13</v>
      </c>
      <c r="AD14" s="12">
        <v>198</v>
      </c>
      <c r="AE14" s="12">
        <v>13500000</v>
      </c>
      <c r="AH14" s="12">
        <v>452.23</v>
      </c>
      <c r="AI14" s="12">
        <v>467.95</v>
      </c>
      <c r="AJ14" s="12">
        <v>440</v>
      </c>
      <c r="AK14" s="12">
        <v>464.35</v>
      </c>
      <c r="AL14" s="12">
        <v>26400000</v>
      </c>
      <c r="AO14" s="12">
        <v>610</v>
      </c>
      <c r="AP14" s="12">
        <v>631.22</v>
      </c>
      <c r="AQ14" s="12">
        <v>606</v>
      </c>
      <c r="AR14" s="12">
        <v>630.03</v>
      </c>
      <c r="AS14" s="12">
        <v>27710000</v>
      </c>
      <c r="AV14" s="12">
        <v>1900</v>
      </c>
      <c r="AW14" s="12">
        <v>1900</v>
      </c>
      <c r="AX14" s="12">
        <v>1711.15</v>
      </c>
      <c r="AY14" s="12">
        <v>1747.1</v>
      </c>
      <c r="AZ14" s="12">
        <v>12620000</v>
      </c>
    </row>
    <row r="15" spans="2:52" ht="15" thickBot="1" x14ac:dyDescent="0.35">
      <c r="B15" s="123">
        <v>43262</v>
      </c>
      <c r="C15" s="164">
        <v>4.6373945603307102E-3</v>
      </c>
      <c r="D15" s="163">
        <f t="shared" si="0"/>
        <v>4.2426814382688172E-4</v>
      </c>
      <c r="E15" s="163">
        <f t="shared" si="4"/>
        <v>1.094993109633766E-2</v>
      </c>
      <c r="F15" s="163">
        <f t="shared" si="1"/>
        <v>2.088514910771903E-2</v>
      </c>
      <c r="G15" s="163">
        <f t="shared" si="2"/>
        <v>1.666902011881944E-2</v>
      </c>
      <c r="H15" s="165">
        <f t="shared" si="3"/>
        <v>5.1835474666471766E-2</v>
      </c>
      <c r="K15" s="123">
        <v>43262</v>
      </c>
      <c r="M15" s="151">
        <v>10781.849609000001</v>
      </c>
      <c r="N15" s="152">
        <v>10893.25</v>
      </c>
      <c r="O15" s="152">
        <v>10755.400390999999</v>
      </c>
      <c r="P15" s="152">
        <v>10817.700194999999</v>
      </c>
      <c r="Q15" s="153">
        <v>1112800</v>
      </c>
      <c r="T15" s="12">
        <v>713.5</v>
      </c>
      <c r="U15" s="12">
        <v>721.9</v>
      </c>
      <c r="V15" s="12">
        <v>690</v>
      </c>
      <c r="W15" s="12">
        <v>707.25</v>
      </c>
      <c r="X15" s="12">
        <v>16950000</v>
      </c>
      <c r="AA15" s="12">
        <v>198.38</v>
      </c>
      <c r="AB15" s="12">
        <v>204</v>
      </c>
      <c r="AC15" s="12">
        <v>197.25</v>
      </c>
      <c r="AD15" s="12">
        <v>200.18</v>
      </c>
      <c r="AE15" s="12">
        <v>18180000</v>
      </c>
      <c r="AH15" s="12">
        <v>464</v>
      </c>
      <c r="AI15" s="12">
        <v>477.2</v>
      </c>
      <c r="AJ15" s="12">
        <v>453.88</v>
      </c>
      <c r="AK15" s="12">
        <v>474.15</v>
      </c>
      <c r="AL15" s="12">
        <v>19740000</v>
      </c>
      <c r="AO15" s="12">
        <v>629.88</v>
      </c>
      <c r="AP15" s="12">
        <v>645.75</v>
      </c>
      <c r="AQ15" s="12">
        <v>617.03</v>
      </c>
      <c r="AR15" s="12">
        <v>640.62</v>
      </c>
      <c r="AS15" s="12">
        <v>47600000</v>
      </c>
      <c r="AV15" s="12">
        <v>1747</v>
      </c>
      <c r="AW15" s="12">
        <v>1849</v>
      </c>
      <c r="AX15" s="12">
        <v>1742.8</v>
      </c>
      <c r="AY15" s="12">
        <v>1840.05</v>
      </c>
      <c r="AZ15" s="12">
        <v>26810000</v>
      </c>
    </row>
    <row r="16" spans="2:52" ht="15" thickBot="1" x14ac:dyDescent="0.35">
      <c r="B16" s="123">
        <v>43269</v>
      </c>
      <c r="C16" s="164">
        <v>3.8350280744670604E-4</v>
      </c>
      <c r="D16" s="163">
        <f t="shared" si="0"/>
        <v>-2.302733327131035E-2</v>
      </c>
      <c r="E16" s="163">
        <f t="shared" si="4"/>
        <v>-3.295801893672503E-2</v>
      </c>
      <c r="F16" s="163">
        <f t="shared" si="1"/>
        <v>-4.6956983087770979E-2</v>
      </c>
      <c r="G16" s="163">
        <f t="shared" si="2"/>
        <v>-2.6414302396023489E-2</v>
      </c>
      <c r="H16" s="165">
        <f t="shared" si="3"/>
        <v>-1.6576403229837878E-2</v>
      </c>
      <c r="K16" s="123">
        <v>43269</v>
      </c>
      <c r="M16" s="151">
        <v>10830.200194999999</v>
      </c>
      <c r="N16" s="152">
        <v>10837</v>
      </c>
      <c r="O16" s="152">
        <v>10701.200194999999</v>
      </c>
      <c r="P16" s="152">
        <v>10821.849609000001</v>
      </c>
      <c r="Q16" s="153">
        <v>1068000</v>
      </c>
      <c r="T16" s="12">
        <v>708.5</v>
      </c>
      <c r="U16" s="12">
        <v>714.65</v>
      </c>
      <c r="V16" s="12">
        <v>679.5</v>
      </c>
      <c r="W16" s="12">
        <v>691.15</v>
      </c>
      <c r="X16" s="12">
        <v>10540000</v>
      </c>
      <c r="AA16" s="12">
        <v>201.53</v>
      </c>
      <c r="AB16" s="12">
        <v>202.43</v>
      </c>
      <c r="AC16" s="12">
        <v>191.25</v>
      </c>
      <c r="AD16" s="12">
        <v>193.69</v>
      </c>
      <c r="AE16" s="12">
        <v>21320000</v>
      </c>
      <c r="AH16" s="12">
        <v>477.5</v>
      </c>
      <c r="AI16" s="12">
        <v>485</v>
      </c>
      <c r="AJ16" s="12">
        <v>449.55</v>
      </c>
      <c r="AK16" s="12">
        <v>452.4</v>
      </c>
      <c r="AL16" s="12">
        <v>16010000</v>
      </c>
      <c r="AO16" s="12">
        <v>642.5</v>
      </c>
      <c r="AP16" s="12">
        <v>645.62</v>
      </c>
      <c r="AQ16" s="12">
        <v>618</v>
      </c>
      <c r="AR16" s="12">
        <v>623.91999999999996</v>
      </c>
      <c r="AS16" s="12">
        <v>31960000</v>
      </c>
      <c r="AV16" s="12">
        <v>1869</v>
      </c>
      <c r="AW16" s="12">
        <v>1870.7</v>
      </c>
      <c r="AX16" s="12">
        <v>1799.55</v>
      </c>
      <c r="AY16" s="12">
        <v>1809.8</v>
      </c>
      <c r="AZ16" s="12">
        <v>18720000</v>
      </c>
    </row>
    <row r="17" spans="2:52" ht="15" thickBot="1" x14ac:dyDescent="0.35">
      <c r="B17" s="123">
        <v>43276</v>
      </c>
      <c r="C17" s="164">
        <v>-9.9879227261884217E-3</v>
      </c>
      <c r="D17" s="163">
        <f t="shared" si="0"/>
        <v>-5.3034854266547957E-2</v>
      </c>
      <c r="E17" s="163">
        <f t="shared" si="4"/>
        <v>1.2518761819271751E-2</v>
      </c>
      <c r="F17" s="163">
        <f t="shared" si="1"/>
        <v>2.3419455528783776E-2</v>
      </c>
      <c r="G17" s="163">
        <f t="shared" si="2"/>
        <v>4.6473388523550589E-2</v>
      </c>
      <c r="H17" s="165">
        <f t="shared" si="3"/>
        <v>2.0752340747963297E-2</v>
      </c>
      <c r="K17" s="123">
        <v>43276</v>
      </c>
      <c r="M17" s="151">
        <v>10822.900390999999</v>
      </c>
      <c r="N17" s="152">
        <v>10831.049805000001</v>
      </c>
      <c r="O17" s="152">
        <v>10557.700194999999</v>
      </c>
      <c r="P17" s="152">
        <v>10714.299805000001</v>
      </c>
      <c r="Q17" s="153">
        <v>1290700</v>
      </c>
      <c r="T17" s="12">
        <v>686.4</v>
      </c>
      <c r="U17" s="12">
        <v>721.75</v>
      </c>
      <c r="V17" s="12">
        <v>634.15</v>
      </c>
      <c r="W17" s="12">
        <v>655.45</v>
      </c>
      <c r="X17" s="12">
        <v>29330000</v>
      </c>
      <c r="AA17" s="12">
        <v>194.18</v>
      </c>
      <c r="AB17" s="12">
        <v>196.88</v>
      </c>
      <c r="AC17" s="12">
        <v>190.5</v>
      </c>
      <c r="AD17" s="12">
        <v>196.13</v>
      </c>
      <c r="AE17" s="12">
        <v>24140000</v>
      </c>
      <c r="AH17" s="12">
        <v>450.05</v>
      </c>
      <c r="AI17" s="12">
        <v>465.58</v>
      </c>
      <c r="AJ17" s="12">
        <v>447.62</v>
      </c>
      <c r="AK17" s="12">
        <v>463.12</v>
      </c>
      <c r="AL17" s="12">
        <v>42070000</v>
      </c>
      <c r="AO17" s="12">
        <v>625</v>
      </c>
      <c r="AP17" s="12">
        <v>657.5</v>
      </c>
      <c r="AQ17" s="12">
        <v>625</v>
      </c>
      <c r="AR17" s="12">
        <v>653.6</v>
      </c>
      <c r="AS17" s="12">
        <v>41210000</v>
      </c>
      <c r="AV17" s="12">
        <v>1812</v>
      </c>
      <c r="AW17" s="12">
        <v>1886.2</v>
      </c>
      <c r="AX17" s="12">
        <v>1806</v>
      </c>
      <c r="AY17" s="12">
        <v>1847.75</v>
      </c>
      <c r="AZ17" s="12">
        <v>21560000</v>
      </c>
    </row>
    <row r="18" spans="2:52" ht="15" thickBot="1" x14ac:dyDescent="0.35">
      <c r="B18" s="123">
        <v>43283</v>
      </c>
      <c r="C18" s="164">
        <v>5.4312714374611399E-3</v>
      </c>
      <c r="D18" s="163">
        <f t="shared" si="0"/>
        <v>-3.1854516467414169E-2</v>
      </c>
      <c r="E18" s="163">
        <f t="shared" si="4"/>
        <v>4.9335094852548727E-3</v>
      </c>
      <c r="F18" s="163">
        <f t="shared" si="1"/>
        <v>1.8886848000204123E-2</v>
      </c>
      <c r="G18" s="163">
        <f t="shared" si="2"/>
        <v>-1.7720341434579553E-2</v>
      </c>
      <c r="H18" s="165">
        <f t="shared" si="3"/>
        <v>3.4677870476022443E-2</v>
      </c>
      <c r="K18" s="123">
        <v>43283</v>
      </c>
      <c r="M18" s="151">
        <v>10732.349609000001</v>
      </c>
      <c r="N18" s="152">
        <v>10816.349609000001</v>
      </c>
      <c r="O18" s="152">
        <v>10604.650390999999</v>
      </c>
      <c r="P18" s="152">
        <v>10772.650390999999</v>
      </c>
      <c r="Q18" s="153">
        <v>891900</v>
      </c>
      <c r="T18" s="12">
        <v>655.55</v>
      </c>
      <c r="U18" s="12">
        <v>672</v>
      </c>
      <c r="V18" s="12">
        <v>633</v>
      </c>
      <c r="W18" s="12">
        <v>634.9</v>
      </c>
      <c r="X18" s="12">
        <v>18960000</v>
      </c>
      <c r="AA18" s="12">
        <v>200.48</v>
      </c>
      <c r="AB18" s="12">
        <v>200.48</v>
      </c>
      <c r="AC18" s="12">
        <v>193.58</v>
      </c>
      <c r="AD18" s="12">
        <v>197.1</v>
      </c>
      <c r="AE18" s="12">
        <v>26610000</v>
      </c>
      <c r="AH18" s="12">
        <v>463</v>
      </c>
      <c r="AI18" s="12">
        <v>475.5</v>
      </c>
      <c r="AJ18" s="12">
        <v>458.58</v>
      </c>
      <c r="AK18" s="12">
        <v>471.95</v>
      </c>
      <c r="AL18" s="12">
        <v>14510000</v>
      </c>
      <c r="AO18" s="12">
        <v>656.95</v>
      </c>
      <c r="AP18" s="12">
        <v>679</v>
      </c>
      <c r="AQ18" s="12">
        <v>634.04999999999995</v>
      </c>
      <c r="AR18" s="12">
        <v>642.12</v>
      </c>
      <c r="AS18" s="12">
        <v>48180000</v>
      </c>
      <c r="AV18" s="12">
        <v>1829.95</v>
      </c>
      <c r="AW18" s="12">
        <v>1921</v>
      </c>
      <c r="AX18" s="12">
        <v>1829.95</v>
      </c>
      <c r="AY18" s="12">
        <v>1912.95</v>
      </c>
      <c r="AZ18" s="12">
        <v>15560000</v>
      </c>
    </row>
    <row r="19" spans="2:52" ht="15" thickBot="1" x14ac:dyDescent="0.35">
      <c r="B19" s="123">
        <v>43290</v>
      </c>
      <c r="C19" s="164">
        <v>2.2601464664330589E-2</v>
      </c>
      <c r="D19" s="163">
        <f t="shared" si="0"/>
        <v>9.6399508223053969E-3</v>
      </c>
      <c r="E19" s="163">
        <f t="shared" si="4"/>
        <v>6.6439301029379436E-2</v>
      </c>
      <c r="F19" s="163">
        <f t="shared" si="1"/>
        <v>4.0934711972892404E-2</v>
      </c>
      <c r="G19" s="163">
        <f t="shared" si="2"/>
        <v>2.5492993535433786E-2</v>
      </c>
      <c r="H19" s="165">
        <f t="shared" si="3"/>
        <v>3.5005692839262262E-2</v>
      </c>
      <c r="K19" s="123">
        <v>43290</v>
      </c>
      <c r="M19" s="151">
        <v>10838.299805000001</v>
      </c>
      <c r="N19" s="152">
        <v>11078.299805000001</v>
      </c>
      <c r="O19" s="152">
        <v>10807.150390999999</v>
      </c>
      <c r="P19" s="152">
        <v>11018.900390999999</v>
      </c>
      <c r="Q19" s="153">
        <v>851200</v>
      </c>
      <c r="T19" s="12">
        <v>640.04999999999995</v>
      </c>
      <c r="U19" s="12">
        <v>669.9</v>
      </c>
      <c r="V19" s="12">
        <v>635.5</v>
      </c>
      <c r="W19" s="12">
        <v>641.04999999999995</v>
      </c>
      <c r="X19" s="12">
        <v>18520000</v>
      </c>
      <c r="AA19" s="12">
        <v>197.25</v>
      </c>
      <c r="AB19" s="12">
        <v>217.35</v>
      </c>
      <c r="AC19" s="12">
        <v>196.61</v>
      </c>
      <c r="AD19" s="12">
        <v>210.64</v>
      </c>
      <c r="AE19" s="12">
        <v>32390000</v>
      </c>
      <c r="AH19" s="12">
        <v>475</v>
      </c>
      <c r="AI19" s="12">
        <v>509.9</v>
      </c>
      <c r="AJ19" s="12">
        <v>472.95</v>
      </c>
      <c r="AK19" s="12">
        <v>491.67</v>
      </c>
      <c r="AL19" s="12">
        <v>50560000</v>
      </c>
      <c r="AO19" s="12">
        <v>646.28</v>
      </c>
      <c r="AP19" s="12">
        <v>671.05</v>
      </c>
      <c r="AQ19" s="12">
        <v>639.53</v>
      </c>
      <c r="AR19" s="12">
        <v>658.7</v>
      </c>
      <c r="AS19" s="12">
        <v>61660000</v>
      </c>
      <c r="AV19" s="12">
        <v>1927.95</v>
      </c>
      <c r="AW19" s="12">
        <v>1998</v>
      </c>
      <c r="AX19" s="12">
        <v>1870.75</v>
      </c>
      <c r="AY19" s="12">
        <v>1981.1</v>
      </c>
      <c r="AZ19" s="12">
        <v>48970000</v>
      </c>
    </row>
    <row r="20" spans="2:52" ht="15" thickBot="1" x14ac:dyDescent="0.35">
      <c r="B20" s="123">
        <v>43297</v>
      </c>
      <c r="C20" s="164">
        <v>-7.8988213053754377E-4</v>
      </c>
      <c r="D20" s="163">
        <f t="shared" si="0"/>
        <v>2.8298697273184206E-2</v>
      </c>
      <c r="E20" s="163">
        <f t="shared" si="4"/>
        <v>7.6143100034027191E-3</v>
      </c>
      <c r="F20" s="163">
        <f t="shared" si="1"/>
        <v>1.6000018507577055E-2</v>
      </c>
      <c r="G20" s="163">
        <f t="shared" si="2"/>
        <v>2.3036096490425644E-2</v>
      </c>
      <c r="H20" s="165">
        <f t="shared" si="3"/>
        <v>7.7934879220438805E-3</v>
      </c>
      <c r="K20" s="123">
        <v>43297</v>
      </c>
      <c r="M20" s="151">
        <v>11018.950194999999</v>
      </c>
      <c r="N20" s="152">
        <v>11076.200194999999</v>
      </c>
      <c r="O20" s="152">
        <v>10925.599609000001</v>
      </c>
      <c r="P20" s="152">
        <v>11010.200194999999</v>
      </c>
      <c r="Q20" s="153">
        <v>1049300</v>
      </c>
      <c r="T20" s="12">
        <v>641</v>
      </c>
      <c r="U20" s="12">
        <v>664.9</v>
      </c>
      <c r="V20" s="12">
        <v>638.20000000000005</v>
      </c>
      <c r="W20" s="12">
        <v>659.45</v>
      </c>
      <c r="X20" s="12">
        <v>13190000</v>
      </c>
      <c r="AA20" s="12">
        <v>209.25</v>
      </c>
      <c r="AB20" s="12">
        <v>217.95</v>
      </c>
      <c r="AC20" s="12">
        <v>208.5</v>
      </c>
      <c r="AD20" s="12">
        <v>212.25</v>
      </c>
      <c r="AE20" s="12">
        <v>29790000</v>
      </c>
      <c r="AH20" s="12">
        <v>492.42</v>
      </c>
      <c r="AI20" s="12">
        <v>502.25</v>
      </c>
      <c r="AJ20" s="12">
        <v>484.42</v>
      </c>
      <c r="AK20" s="12">
        <v>499.6</v>
      </c>
      <c r="AL20" s="12">
        <v>17000000</v>
      </c>
      <c r="AO20" s="12">
        <v>662.5</v>
      </c>
      <c r="AP20" s="12">
        <v>692.2</v>
      </c>
      <c r="AQ20" s="12">
        <v>643.85</v>
      </c>
      <c r="AR20" s="12">
        <v>674.05</v>
      </c>
      <c r="AS20" s="12">
        <v>74940000</v>
      </c>
      <c r="AV20" s="12">
        <v>1985.05</v>
      </c>
      <c r="AW20" s="12">
        <v>2011.7</v>
      </c>
      <c r="AX20" s="12">
        <v>1970</v>
      </c>
      <c r="AY20" s="12">
        <v>1996.6</v>
      </c>
      <c r="AZ20" s="12">
        <v>12050000</v>
      </c>
    </row>
    <row r="21" spans="2:52" ht="15" thickBot="1" x14ac:dyDescent="0.35">
      <c r="B21" s="123">
        <v>43304</v>
      </c>
      <c r="C21" s="164">
        <v>2.4062790521791246E-2</v>
      </c>
      <c r="D21" s="163">
        <f t="shared" si="0"/>
        <v>-2.2000810733697817E-2</v>
      </c>
      <c r="E21" s="163">
        <f t="shared" si="4"/>
        <v>-3.0471350406902898E-2</v>
      </c>
      <c r="F21" s="163">
        <f t="shared" si="1"/>
        <v>-3.6423987127501216E-2</v>
      </c>
      <c r="G21" s="163">
        <f t="shared" si="2"/>
        <v>1.862234786520589E-2</v>
      </c>
      <c r="H21" s="165">
        <f t="shared" si="3"/>
        <v>-2.6826636974780507E-2</v>
      </c>
      <c r="K21" s="123">
        <v>43304</v>
      </c>
      <c r="M21" s="151">
        <v>11019.849609000001</v>
      </c>
      <c r="N21" s="152">
        <v>11283.400390999999</v>
      </c>
      <c r="O21" s="152">
        <v>11010.950194999999</v>
      </c>
      <c r="P21" s="152">
        <v>11278.349609000001</v>
      </c>
      <c r="Q21" s="153">
        <v>1320800</v>
      </c>
      <c r="T21" s="12">
        <v>658</v>
      </c>
      <c r="U21" s="12">
        <v>660.95</v>
      </c>
      <c r="V21" s="12">
        <v>612.4</v>
      </c>
      <c r="W21" s="12">
        <v>645.1</v>
      </c>
      <c r="X21" s="12">
        <v>17370000</v>
      </c>
      <c r="AA21" s="12">
        <v>211.88</v>
      </c>
      <c r="AB21" s="12">
        <v>216</v>
      </c>
      <c r="AC21" s="12">
        <v>197.51</v>
      </c>
      <c r="AD21" s="12">
        <v>205.88</v>
      </c>
      <c r="AE21" s="12">
        <v>29910000</v>
      </c>
      <c r="AH21" s="12">
        <v>501.5</v>
      </c>
      <c r="AI21" s="12">
        <v>505.48</v>
      </c>
      <c r="AJ21" s="12">
        <v>472.52</v>
      </c>
      <c r="AK21" s="12">
        <v>481.73</v>
      </c>
      <c r="AL21" s="12">
        <v>25770000</v>
      </c>
      <c r="AO21" s="12">
        <v>676.08</v>
      </c>
      <c r="AP21" s="12">
        <v>696.9</v>
      </c>
      <c r="AQ21" s="12">
        <v>668.12</v>
      </c>
      <c r="AR21" s="12">
        <v>686.72</v>
      </c>
      <c r="AS21" s="12">
        <v>39830000</v>
      </c>
      <c r="AV21" s="12">
        <v>2001</v>
      </c>
      <c r="AW21" s="12">
        <v>2015</v>
      </c>
      <c r="AX21" s="12">
        <v>1940</v>
      </c>
      <c r="AY21" s="12">
        <v>1943.75</v>
      </c>
      <c r="AZ21" s="12">
        <v>11650000</v>
      </c>
    </row>
    <row r="22" spans="2:52" ht="15" thickBot="1" x14ac:dyDescent="0.35">
      <c r="B22" s="123">
        <v>43311</v>
      </c>
      <c r="C22" s="164">
        <v>7.2838920778706233E-3</v>
      </c>
      <c r="D22" s="163">
        <f t="shared" si="0"/>
        <v>2.6992501630938984E-2</v>
      </c>
      <c r="E22" s="163">
        <f t="shared" si="4"/>
        <v>1.2645566454302341E-2</v>
      </c>
      <c r="F22" s="163">
        <f t="shared" si="1"/>
        <v>2.0756361899418798E-4</v>
      </c>
      <c r="G22" s="163">
        <f t="shared" si="2"/>
        <v>-6.8236710631497631E-3</v>
      </c>
      <c r="H22" s="165">
        <f t="shared" si="3"/>
        <v>1.8199931395866113E-2</v>
      </c>
      <c r="K22" s="123">
        <v>43311</v>
      </c>
      <c r="M22" s="151">
        <v>11296.650390999999</v>
      </c>
      <c r="N22" s="152">
        <v>11390.549805000001</v>
      </c>
      <c r="O22" s="152">
        <v>11234.950194999999</v>
      </c>
      <c r="P22" s="152">
        <v>11360.799805000001</v>
      </c>
      <c r="Q22" s="153">
        <v>1233300</v>
      </c>
      <c r="T22" s="12">
        <v>649</v>
      </c>
      <c r="U22" s="12">
        <v>687.5</v>
      </c>
      <c r="V22" s="12">
        <v>646.29999999999995</v>
      </c>
      <c r="W22" s="12">
        <v>662.75</v>
      </c>
      <c r="X22" s="12">
        <v>22950000</v>
      </c>
      <c r="AA22" s="12">
        <v>205.84</v>
      </c>
      <c r="AB22" s="12">
        <v>210.6</v>
      </c>
      <c r="AC22" s="12">
        <v>201.98</v>
      </c>
      <c r="AD22" s="12">
        <v>208.5</v>
      </c>
      <c r="AE22" s="12">
        <v>17580000</v>
      </c>
      <c r="AH22" s="12">
        <v>484.5</v>
      </c>
      <c r="AI22" s="12">
        <v>492</v>
      </c>
      <c r="AJ22" s="12">
        <v>471.55</v>
      </c>
      <c r="AK22" s="12">
        <v>481.83</v>
      </c>
      <c r="AL22" s="12">
        <v>21050000</v>
      </c>
      <c r="AO22" s="12">
        <v>692.5</v>
      </c>
      <c r="AP22" s="12">
        <v>692.5</v>
      </c>
      <c r="AQ22" s="12">
        <v>667.5</v>
      </c>
      <c r="AR22" s="12">
        <v>682.05</v>
      </c>
      <c r="AS22" s="12">
        <v>43510000</v>
      </c>
      <c r="AV22" s="12">
        <v>1948.55</v>
      </c>
      <c r="AW22" s="12">
        <v>1985</v>
      </c>
      <c r="AX22" s="12">
        <v>1928</v>
      </c>
      <c r="AY22" s="12">
        <v>1979.45</v>
      </c>
      <c r="AZ22" s="12">
        <v>9690000</v>
      </c>
    </row>
    <row r="23" spans="2:52" ht="15" thickBot="1" x14ac:dyDescent="0.35">
      <c r="B23" s="123">
        <v>43318</v>
      </c>
      <c r="C23" s="164">
        <v>6.0289161335839638E-3</v>
      </c>
      <c r="D23" s="163">
        <f t="shared" si="0"/>
        <v>-2.5675743762824593E-2</v>
      </c>
      <c r="E23" s="163">
        <f t="shared" si="4"/>
        <v>3.0648429315865136E-3</v>
      </c>
      <c r="F23" s="163">
        <f t="shared" si="1"/>
        <v>2.4252989096571931E-3</v>
      </c>
      <c r="G23" s="163">
        <f t="shared" si="2"/>
        <v>1.5522908200416644E-2</v>
      </c>
      <c r="H23" s="165">
        <f t="shared" si="3"/>
        <v>6.8721872452817325E-3</v>
      </c>
      <c r="K23" s="123">
        <v>43318</v>
      </c>
      <c r="M23" s="151">
        <v>11401.5</v>
      </c>
      <c r="N23" s="152">
        <v>11495.200194999999</v>
      </c>
      <c r="O23" s="152">
        <v>11359.700194999999</v>
      </c>
      <c r="P23" s="152">
        <v>11429.5</v>
      </c>
      <c r="Q23" s="153">
        <v>942800</v>
      </c>
      <c r="T23" s="12">
        <v>662</v>
      </c>
      <c r="U23" s="12">
        <v>674.75</v>
      </c>
      <c r="V23" s="12">
        <v>634</v>
      </c>
      <c r="W23" s="12">
        <v>645.95000000000005</v>
      </c>
      <c r="X23" s="12">
        <v>14350000</v>
      </c>
      <c r="AA23" s="12">
        <v>208.88</v>
      </c>
      <c r="AB23" s="12">
        <v>211.5</v>
      </c>
      <c r="AC23" s="12">
        <v>205.76</v>
      </c>
      <c r="AD23" s="12">
        <v>209.14</v>
      </c>
      <c r="AE23" s="12">
        <v>13190000</v>
      </c>
      <c r="AH23" s="12">
        <v>484</v>
      </c>
      <c r="AI23" s="12">
        <v>485.48</v>
      </c>
      <c r="AJ23" s="12">
        <v>476.5</v>
      </c>
      <c r="AK23" s="12">
        <v>483</v>
      </c>
      <c r="AL23" s="12">
        <v>10770000</v>
      </c>
      <c r="AO23" s="12">
        <v>682.5</v>
      </c>
      <c r="AP23" s="12">
        <v>694.9</v>
      </c>
      <c r="AQ23" s="12">
        <v>673.75</v>
      </c>
      <c r="AR23" s="12">
        <v>692.72</v>
      </c>
      <c r="AS23" s="12">
        <v>29780000</v>
      </c>
      <c r="AV23" s="12">
        <v>1998</v>
      </c>
      <c r="AW23" s="12">
        <v>1998.95</v>
      </c>
      <c r="AX23" s="12">
        <v>1960.5</v>
      </c>
      <c r="AY23" s="12">
        <v>1993.1</v>
      </c>
      <c r="AZ23" s="12">
        <v>9570000</v>
      </c>
    </row>
    <row r="24" spans="2:52" ht="15" thickBot="1" x14ac:dyDescent="0.35">
      <c r="B24" s="123">
        <v>43325</v>
      </c>
      <c r="C24" s="164">
        <v>3.6025846542272321E-3</v>
      </c>
      <c r="D24" s="163">
        <f t="shared" si="0"/>
        <v>6.2630594919480184E-2</v>
      </c>
      <c r="E24" s="163">
        <f t="shared" si="4"/>
        <v>4.2941045992159598E-3</v>
      </c>
      <c r="F24" s="163">
        <f t="shared" si="1"/>
        <v>3.7626833313140394E-2</v>
      </c>
      <c r="G24" s="163">
        <f t="shared" si="2"/>
        <v>3.1894399531262684E-2</v>
      </c>
      <c r="H24" s="165">
        <f t="shared" si="3"/>
        <v>9.8107306113982759E-3</v>
      </c>
      <c r="K24" s="123">
        <v>43325</v>
      </c>
      <c r="M24" s="151">
        <v>11369.599609000001</v>
      </c>
      <c r="N24" s="152">
        <v>11486.450194999999</v>
      </c>
      <c r="O24" s="152">
        <v>11340.299805000001</v>
      </c>
      <c r="P24" s="152">
        <v>11470.75</v>
      </c>
      <c r="Q24" s="153">
        <v>1004800</v>
      </c>
      <c r="T24" s="12">
        <v>646</v>
      </c>
      <c r="U24" s="12">
        <v>690</v>
      </c>
      <c r="V24" s="12">
        <v>646</v>
      </c>
      <c r="W24" s="12">
        <v>687.7</v>
      </c>
      <c r="X24" s="12">
        <v>21210000</v>
      </c>
      <c r="AA24" s="12">
        <v>210.75</v>
      </c>
      <c r="AB24" s="12">
        <v>215.25</v>
      </c>
      <c r="AC24" s="12">
        <v>207.08</v>
      </c>
      <c r="AD24" s="12">
        <v>210.04</v>
      </c>
      <c r="AE24" s="12">
        <v>13930000</v>
      </c>
      <c r="AH24" s="12">
        <v>483</v>
      </c>
      <c r="AI24" s="12">
        <v>507.4</v>
      </c>
      <c r="AJ24" s="12">
        <v>481.5</v>
      </c>
      <c r="AK24" s="12">
        <v>501.52</v>
      </c>
      <c r="AL24" s="12">
        <v>17270000</v>
      </c>
      <c r="AO24" s="12">
        <v>692.5</v>
      </c>
      <c r="AP24" s="12">
        <v>718.83</v>
      </c>
      <c r="AQ24" s="12">
        <v>689.35</v>
      </c>
      <c r="AR24" s="12">
        <v>715.17</v>
      </c>
      <c r="AS24" s="12">
        <v>30390000</v>
      </c>
      <c r="AV24" s="12">
        <v>2000</v>
      </c>
      <c r="AW24" s="12">
        <v>2024.6</v>
      </c>
      <c r="AX24" s="12">
        <v>1982.4</v>
      </c>
      <c r="AY24" s="12">
        <v>2012.75</v>
      </c>
      <c r="AZ24" s="12">
        <v>11140000</v>
      </c>
    </row>
    <row r="25" spans="2:52" ht="15" thickBot="1" x14ac:dyDescent="0.35">
      <c r="B25" s="123">
        <v>43332</v>
      </c>
      <c r="C25" s="164">
        <v>7.4996159162172655E-3</v>
      </c>
      <c r="D25" s="163">
        <f t="shared" si="0"/>
        <v>4.3882596194465363E-2</v>
      </c>
      <c r="E25" s="163">
        <f t="shared" si="4"/>
        <v>4.2275898049930559E-2</v>
      </c>
      <c r="F25" s="163">
        <f t="shared" si="1"/>
        <v>2.0036399024235072E-2</v>
      </c>
      <c r="G25" s="163">
        <f t="shared" si="2"/>
        <v>-3.7061322530360638E-2</v>
      </c>
      <c r="H25" s="165">
        <f t="shared" si="3"/>
        <v>1.4917369637531831E-2</v>
      </c>
      <c r="K25" s="123">
        <v>43332</v>
      </c>
      <c r="M25" s="151">
        <v>11502.099609000001</v>
      </c>
      <c r="N25" s="152">
        <v>11620.700194999999</v>
      </c>
      <c r="O25" s="152">
        <v>11499.650390999999</v>
      </c>
      <c r="P25" s="152">
        <v>11557.099609000001</v>
      </c>
      <c r="Q25" s="153">
        <v>924100</v>
      </c>
      <c r="T25" s="12">
        <v>685</v>
      </c>
      <c r="U25" s="12">
        <v>738</v>
      </c>
      <c r="V25" s="12">
        <v>678.25</v>
      </c>
      <c r="W25" s="12">
        <v>718.55</v>
      </c>
      <c r="X25" s="12">
        <v>29990000</v>
      </c>
      <c r="AA25" s="12">
        <v>210</v>
      </c>
      <c r="AB25" s="12">
        <v>221.14</v>
      </c>
      <c r="AC25" s="12">
        <v>210</v>
      </c>
      <c r="AD25" s="12">
        <v>219.11</v>
      </c>
      <c r="AE25" s="12">
        <v>21680000</v>
      </c>
      <c r="AH25" s="12">
        <v>502.45</v>
      </c>
      <c r="AI25" s="12">
        <v>519.53</v>
      </c>
      <c r="AJ25" s="12">
        <v>493.5</v>
      </c>
      <c r="AK25" s="12">
        <v>511.67</v>
      </c>
      <c r="AL25" s="12">
        <v>23810000</v>
      </c>
      <c r="AO25" s="12">
        <v>694.35</v>
      </c>
      <c r="AP25" s="12">
        <v>704</v>
      </c>
      <c r="AQ25" s="12">
        <v>686.75</v>
      </c>
      <c r="AR25" s="12">
        <v>689.15</v>
      </c>
      <c r="AS25" s="12">
        <v>42100000</v>
      </c>
      <c r="AV25" s="12">
        <v>2023.5</v>
      </c>
      <c r="AW25" s="12">
        <v>2046.05</v>
      </c>
      <c r="AX25" s="12">
        <v>2003.7</v>
      </c>
      <c r="AY25" s="12">
        <v>2043</v>
      </c>
      <c r="AZ25" s="12">
        <v>7970000</v>
      </c>
    </row>
    <row r="26" spans="2:52" ht="15" thickBot="1" x14ac:dyDescent="0.35">
      <c r="B26" s="123">
        <v>43339</v>
      </c>
      <c r="C26" s="164">
        <v>1.0620851814603113E-2</v>
      </c>
      <c r="D26" s="163">
        <f t="shared" si="0"/>
        <v>6.3685746522938208E-2</v>
      </c>
      <c r="E26" s="163">
        <f t="shared" si="4"/>
        <v>3.0695590479193704E-2</v>
      </c>
      <c r="F26" s="163">
        <f t="shared" si="1"/>
        <v>2.2322139722128816E-2</v>
      </c>
      <c r="G26" s="163">
        <f t="shared" si="2"/>
        <v>4.4555855143922705E-2</v>
      </c>
      <c r="H26" s="165">
        <f t="shared" si="3"/>
        <v>1.7179051098712993E-2</v>
      </c>
      <c r="K26" s="123">
        <v>43339</v>
      </c>
      <c r="M26" s="151">
        <v>11605.849609000001</v>
      </c>
      <c r="N26" s="152">
        <v>11760.200194999999</v>
      </c>
      <c r="O26" s="152">
        <v>11595.599609000001</v>
      </c>
      <c r="P26" s="152">
        <v>11680.5</v>
      </c>
      <c r="Q26" s="153">
        <v>1353300</v>
      </c>
      <c r="T26" s="12">
        <v>720</v>
      </c>
      <c r="U26" s="12">
        <v>769.75</v>
      </c>
      <c r="V26" s="12">
        <v>719</v>
      </c>
      <c r="W26" s="12">
        <v>765.8</v>
      </c>
      <c r="X26" s="12">
        <v>22870000</v>
      </c>
      <c r="AA26" s="12">
        <v>219.68</v>
      </c>
      <c r="AB26" s="12">
        <v>229.88</v>
      </c>
      <c r="AC26" s="12">
        <v>218.06</v>
      </c>
      <c r="AD26" s="12">
        <v>225.94</v>
      </c>
      <c r="AE26" s="12">
        <v>23630000</v>
      </c>
      <c r="AH26" s="12">
        <v>513.45000000000005</v>
      </c>
      <c r="AI26" s="12">
        <v>527.5</v>
      </c>
      <c r="AJ26" s="12">
        <v>506.5</v>
      </c>
      <c r="AK26" s="12">
        <v>523.22</v>
      </c>
      <c r="AL26" s="12">
        <v>21430000</v>
      </c>
      <c r="AO26" s="12">
        <v>691.67</v>
      </c>
      <c r="AP26" s="12">
        <v>727.15</v>
      </c>
      <c r="AQ26" s="12">
        <v>690.7</v>
      </c>
      <c r="AR26" s="12">
        <v>720.55</v>
      </c>
      <c r="AS26" s="12">
        <v>47310000</v>
      </c>
      <c r="AV26" s="12">
        <v>2042</v>
      </c>
      <c r="AW26" s="12">
        <v>2092</v>
      </c>
      <c r="AX26" s="12">
        <v>2035</v>
      </c>
      <c r="AY26" s="12">
        <v>2078.4</v>
      </c>
      <c r="AZ26" s="12">
        <v>10680000</v>
      </c>
    </row>
    <row r="27" spans="2:52" ht="15" thickBot="1" x14ac:dyDescent="0.35">
      <c r="B27" s="123">
        <v>43346</v>
      </c>
      <c r="C27" s="164">
        <v>-7.8558172543812723E-3</v>
      </c>
      <c r="D27" s="163">
        <f t="shared" si="0"/>
        <v>8.3225447869420058E-3</v>
      </c>
      <c r="E27" s="163">
        <f t="shared" si="4"/>
        <v>7.497066092038121E-2</v>
      </c>
      <c r="F27" s="163">
        <f t="shared" si="1"/>
        <v>2.5940201314441382E-2</v>
      </c>
      <c r="G27" s="163">
        <f t="shared" si="2"/>
        <v>1.6858004075549982E-2</v>
      </c>
      <c r="H27" s="165">
        <f t="shared" si="3"/>
        <v>6.9740879397382251E-4</v>
      </c>
      <c r="K27" s="123">
        <v>43346</v>
      </c>
      <c r="M27" s="151">
        <v>11751.799805000001</v>
      </c>
      <c r="N27" s="152">
        <v>11751.799805000001</v>
      </c>
      <c r="O27" s="152">
        <v>11393.849609000001</v>
      </c>
      <c r="P27" s="152">
        <v>11589.099609000001</v>
      </c>
      <c r="Q27" s="153">
        <v>1279100</v>
      </c>
      <c r="T27" s="12">
        <v>767</v>
      </c>
      <c r="U27" s="12">
        <v>780</v>
      </c>
      <c r="V27" s="12">
        <v>741.5</v>
      </c>
      <c r="W27" s="12">
        <v>772.2</v>
      </c>
      <c r="X27" s="12">
        <v>22090000</v>
      </c>
      <c r="AA27" s="12">
        <v>246</v>
      </c>
      <c r="AB27" s="12">
        <v>246.19</v>
      </c>
      <c r="AC27" s="12">
        <v>229.73</v>
      </c>
      <c r="AD27" s="12">
        <v>243.53</v>
      </c>
      <c r="AE27" s="12">
        <v>91230000</v>
      </c>
      <c r="AH27" s="12">
        <v>525</v>
      </c>
      <c r="AI27" s="12">
        <v>544.9</v>
      </c>
      <c r="AJ27" s="12">
        <v>522.16999999999996</v>
      </c>
      <c r="AK27" s="12">
        <v>536.97</v>
      </c>
      <c r="AL27" s="12">
        <v>27240000</v>
      </c>
      <c r="AO27" s="12">
        <v>729</v>
      </c>
      <c r="AP27" s="12">
        <v>748.5</v>
      </c>
      <c r="AQ27" s="12">
        <v>715</v>
      </c>
      <c r="AR27" s="12">
        <v>732.8</v>
      </c>
      <c r="AS27" s="12">
        <v>50430000</v>
      </c>
      <c r="AV27" s="12">
        <v>2080.0500000000002</v>
      </c>
      <c r="AW27" s="12">
        <v>2107.25</v>
      </c>
      <c r="AX27" s="12">
        <v>2048.4</v>
      </c>
      <c r="AY27" s="12">
        <v>2079.85</v>
      </c>
      <c r="AZ27" s="12">
        <v>11790000</v>
      </c>
    </row>
    <row r="28" spans="2:52" ht="15" thickBot="1" x14ac:dyDescent="0.35">
      <c r="B28" s="123">
        <v>43353</v>
      </c>
      <c r="C28" s="164">
        <v>-6.3970487430903078E-3</v>
      </c>
      <c r="D28" s="163">
        <f t="shared" si="0"/>
        <v>-1.53332205117582E-2</v>
      </c>
      <c r="E28" s="163">
        <f t="shared" si="4"/>
        <v>1.6776320815082662E-2</v>
      </c>
      <c r="F28" s="163">
        <f t="shared" si="1"/>
        <v>-3.0214884222392003E-3</v>
      </c>
      <c r="G28" s="163">
        <f t="shared" si="2"/>
        <v>1.2274123600280937E-3</v>
      </c>
      <c r="H28" s="165">
        <f t="shared" si="3"/>
        <v>-6.9718634730052582E-3</v>
      </c>
      <c r="K28" s="123">
        <v>43353</v>
      </c>
      <c r="M28" s="151">
        <v>11570.25</v>
      </c>
      <c r="N28" s="152">
        <v>11573</v>
      </c>
      <c r="O28" s="152">
        <v>11250.200194999999</v>
      </c>
      <c r="P28" s="152">
        <v>11515.200194999999</v>
      </c>
      <c r="Q28" s="153">
        <v>831500</v>
      </c>
      <c r="T28" s="12">
        <v>770.4</v>
      </c>
      <c r="U28" s="12">
        <v>776.6</v>
      </c>
      <c r="V28" s="12">
        <v>721.55</v>
      </c>
      <c r="W28" s="12">
        <v>760.45</v>
      </c>
      <c r="X28" s="12">
        <v>16400000</v>
      </c>
      <c r="AA28" s="12">
        <v>243.38</v>
      </c>
      <c r="AB28" s="12">
        <v>250.24</v>
      </c>
      <c r="AC28" s="12">
        <v>241.8</v>
      </c>
      <c r="AD28" s="12">
        <v>247.65</v>
      </c>
      <c r="AE28" s="12">
        <v>30100000</v>
      </c>
      <c r="AH28" s="12">
        <v>537.5</v>
      </c>
      <c r="AI28" s="12">
        <v>549.5</v>
      </c>
      <c r="AJ28" s="12">
        <v>532.6</v>
      </c>
      <c r="AK28" s="12">
        <v>535.35</v>
      </c>
      <c r="AL28" s="12">
        <v>29750000</v>
      </c>
      <c r="AO28" s="12">
        <v>737</v>
      </c>
      <c r="AP28" s="12">
        <v>747</v>
      </c>
      <c r="AQ28" s="12">
        <v>729.05</v>
      </c>
      <c r="AR28" s="12">
        <v>733.7</v>
      </c>
      <c r="AS28" s="12">
        <v>26560000</v>
      </c>
      <c r="AV28" s="12">
        <v>2082.9499999999998</v>
      </c>
      <c r="AW28" s="12">
        <v>2093.4</v>
      </c>
      <c r="AX28" s="12">
        <v>2018.15</v>
      </c>
      <c r="AY28" s="12">
        <v>2065.4</v>
      </c>
      <c r="AZ28" s="12">
        <v>11620000</v>
      </c>
    </row>
    <row r="29" spans="2:52" ht="15" thickBot="1" x14ac:dyDescent="0.35">
      <c r="B29" s="123">
        <v>43360</v>
      </c>
      <c r="C29" s="164">
        <v>-3.2847481525952689E-2</v>
      </c>
      <c r="D29" s="163">
        <f t="shared" si="0"/>
        <v>-2.9898790335372058E-2</v>
      </c>
      <c r="E29" s="163">
        <f t="shared" si="4"/>
        <v>1.5028837121900415E-2</v>
      </c>
      <c r="F29" s="163">
        <f t="shared" si="1"/>
        <v>1.3175176664180643E-2</v>
      </c>
      <c r="G29" s="163">
        <f t="shared" si="2"/>
        <v>-3.947698150581521E-2</v>
      </c>
      <c r="H29" s="165">
        <f t="shared" si="3"/>
        <v>1.8112308597946613E-2</v>
      </c>
      <c r="K29" s="123">
        <v>43360</v>
      </c>
      <c r="M29" s="151">
        <v>11464.950194999999</v>
      </c>
      <c r="N29" s="152">
        <v>11464.950194999999</v>
      </c>
      <c r="O29" s="152">
        <v>10866.450194999999</v>
      </c>
      <c r="P29" s="152">
        <v>11143.099609000001</v>
      </c>
      <c r="Q29" s="153">
        <v>1411900</v>
      </c>
      <c r="T29" s="12">
        <v>760</v>
      </c>
      <c r="U29" s="12">
        <v>775</v>
      </c>
      <c r="V29" s="12">
        <v>692.3</v>
      </c>
      <c r="W29" s="12">
        <v>738.05</v>
      </c>
      <c r="X29" s="12">
        <v>11650000</v>
      </c>
      <c r="AA29" s="12">
        <v>248.25</v>
      </c>
      <c r="AB29" s="12">
        <v>254.29</v>
      </c>
      <c r="AC29" s="12">
        <v>243.75</v>
      </c>
      <c r="AD29" s="12">
        <v>251.4</v>
      </c>
      <c r="AE29" s="12">
        <v>24820000</v>
      </c>
      <c r="AH29" s="12">
        <v>532.5</v>
      </c>
      <c r="AI29" s="12">
        <v>549.22</v>
      </c>
      <c r="AJ29" s="12">
        <v>532.5</v>
      </c>
      <c r="AK29" s="12">
        <v>542.45000000000005</v>
      </c>
      <c r="AL29" s="12">
        <v>17560000</v>
      </c>
      <c r="AO29" s="12">
        <v>736.4</v>
      </c>
      <c r="AP29" s="12">
        <v>740</v>
      </c>
      <c r="AQ29" s="12">
        <v>692</v>
      </c>
      <c r="AR29" s="12">
        <v>705.3</v>
      </c>
      <c r="AS29" s="12">
        <v>33780000</v>
      </c>
      <c r="AV29" s="12">
        <v>2070</v>
      </c>
      <c r="AW29" s="12">
        <v>2130.85</v>
      </c>
      <c r="AX29" s="12">
        <v>2050.15</v>
      </c>
      <c r="AY29" s="12">
        <v>2103.15</v>
      </c>
      <c r="AZ29" s="12">
        <v>8580000</v>
      </c>
    </row>
    <row r="30" spans="2:52" ht="15" thickBot="1" x14ac:dyDescent="0.35">
      <c r="B30" s="123">
        <v>43367</v>
      </c>
      <c r="C30" s="164">
        <v>-1.9267946909830993E-2</v>
      </c>
      <c r="D30" s="163">
        <f t="shared" si="0"/>
        <v>1.0043561221787331E-2</v>
      </c>
      <c r="E30" s="163">
        <f t="shared" si="4"/>
        <v>-3.3983852815598618E-2</v>
      </c>
      <c r="F30" s="163">
        <f t="shared" si="1"/>
        <v>2.669491160455353E-3</v>
      </c>
      <c r="G30" s="163">
        <f t="shared" si="2"/>
        <v>3.448978073343946E-2</v>
      </c>
      <c r="H30" s="165">
        <f t="shared" si="3"/>
        <v>3.7584464957071441E-2</v>
      </c>
      <c r="K30" s="123">
        <v>43367</v>
      </c>
      <c r="M30" s="151">
        <v>11164.400390999999</v>
      </c>
      <c r="N30" s="152">
        <v>11170.150390999999</v>
      </c>
      <c r="O30" s="152">
        <v>10850.299805000001</v>
      </c>
      <c r="P30" s="152">
        <v>10930.450194999999</v>
      </c>
      <c r="Q30" s="153">
        <v>1629300</v>
      </c>
      <c r="T30" s="12">
        <v>740</v>
      </c>
      <c r="U30" s="12">
        <v>772.7</v>
      </c>
      <c r="V30" s="12">
        <v>725</v>
      </c>
      <c r="W30" s="12">
        <v>745.5</v>
      </c>
      <c r="X30" s="12">
        <v>16140000</v>
      </c>
      <c r="AA30" s="12">
        <v>249.38</v>
      </c>
      <c r="AB30" s="12">
        <v>253.5</v>
      </c>
      <c r="AC30" s="12">
        <v>236.55</v>
      </c>
      <c r="AD30" s="12">
        <v>243</v>
      </c>
      <c r="AE30" s="12">
        <v>57150000</v>
      </c>
      <c r="AH30" s="12">
        <v>544.97</v>
      </c>
      <c r="AI30" s="12">
        <v>562.53</v>
      </c>
      <c r="AJ30" s="12">
        <v>540.04999999999995</v>
      </c>
      <c r="AK30" s="12">
        <v>543.9</v>
      </c>
      <c r="AL30" s="12">
        <v>23950000</v>
      </c>
      <c r="AO30" s="12">
        <v>709</v>
      </c>
      <c r="AP30" s="12">
        <v>738</v>
      </c>
      <c r="AQ30" s="12">
        <v>705.5</v>
      </c>
      <c r="AR30" s="12">
        <v>730.05</v>
      </c>
      <c r="AS30" s="12">
        <v>49620000</v>
      </c>
      <c r="AV30" s="12">
        <v>2104</v>
      </c>
      <c r="AW30" s="12">
        <v>2214.15</v>
      </c>
      <c r="AX30" s="12">
        <v>2098.15</v>
      </c>
      <c r="AY30" s="12">
        <v>2183.6999999999998</v>
      </c>
      <c r="AZ30" s="12">
        <v>14790000</v>
      </c>
    </row>
    <row r="31" spans="2:52" ht="15" thickBot="1" x14ac:dyDescent="0.35">
      <c r="B31" s="123">
        <v>43374</v>
      </c>
      <c r="C31" s="164">
        <v>-5.7812762741458003E-2</v>
      </c>
      <c r="D31" s="163">
        <f t="shared" si="0"/>
        <v>-4.2472136834871027E-2</v>
      </c>
      <c r="E31" s="163">
        <f t="shared" si="4"/>
        <v>4.0248113800430609E-3</v>
      </c>
      <c r="F31" s="163">
        <f t="shared" si="1"/>
        <v>-3.4994049892687869E-3</v>
      </c>
      <c r="G31" s="163">
        <f t="shared" si="2"/>
        <v>-7.4932464865960849E-3</v>
      </c>
      <c r="H31" s="165">
        <f t="shared" si="3"/>
        <v>-3.782223185152947E-2</v>
      </c>
      <c r="K31" s="123">
        <v>43374</v>
      </c>
      <c r="M31" s="151">
        <v>10930.900390999999</v>
      </c>
      <c r="N31" s="152">
        <v>11035.650390999999</v>
      </c>
      <c r="O31" s="152">
        <v>10261.900390999999</v>
      </c>
      <c r="P31" s="152">
        <v>10316.450194999999</v>
      </c>
      <c r="Q31" s="153">
        <v>1805300</v>
      </c>
      <c r="T31" s="12">
        <v>748</v>
      </c>
      <c r="U31" s="12">
        <v>780.8</v>
      </c>
      <c r="V31" s="12">
        <v>695.5</v>
      </c>
      <c r="W31" s="12">
        <v>714.5</v>
      </c>
      <c r="X31" s="12">
        <v>19400000</v>
      </c>
      <c r="AA31" s="12">
        <v>242.96</v>
      </c>
      <c r="AB31" s="12">
        <v>249.34</v>
      </c>
      <c r="AC31" s="12">
        <v>240.45</v>
      </c>
      <c r="AD31" s="12">
        <v>243.98</v>
      </c>
      <c r="AE31" s="12">
        <v>22430000</v>
      </c>
      <c r="AH31" s="12">
        <v>542.6</v>
      </c>
      <c r="AI31" s="12">
        <v>552.35</v>
      </c>
      <c r="AJ31" s="12">
        <v>530.5</v>
      </c>
      <c r="AK31" s="12">
        <v>542</v>
      </c>
      <c r="AL31" s="12">
        <v>15260000</v>
      </c>
      <c r="AO31" s="12">
        <v>735.1</v>
      </c>
      <c r="AP31" s="12">
        <v>754.95</v>
      </c>
      <c r="AQ31" s="12">
        <v>702.5</v>
      </c>
      <c r="AR31" s="12">
        <v>724.6</v>
      </c>
      <c r="AS31" s="12">
        <v>35620000</v>
      </c>
      <c r="AV31" s="12">
        <v>2186</v>
      </c>
      <c r="AW31" s="12">
        <v>2275.9499999999998</v>
      </c>
      <c r="AX31" s="12">
        <v>2020.9</v>
      </c>
      <c r="AY31" s="12">
        <v>2102.65</v>
      </c>
      <c r="AZ31" s="12">
        <v>16900000</v>
      </c>
    </row>
    <row r="32" spans="2:52" ht="15" thickBot="1" x14ac:dyDescent="0.35">
      <c r="B32" s="123">
        <v>43381</v>
      </c>
      <c r="C32" s="164">
        <v>1.5013046310752709E-2</v>
      </c>
      <c r="D32" s="163">
        <f t="shared" si="0"/>
        <v>-2.9399262834272799E-2</v>
      </c>
      <c r="E32" s="163">
        <f t="shared" si="4"/>
        <v>-2.80561200463182E-2</v>
      </c>
      <c r="F32" s="163">
        <f t="shared" si="1"/>
        <v>-9.5609117470666916E-2</v>
      </c>
      <c r="G32" s="163">
        <f t="shared" si="2"/>
        <v>-6.5293245100905742E-2</v>
      </c>
      <c r="H32" s="165">
        <f t="shared" si="3"/>
        <v>-9.175907679850033E-2</v>
      </c>
      <c r="K32" s="123">
        <v>43381</v>
      </c>
      <c r="M32" s="151">
        <v>10310.150390999999</v>
      </c>
      <c r="N32" s="152">
        <v>10492.450194999999</v>
      </c>
      <c r="O32" s="152">
        <v>10138.599609000001</v>
      </c>
      <c r="P32" s="152">
        <v>10472.5</v>
      </c>
      <c r="Q32" s="153">
        <v>1713700</v>
      </c>
      <c r="T32" s="12">
        <v>714.75</v>
      </c>
      <c r="U32" s="12">
        <v>719.4</v>
      </c>
      <c r="V32" s="12">
        <v>677.65</v>
      </c>
      <c r="W32" s="12">
        <v>693.8</v>
      </c>
      <c r="X32" s="12">
        <v>15630000</v>
      </c>
      <c r="AA32" s="12">
        <v>241.13</v>
      </c>
      <c r="AB32" s="12">
        <v>249.79</v>
      </c>
      <c r="AC32" s="12">
        <v>228.64</v>
      </c>
      <c r="AD32" s="12">
        <v>237.23</v>
      </c>
      <c r="AE32" s="12">
        <v>26400000</v>
      </c>
      <c r="AH32" s="12">
        <v>537.5</v>
      </c>
      <c r="AI32" s="12">
        <v>542.28</v>
      </c>
      <c r="AJ32" s="12">
        <v>487.25</v>
      </c>
      <c r="AK32" s="12">
        <v>492.58</v>
      </c>
      <c r="AL32" s="12">
        <v>20810000</v>
      </c>
      <c r="AO32" s="12">
        <v>725.05</v>
      </c>
      <c r="AP32" s="12">
        <v>728.7</v>
      </c>
      <c r="AQ32" s="12">
        <v>661.5</v>
      </c>
      <c r="AR32" s="12">
        <v>678.8</v>
      </c>
      <c r="AS32" s="12">
        <v>45650000</v>
      </c>
      <c r="AV32" s="12">
        <v>2106.5</v>
      </c>
      <c r="AW32" s="12">
        <v>2122.9</v>
      </c>
      <c r="AX32" s="12">
        <v>1903</v>
      </c>
      <c r="AY32" s="12">
        <v>1918.3</v>
      </c>
      <c r="AZ32" s="12">
        <v>23870000</v>
      </c>
    </row>
    <row r="33" spans="2:52" ht="15" thickBot="1" x14ac:dyDescent="0.35">
      <c r="B33" s="123">
        <v>43388</v>
      </c>
      <c r="C33" s="164">
        <v>-1.6264296716484897E-2</v>
      </c>
      <c r="D33" s="163">
        <f t="shared" si="0"/>
        <v>-4.3333882631258437E-3</v>
      </c>
      <c r="E33" s="163">
        <f t="shared" si="4"/>
        <v>2.1394089402515148E-2</v>
      </c>
      <c r="F33" s="163">
        <f t="shared" si="1"/>
        <v>-2.743450204322544E-2</v>
      </c>
      <c r="G33" s="163">
        <f t="shared" si="2"/>
        <v>6.9732730179300441E-3</v>
      </c>
      <c r="H33" s="165">
        <f t="shared" si="3"/>
        <v>-2.6621443361502174E-3</v>
      </c>
      <c r="K33" s="123">
        <v>43388</v>
      </c>
      <c r="M33" s="151">
        <v>10524.200194999999</v>
      </c>
      <c r="N33" s="152">
        <v>10710.150390999999</v>
      </c>
      <c r="O33" s="152">
        <v>10249.599609000001</v>
      </c>
      <c r="P33" s="152">
        <v>10303.549805000001</v>
      </c>
      <c r="Q33" s="153">
        <v>1167000</v>
      </c>
      <c r="T33" s="12">
        <v>696.5</v>
      </c>
      <c r="U33" s="12">
        <v>735</v>
      </c>
      <c r="V33" s="12">
        <v>681.45</v>
      </c>
      <c r="W33" s="12">
        <v>690.8</v>
      </c>
      <c r="X33" s="12">
        <v>12790000</v>
      </c>
      <c r="AA33" s="12">
        <v>237.23</v>
      </c>
      <c r="AB33" s="12">
        <v>249.75</v>
      </c>
      <c r="AC33" s="12">
        <v>235.61</v>
      </c>
      <c r="AD33" s="12">
        <v>242.36</v>
      </c>
      <c r="AE33" s="12">
        <v>20140000</v>
      </c>
      <c r="AH33" s="12">
        <v>492.3</v>
      </c>
      <c r="AI33" s="12">
        <v>518</v>
      </c>
      <c r="AJ33" s="12">
        <v>475.98</v>
      </c>
      <c r="AK33" s="12">
        <v>479.25</v>
      </c>
      <c r="AL33" s="12">
        <v>17130000</v>
      </c>
      <c r="AO33" s="12">
        <v>690</v>
      </c>
      <c r="AP33" s="12">
        <v>721.8</v>
      </c>
      <c r="AQ33" s="12">
        <v>678</v>
      </c>
      <c r="AR33" s="12">
        <v>683.55</v>
      </c>
      <c r="AS33" s="12">
        <v>51780000</v>
      </c>
      <c r="AV33" s="12">
        <v>1937</v>
      </c>
      <c r="AW33" s="12">
        <v>1989</v>
      </c>
      <c r="AX33" s="12">
        <v>1870.05</v>
      </c>
      <c r="AY33" s="12">
        <v>1913.2</v>
      </c>
      <c r="AZ33" s="12">
        <v>12430000</v>
      </c>
    </row>
    <row r="34" spans="2:52" ht="15" thickBot="1" x14ac:dyDescent="0.35">
      <c r="B34" s="123">
        <v>43395</v>
      </c>
      <c r="C34" s="164">
        <v>-2.6907875148723833E-2</v>
      </c>
      <c r="D34" s="163">
        <f t="shared" si="0"/>
        <v>-5.5813904425818857E-2</v>
      </c>
      <c r="E34" s="163">
        <f t="shared" si="4"/>
        <v>-7.9120563531167882E-3</v>
      </c>
      <c r="F34" s="163">
        <f t="shared" si="1"/>
        <v>8.4151969252844981E-3</v>
      </c>
      <c r="G34" s="163">
        <f t="shared" si="2"/>
        <v>-7.5881965877785049E-2</v>
      </c>
      <c r="H34" s="165">
        <f t="shared" si="3"/>
        <v>-6.1490692963568176E-2</v>
      </c>
      <c r="K34" s="123">
        <v>43395</v>
      </c>
      <c r="M34" s="151">
        <v>10405.849609000001</v>
      </c>
      <c r="N34" s="152">
        <v>10408.549805000001</v>
      </c>
      <c r="O34" s="152">
        <v>10004.549805000001</v>
      </c>
      <c r="P34" s="152">
        <v>10030</v>
      </c>
      <c r="Q34" s="153">
        <v>1315600</v>
      </c>
      <c r="T34" s="12">
        <v>690</v>
      </c>
      <c r="U34" s="12">
        <v>720</v>
      </c>
      <c r="V34" s="12">
        <v>640.4</v>
      </c>
      <c r="W34" s="12">
        <v>653.29999999999995</v>
      </c>
      <c r="X34" s="12">
        <v>12030000</v>
      </c>
      <c r="AA34" s="12">
        <v>248.25</v>
      </c>
      <c r="AB34" s="12">
        <v>248.25</v>
      </c>
      <c r="AC34" s="12">
        <v>220.5</v>
      </c>
      <c r="AD34" s="12">
        <v>240.45</v>
      </c>
      <c r="AE34" s="12">
        <v>41800000</v>
      </c>
      <c r="AH34" s="12">
        <v>480</v>
      </c>
      <c r="AI34" s="12">
        <v>505.73</v>
      </c>
      <c r="AJ34" s="12">
        <v>472.9</v>
      </c>
      <c r="AK34" s="12">
        <v>483.3</v>
      </c>
      <c r="AL34" s="12">
        <v>25790000</v>
      </c>
      <c r="AO34" s="12">
        <v>691</v>
      </c>
      <c r="AP34" s="12">
        <v>705</v>
      </c>
      <c r="AQ34" s="12">
        <v>629.9</v>
      </c>
      <c r="AR34" s="12">
        <v>633.6</v>
      </c>
      <c r="AS34" s="12">
        <v>40100000</v>
      </c>
      <c r="AV34" s="12">
        <v>1918</v>
      </c>
      <c r="AW34" s="12">
        <v>1919.5</v>
      </c>
      <c r="AX34" s="12">
        <v>1791.1</v>
      </c>
      <c r="AY34" s="12">
        <v>1799.1</v>
      </c>
      <c r="AZ34" s="12">
        <v>12660000</v>
      </c>
    </row>
    <row r="35" spans="2:52" ht="15" thickBot="1" x14ac:dyDescent="0.35">
      <c r="B35" s="123">
        <v>43402</v>
      </c>
      <c r="C35" s="164">
        <v>5.0829577715109063E-2</v>
      </c>
      <c r="D35" s="163">
        <f t="shared" si="0"/>
        <v>5.5958653648044629E-2</v>
      </c>
      <c r="E35" s="163">
        <f t="shared" si="4"/>
        <v>-6.8857862052245505E-3</v>
      </c>
      <c r="F35" s="163">
        <f t="shared" si="1"/>
        <v>3.855997190496057E-2</v>
      </c>
      <c r="G35" s="163">
        <f t="shared" si="2"/>
        <v>4.4225287651962944E-2</v>
      </c>
      <c r="H35" s="165">
        <f t="shared" si="3"/>
        <v>6.1621355553747932E-2</v>
      </c>
      <c r="K35" s="123">
        <v>43402</v>
      </c>
      <c r="M35" s="151">
        <v>10078.099609000001</v>
      </c>
      <c r="N35" s="152">
        <v>10606.950194999999</v>
      </c>
      <c r="O35" s="152">
        <v>10020.349609000001</v>
      </c>
      <c r="P35" s="152">
        <v>10553</v>
      </c>
      <c r="Q35" s="153">
        <v>1798900</v>
      </c>
      <c r="T35" s="12">
        <v>666</v>
      </c>
      <c r="U35" s="12">
        <v>750.4</v>
      </c>
      <c r="V35" s="12">
        <v>643</v>
      </c>
      <c r="W35" s="12">
        <v>690.9</v>
      </c>
      <c r="X35" s="12">
        <v>28460000</v>
      </c>
      <c r="AA35" s="12">
        <v>242.78</v>
      </c>
      <c r="AB35" s="12">
        <v>251.03</v>
      </c>
      <c r="AC35" s="12">
        <v>236.25</v>
      </c>
      <c r="AD35" s="12">
        <v>238.8</v>
      </c>
      <c r="AE35" s="12">
        <v>22670000</v>
      </c>
      <c r="AH35" s="12">
        <v>482.6</v>
      </c>
      <c r="AI35" s="12">
        <v>532.85</v>
      </c>
      <c r="AJ35" s="12">
        <v>476.88</v>
      </c>
      <c r="AK35" s="12">
        <v>502.3</v>
      </c>
      <c r="AL35" s="12">
        <v>25530000</v>
      </c>
      <c r="AO35" s="12">
        <v>633</v>
      </c>
      <c r="AP35" s="12">
        <v>693.9</v>
      </c>
      <c r="AQ35" s="12">
        <v>631.5</v>
      </c>
      <c r="AR35" s="12">
        <v>662.25</v>
      </c>
      <c r="AS35" s="12">
        <v>42750000</v>
      </c>
      <c r="AV35" s="12">
        <v>1810</v>
      </c>
      <c r="AW35" s="12">
        <v>1954.6</v>
      </c>
      <c r="AX35" s="12">
        <v>1784</v>
      </c>
      <c r="AY35" s="12">
        <v>1913.45</v>
      </c>
      <c r="AZ35" s="12">
        <v>13020000</v>
      </c>
    </row>
    <row r="36" spans="2:52" ht="15" thickBot="1" x14ac:dyDescent="0.35">
      <c r="B36" s="123">
        <v>43409</v>
      </c>
      <c r="C36" s="164">
        <v>3.0466378035787335E-3</v>
      </c>
      <c r="D36" s="163">
        <f t="shared" si="0"/>
        <v>2.3318415828684633E-2</v>
      </c>
      <c r="E36" s="163">
        <f t="shared" si="4"/>
        <v>2.0065344449836833E-2</v>
      </c>
      <c r="F36" s="163">
        <f t="shared" si="1"/>
        <v>2.2928433702932106E-2</v>
      </c>
      <c r="G36" s="163">
        <f t="shared" si="2"/>
        <v>-4.1611559948097968E-3</v>
      </c>
      <c r="H36" s="165">
        <f t="shared" si="3"/>
        <v>-2.2235892645801128E-3</v>
      </c>
      <c r="K36" s="123">
        <v>43409</v>
      </c>
      <c r="M36" s="151">
        <v>10558.75</v>
      </c>
      <c r="N36" s="152">
        <v>10619.549805000001</v>
      </c>
      <c r="O36" s="152">
        <v>10477</v>
      </c>
      <c r="P36" s="152">
        <v>10585.200194999999</v>
      </c>
      <c r="Q36" s="153">
        <v>629700</v>
      </c>
      <c r="T36" s="12">
        <v>692</v>
      </c>
      <c r="U36" s="12">
        <v>711</v>
      </c>
      <c r="V36" s="12">
        <v>685</v>
      </c>
      <c r="W36" s="12">
        <v>707.2</v>
      </c>
      <c r="X36" s="12">
        <v>7460000</v>
      </c>
      <c r="AA36" s="12">
        <v>236.33</v>
      </c>
      <c r="AB36" s="12">
        <v>246</v>
      </c>
      <c r="AC36" s="12">
        <v>235.58</v>
      </c>
      <c r="AD36" s="12">
        <v>243.64</v>
      </c>
      <c r="AE36" s="12">
        <v>14230000</v>
      </c>
      <c r="AH36" s="12">
        <v>492.5</v>
      </c>
      <c r="AI36" s="12">
        <v>523.5</v>
      </c>
      <c r="AJ36" s="12">
        <v>492.5</v>
      </c>
      <c r="AK36" s="12">
        <v>513.95000000000005</v>
      </c>
      <c r="AL36" s="12">
        <v>12610000</v>
      </c>
      <c r="AO36" s="12">
        <v>663</v>
      </c>
      <c r="AP36" s="12">
        <v>679.45</v>
      </c>
      <c r="AQ36" s="12">
        <v>655.5</v>
      </c>
      <c r="AR36" s="12">
        <v>659.5</v>
      </c>
      <c r="AS36" s="12">
        <v>24860000</v>
      </c>
      <c r="AV36" s="12">
        <v>1914</v>
      </c>
      <c r="AW36" s="12">
        <v>1962.95</v>
      </c>
      <c r="AX36" s="12">
        <v>1884.75</v>
      </c>
      <c r="AY36" s="12">
        <v>1909.2</v>
      </c>
      <c r="AZ36" s="12">
        <v>6110000</v>
      </c>
    </row>
    <row r="37" spans="2:52" ht="15" thickBot="1" x14ac:dyDescent="0.35">
      <c r="B37" s="123">
        <v>43416</v>
      </c>
      <c r="C37" s="164">
        <v>9.1220055900028112E-3</v>
      </c>
      <c r="D37" s="163">
        <f t="shared" si="0"/>
        <v>2.8987536873252187E-2</v>
      </c>
      <c r="E37" s="163">
        <f t="shared" si="4"/>
        <v>4.1368917668486776E-3</v>
      </c>
      <c r="F37" s="163">
        <f t="shared" si="1"/>
        <v>-5.5607186846971766E-3</v>
      </c>
      <c r="G37" s="163">
        <f t="shared" si="2"/>
        <v>-1.3202771244899856E-2</v>
      </c>
      <c r="H37" s="165">
        <f t="shared" si="3"/>
        <v>-1.1908038915988786E-2</v>
      </c>
      <c r="K37" s="123">
        <v>43416</v>
      </c>
      <c r="M37" s="151">
        <v>10607.799805000001</v>
      </c>
      <c r="N37" s="152">
        <v>10695.150390999999</v>
      </c>
      <c r="O37" s="152">
        <v>10440.549805000001</v>
      </c>
      <c r="P37" s="152">
        <v>10682.200194999999</v>
      </c>
      <c r="Q37" s="153">
        <v>1241600</v>
      </c>
      <c r="T37" s="12">
        <v>706</v>
      </c>
      <c r="U37" s="12">
        <v>739.85</v>
      </c>
      <c r="V37" s="12">
        <v>692.1</v>
      </c>
      <c r="W37" s="12">
        <v>728</v>
      </c>
      <c r="X37" s="12">
        <v>20360000</v>
      </c>
      <c r="AA37" s="12">
        <v>243.68</v>
      </c>
      <c r="AB37" s="12">
        <v>247.88</v>
      </c>
      <c r="AC37" s="12">
        <v>238.99</v>
      </c>
      <c r="AD37" s="12">
        <v>244.65</v>
      </c>
      <c r="AE37" s="12">
        <v>18980000</v>
      </c>
      <c r="AH37" s="12">
        <v>514.5</v>
      </c>
      <c r="AI37" s="12">
        <v>529.5</v>
      </c>
      <c r="AJ37" s="12">
        <v>481.5</v>
      </c>
      <c r="AK37" s="12">
        <v>511.1</v>
      </c>
      <c r="AL37" s="12">
        <v>21340000</v>
      </c>
      <c r="AO37" s="12">
        <v>666</v>
      </c>
      <c r="AP37" s="12">
        <v>676.4</v>
      </c>
      <c r="AQ37" s="12">
        <v>640.25</v>
      </c>
      <c r="AR37" s="12">
        <v>650.85</v>
      </c>
      <c r="AS37" s="12">
        <v>36050000</v>
      </c>
      <c r="AV37" s="12">
        <v>1910</v>
      </c>
      <c r="AW37" s="12">
        <v>1946.1</v>
      </c>
      <c r="AX37" s="12">
        <v>1857.6</v>
      </c>
      <c r="AY37" s="12">
        <v>1886.6</v>
      </c>
      <c r="AZ37" s="12">
        <v>11010000</v>
      </c>
    </row>
    <row r="38" spans="2:52" ht="15" thickBot="1" x14ac:dyDescent="0.35">
      <c r="B38" s="123">
        <v>43423</v>
      </c>
      <c r="C38" s="164">
        <v>-1.4659186551696386E-2</v>
      </c>
      <c r="D38" s="163">
        <f t="shared" si="0"/>
        <v>-5.2450701924162478E-2</v>
      </c>
      <c r="E38" s="163">
        <f t="shared" si="4"/>
        <v>-6.0315554520318525E-2</v>
      </c>
      <c r="F38" s="163">
        <f t="shared" si="1"/>
        <v>-4.3139946619948841E-2</v>
      </c>
      <c r="G38" s="163">
        <f t="shared" si="2"/>
        <v>-4.735077652419345E-2</v>
      </c>
      <c r="H38" s="165">
        <f t="shared" si="3"/>
        <v>-4.0041573660518769E-2</v>
      </c>
      <c r="K38" s="123">
        <v>43423</v>
      </c>
      <c r="M38" s="151">
        <v>10731.25</v>
      </c>
      <c r="N38" s="152">
        <v>10774.700194999999</v>
      </c>
      <c r="O38" s="152">
        <v>10512</v>
      </c>
      <c r="P38" s="152">
        <v>10526.75</v>
      </c>
      <c r="Q38" s="153">
        <v>1107700</v>
      </c>
      <c r="T38" s="12">
        <v>730</v>
      </c>
      <c r="U38" s="12">
        <v>734.75</v>
      </c>
      <c r="V38" s="12">
        <v>684.25</v>
      </c>
      <c r="W38" s="12">
        <v>690.8</v>
      </c>
      <c r="X38" s="12">
        <v>12540000</v>
      </c>
      <c r="AA38" s="12">
        <v>244.13</v>
      </c>
      <c r="AB38" s="12">
        <v>251.55</v>
      </c>
      <c r="AC38" s="12">
        <v>229.5</v>
      </c>
      <c r="AD38" s="12">
        <v>230.33</v>
      </c>
      <c r="AE38" s="12">
        <v>16320000</v>
      </c>
      <c r="AH38" s="12">
        <v>511.1</v>
      </c>
      <c r="AI38" s="12">
        <v>522.5</v>
      </c>
      <c r="AJ38" s="12">
        <v>487.7</v>
      </c>
      <c r="AK38" s="12">
        <v>489.52</v>
      </c>
      <c r="AL38" s="12">
        <v>12700000</v>
      </c>
      <c r="AO38" s="12">
        <v>659</v>
      </c>
      <c r="AP38" s="12">
        <v>662</v>
      </c>
      <c r="AQ38" s="12">
        <v>612.1</v>
      </c>
      <c r="AR38" s="12">
        <v>620.75</v>
      </c>
      <c r="AS38" s="12">
        <v>35290000</v>
      </c>
      <c r="AV38" s="12">
        <v>1899</v>
      </c>
      <c r="AW38" s="12">
        <v>1907.35</v>
      </c>
      <c r="AX38" s="12">
        <v>1798.55</v>
      </c>
      <c r="AY38" s="12">
        <v>1812.55</v>
      </c>
      <c r="AZ38" s="12">
        <v>10700000</v>
      </c>
    </row>
    <row r="39" spans="2:52" ht="15" thickBot="1" x14ac:dyDescent="0.35">
      <c r="B39" s="123">
        <v>43430</v>
      </c>
      <c r="C39" s="164">
        <v>3.2707847037979042E-2</v>
      </c>
      <c r="D39" s="163">
        <f t="shared" si="0"/>
        <v>2.1694067183010611E-2</v>
      </c>
      <c r="E39" s="163">
        <f t="shared" si="4"/>
        <v>5.5562810702719886E-2</v>
      </c>
      <c r="F39" s="163">
        <f t="shared" si="1"/>
        <v>3.607139176165744E-2</v>
      </c>
      <c r="G39" s="163">
        <f t="shared" si="2"/>
        <v>7.2536056713465441E-2</v>
      </c>
      <c r="H39" s="165">
        <f t="shared" si="3"/>
        <v>8.2410129509342706E-2</v>
      </c>
      <c r="K39" s="123">
        <v>43430</v>
      </c>
      <c r="M39" s="151">
        <v>10568.299805000001</v>
      </c>
      <c r="N39" s="152">
        <v>10922.450194999999</v>
      </c>
      <c r="O39" s="152">
        <v>10489.75</v>
      </c>
      <c r="P39" s="152">
        <v>10876.75</v>
      </c>
      <c r="Q39" s="153">
        <v>1569700</v>
      </c>
      <c r="T39" s="12">
        <v>691</v>
      </c>
      <c r="U39" s="12">
        <v>709.9</v>
      </c>
      <c r="V39" s="12">
        <v>671</v>
      </c>
      <c r="W39" s="12">
        <v>705.95</v>
      </c>
      <c r="X39" s="12">
        <v>14460000</v>
      </c>
      <c r="AA39" s="12">
        <v>228.45</v>
      </c>
      <c r="AB39" s="12">
        <v>244.8</v>
      </c>
      <c r="AC39" s="12">
        <v>226.99</v>
      </c>
      <c r="AD39" s="12">
        <v>243.49</v>
      </c>
      <c r="AE39" s="12">
        <v>37490000</v>
      </c>
      <c r="AH39" s="12">
        <v>497.5</v>
      </c>
      <c r="AI39" s="12">
        <v>523.88</v>
      </c>
      <c r="AJ39" s="12">
        <v>481.5</v>
      </c>
      <c r="AK39" s="12">
        <v>507.5</v>
      </c>
      <c r="AL39" s="12">
        <v>19280000</v>
      </c>
      <c r="AO39" s="12">
        <v>623.5</v>
      </c>
      <c r="AP39" s="12">
        <v>675</v>
      </c>
      <c r="AQ39" s="12">
        <v>599.85</v>
      </c>
      <c r="AR39" s="12">
        <v>667.45</v>
      </c>
      <c r="AS39" s="12">
        <v>73470000</v>
      </c>
      <c r="AV39" s="12">
        <v>1822.9</v>
      </c>
      <c r="AW39" s="12">
        <v>2000</v>
      </c>
      <c r="AX39" s="12">
        <v>1784.5</v>
      </c>
      <c r="AY39" s="12">
        <v>1968.25</v>
      </c>
      <c r="AZ39" s="12">
        <v>23690000</v>
      </c>
    </row>
    <row r="40" spans="2:52" ht="15" thickBot="1" x14ac:dyDescent="0.35">
      <c r="B40" s="123">
        <v>43437</v>
      </c>
      <c r="C40" s="164">
        <v>-1.6972682314633749E-2</v>
      </c>
      <c r="D40" s="163">
        <f t="shared" si="0"/>
        <v>-1.6712287268625198E-2</v>
      </c>
      <c r="E40" s="163">
        <f t="shared" si="4"/>
        <v>2.6305040744541701E-2</v>
      </c>
      <c r="F40" s="163">
        <f t="shared" si="1"/>
        <v>-5.3671021716235154E-2</v>
      </c>
      <c r="G40" s="163">
        <f t="shared" si="2"/>
        <v>2.2737509818543927E-2</v>
      </c>
      <c r="H40" s="165">
        <f t="shared" si="3"/>
        <v>1.3599472861195368E-2</v>
      </c>
      <c r="K40" s="123">
        <v>43437</v>
      </c>
      <c r="M40" s="151">
        <v>10930.700194999999</v>
      </c>
      <c r="N40" s="152">
        <v>10941.200194999999</v>
      </c>
      <c r="O40" s="152">
        <v>10588.25</v>
      </c>
      <c r="P40" s="152">
        <v>10693.700194999999</v>
      </c>
      <c r="Q40" s="153">
        <v>1688400</v>
      </c>
      <c r="T40" s="12">
        <v>706</v>
      </c>
      <c r="U40" s="12">
        <v>739.9</v>
      </c>
      <c r="V40" s="12">
        <v>685.15</v>
      </c>
      <c r="W40" s="12">
        <v>694.25</v>
      </c>
      <c r="X40" s="12">
        <v>17050000</v>
      </c>
      <c r="AA40" s="12">
        <v>244.13</v>
      </c>
      <c r="AB40" s="12">
        <v>255.94</v>
      </c>
      <c r="AC40" s="12">
        <v>242.29</v>
      </c>
      <c r="AD40" s="12">
        <v>249.98</v>
      </c>
      <c r="AE40" s="12">
        <v>26350000</v>
      </c>
      <c r="AH40" s="12">
        <v>510.55</v>
      </c>
      <c r="AI40" s="12">
        <v>532.75</v>
      </c>
      <c r="AJ40" s="12">
        <v>467.23</v>
      </c>
      <c r="AK40" s="12">
        <v>480.98</v>
      </c>
      <c r="AL40" s="12">
        <v>36650000</v>
      </c>
      <c r="AO40" s="12">
        <v>670.5</v>
      </c>
      <c r="AP40" s="12">
        <v>688.4</v>
      </c>
      <c r="AQ40" s="12">
        <v>664.5</v>
      </c>
      <c r="AR40" s="12">
        <v>682.8</v>
      </c>
      <c r="AS40" s="12">
        <v>37350000</v>
      </c>
      <c r="AV40" s="12">
        <v>1980.1</v>
      </c>
      <c r="AW40" s="12">
        <v>2019.4</v>
      </c>
      <c r="AX40" s="12">
        <v>1968.3</v>
      </c>
      <c r="AY40" s="12">
        <v>1995.2</v>
      </c>
      <c r="AZ40" s="12">
        <v>11960000</v>
      </c>
    </row>
    <row r="41" spans="2:52" ht="15" thickBot="1" x14ac:dyDescent="0.35">
      <c r="B41" s="123">
        <v>43444</v>
      </c>
      <c r="C41" s="164">
        <v>1.03958532693558E-2</v>
      </c>
      <c r="D41" s="163">
        <f t="shared" si="0"/>
        <v>2.5526644656768467E-2</v>
      </c>
      <c r="E41" s="163">
        <f t="shared" si="4"/>
        <v>-6.0022810469333512E-4</v>
      </c>
      <c r="F41" s="163">
        <f t="shared" si="1"/>
        <v>-7.9036589733870889E-4</v>
      </c>
      <c r="G41" s="163">
        <f t="shared" si="2"/>
        <v>3.3484065594975451E-2</v>
      </c>
      <c r="H41" s="165">
        <f t="shared" si="3"/>
        <v>-2.7352932398133009E-3</v>
      </c>
      <c r="K41" s="123">
        <v>43444</v>
      </c>
      <c r="M41" s="151">
        <v>10508.700194999999</v>
      </c>
      <c r="N41" s="152">
        <v>10838.599609000001</v>
      </c>
      <c r="O41" s="152">
        <v>10333.849609000001</v>
      </c>
      <c r="P41" s="152">
        <v>10805.450194999999</v>
      </c>
      <c r="Q41" s="153">
        <v>1883600</v>
      </c>
      <c r="T41" s="12">
        <v>687</v>
      </c>
      <c r="U41" s="12">
        <v>717</v>
      </c>
      <c r="V41" s="12">
        <v>680.05</v>
      </c>
      <c r="W41" s="12">
        <v>712.2</v>
      </c>
      <c r="X41" s="12">
        <v>13290000</v>
      </c>
      <c r="AA41" s="12">
        <v>246.23</v>
      </c>
      <c r="AB41" s="12">
        <v>258</v>
      </c>
      <c r="AC41" s="12">
        <v>243.6</v>
      </c>
      <c r="AD41" s="12">
        <v>249.83</v>
      </c>
      <c r="AE41" s="12">
        <v>28840000</v>
      </c>
      <c r="AH41" s="12">
        <v>479.98</v>
      </c>
      <c r="AI41" s="12">
        <v>491.27</v>
      </c>
      <c r="AJ41" s="12">
        <v>465.35</v>
      </c>
      <c r="AK41" s="12">
        <v>480.6</v>
      </c>
      <c r="AL41" s="12">
        <v>24300000</v>
      </c>
      <c r="AO41" s="12">
        <v>669.9</v>
      </c>
      <c r="AP41" s="12">
        <v>713.7</v>
      </c>
      <c r="AQ41" s="12">
        <v>660.6</v>
      </c>
      <c r="AR41" s="12">
        <v>706.05</v>
      </c>
      <c r="AS41" s="12">
        <v>38150000</v>
      </c>
      <c r="AV41" s="12">
        <v>1975</v>
      </c>
      <c r="AW41" s="12">
        <v>2029.7</v>
      </c>
      <c r="AX41" s="12">
        <v>1960</v>
      </c>
      <c r="AY41" s="12">
        <v>1989.75</v>
      </c>
      <c r="AZ41" s="12">
        <v>14290000</v>
      </c>
    </row>
    <row r="42" spans="2:52" ht="15" thickBot="1" x14ac:dyDescent="0.35">
      <c r="B42" s="123">
        <v>43451</v>
      </c>
      <c r="C42" s="164">
        <v>-4.7728761360528978E-3</v>
      </c>
      <c r="D42" s="163">
        <f t="shared" si="0"/>
        <v>-2.3368370437677269E-2</v>
      </c>
      <c r="E42" s="163">
        <f t="shared" si="4"/>
        <v>-3.3580005380250001E-2</v>
      </c>
      <c r="F42" s="163">
        <f t="shared" si="1"/>
        <v>-7.036768332088935E-3</v>
      </c>
      <c r="G42" s="163">
        <f t="shared" si="2"/>
        <v>-8.857700312486301E-2</v>
      </c>
      <c r="H42" s="165">
        <f t="shared" si="3"/>
        <v>-4.83680896670175E-2</v>
      </c>
      <c r="K42" s="123">
        <v>43451</v>
      </c>
      <c r="M42" s="151">
        <v>10853.200194999999</v>
      </c>
      <c r="N42" s="152">
        <v>10985.150390999999</v>
      </c>
      <c r="O42" s="152">
        <v>10738.650390999999</v>
      </c>
      <c r="P42" s="152">
        <v>10754</v>
      </c>
      <c r="Q42" s="153">
        <v>1591500</v>
      </c>
      <c r="T42" s="12">
        <v>714</v>
      </c>
      <c r="U42" s="12">
        <v>723.3</v>
      </c>
      <c r="V42" s="12">
        <v>691.9</v>
      </c>
      <c r="W42" s="12">
        <v>695.75</v>
      </c>
      <c r="X42" s="12">
        <v>10290000</v>
      </c>
      <c r="AA42" s="12">
        <v>252.68</v>
      </c>
      <c r="AB42" s="12">
        <v>256.69</v>
      </c>
      <c r="AC42" s="12">
        <v>231.68</v>
      </c>
      <c r="AD42" s="12">
        <v>241.58</v>
      </c>
      <c r="AE42" s="12">
        <v>33050000</v>
      </c>
      <c r="AH42" s="12">
        <v>484</v>
      </c>
      <c r="AI42" s="12">
        <v>497.45</v>
      </c>
      <c r="AJ42" s="12">
        <v>472.5</v>
      </c>
      <c r="AK42" s="12">
        <v>477.23</v>
      </c>
      <c r="AL42" s="12">
        <v>28960000</v>
      </c>
      <c r="AO42" s="12">
        <v>713</v>
      </c>
      <c r="AP42" s="12">
        <v>714</v>
      </c>
      <c r="AQ42" s="12">
        <v>643.45000000000005</v>
      </c>
      <c r="AR42" s="12">
        <v>646.20000000000005</v>
      </c>
      <c r="AS42" s="12">
        <v>49760000</v>
      </c>
      <c r="AV42" s="12">
        <v>1990.15</v>
      </c>
      <c r="AW42" s="12">
        <v>2004.9</v>
      </c>
      <c r="AX42" s="12">
        <v>1886.55</v>
      </c>
      <c r="AY42" s="12">
        <v>1895.8</v>
      </c>
      <c r="AZ42" s="12">
        <v>11740000</v>
      </c>
    </row>
    <row r="43" spans="2:52" ht="15" thickBot="1" x14ac:dyDescent="0.35">
      <c r="B43" s="123">
        <v>43458</v>
      </c>
      <c r="C43" s="164">
        <v>9.7993639767915003E-3</v>
      </c>
      <c r="D43" s="163">
        <f t="shared" si="0"/>
        <v>2.5892561933584215E-2</v>
      </c>
      <c r="E43" s="163">
        <f t="shared" si="4"/>
        <v>2.4371503934743827E-2</v>
      </c>
      <c r="F43" s="163">
        <f t="shared" si="1"/>
        <v>4.0568855306587475E-3</v>
      </c>
      <c r="G43" s="163">
        <f t="shared" si="2"/>
        <v>1.6498858697433318E-2</v>
      </c>
      <c r="H43" s="165">
        <f t="shared" si="3"/>
        <v>1.3186175632583425E-4</v>
      </c>
      <c r="K43" s="123">
        <v>43458</v>
      </c>
      <c r="M43" s="151">
        <v>10780.900390999999</v>
      </c>
      <c r="N43" s="152">
        <v>10893.599609000001</v>
      </c>
      <c r="O43" s="152">
        <v>10534.549805000001</v>
      </c>
      <c r="P43" s="152">
        <v>10859.900390999999</v>
      </c>
      <c r="Q43" s="153">
        <v>1188700</v>
      </c>
      <c r="T43" s="12">
        <v>699</v>
      </c>
      <c r="U43" s="12">
        <v>718.4</v>
      </c>
      <c r="V43" s="12">
        <v>686</v>
      </c>
      <c r="W43" s="12">
        <v>714</v>
      </c>
      <c r="X43" s="12">
        <v>8500000</v>
      </c>
      <c r="AA43" s="12">
        <v>246.41</v>
      </c>
      <c r="AB43" s="12">
        <v>250.01</v>
      </c>
      <c r="AC43" s="12">
        <v>239.51</v>
      </c>
      <c r="AD43" s="12">
        <v>247.54</v>
      </c>
      <c r="AE43" s="12">
        <v>20380000</v>
      </c>
      <c r="AH43" s="12">
        <v>477.5</v>
      </c>
      <c r="AI43" s="12">
        <v>481.5</v>
      </c>
      <c r="AJ43" s="12">
        <v>465.5</v>
      </c>
      <c r="AK43" s="12">
        <v>479.17</v>
      </c>
      <c r="AL43" s="12">
        <v>12370000</v>
      </c>
      <c r="AO43" s="12">
        <v>658</v>
      </c>
      <c r="AP43" s="12">
        <v>663.9</v>
      </c>
      <c r="AQ43" s="12">
        <v>637.35</v>
      </c>
      <c r="AR43" s="12">
        <v>656.95</v>
      </c>
      <c r="AS43" s="12">
        <v>36450000</v>
      </c>
      <c r="AV43" s="12">
        <v>1901</v>
      </c>
      <c r="AW43" s="12">
        <v>1941.7</v>
      </c>
      <c r="AX43" s="12">
        <v>1870.25</v>
      </c>
      <c r="AY43" s="12">
        <v>1896.05</v>
      </c>
      <c r="AZ43" s="12">
        <v>12090000</v>
      </c>
    </row>
    <row r="44" spans="2:52" ht="15" thickBot="1" x14ac:dyDescent="0.35">
      <c r="B44" s="123">
        <v>43465</v>
      </c>
      <c r="C44" s="164">
        <v>-1.2280623781987987E-2</v>
      </c>
      <c r="D44" s="163">
        <f t="shared" si="0"/>
        <v>-4.7173824092311648E-2</v>
      </c>
      <c r="E44" s="163">
        <f t="shared" si="4"/>
        <v>-1.71125427525732E-2</v>
      </c>
      <c r="F44" s="163">
        <f t="shared" si="1"/>
        <v>-2.750506603418594E-2</v>
      </c>
      <c r="G44" s="163">
        <f t="shared" si="2"/>
        <v>6.2215678682744809E-3</v>
      </c>
      <c r="H44" s="165">
        <f t="shared" si="3"/>
        <v>-1.0177935139704688E-2</v>
      </c>
      <c r="K44" s="123">
        <v>43465</v>
      </c>
      <c r="M44" s="151">
        <v>10913.200194999999</v>
      </c>
      <c r="N44" s="152">
        <v>10923.549805000001</v>
      </c>
      <c r="O44" s="152">
        <v>10628.650390999999</v>
      </c>
      <c r="P44" s="152">
        <v>10727.349609000001</v>
      </c>
      <c r="Q44" s="153">
        <v>1073400</v>
      </c>
      <c r="T44" s="12">
        <v>716</v>
      </c>
      <c r="U44" s="12">
        <v>729.7</v>
      </c>
      <c r="V44" s="12">
        <v>672.5</v>
      </c>
      <c r="W44" s="12">
        <v>681.1</v>
      </c>
      <c r="X44" s="12">
        <v>13040000</v>
      </c>
      <c r="AA44" s="12">
        <v>247.5</v>
      </c>
      <c r="AB44" s="12">
        <v>250.88</v>
      </c>
      <c r="AC44" s="12">
        <v>239.74</v>
      </c>
      <c r="AD44" s="12">
        <v>243.34</v>
      </c>
      <c r="AE44" s="12">
        <v>18760000</v>
      </c>
      <c r="AH44" s="12">
        <v>481.23</v>
      </c>
      <c r="AI44" s="12">
        <v>483.3</v>
      </c>
      <c r="AJ44" s="12">
        <v>462.5</v>
      </c>
      <c r="AK44" s="12">
        <v>466.17</v>
      </c>
      <c r="AL44" s="12">
        <v>10770000</v>
      </c>
      <c r="AO44" s="12">
        <v>659</v>
      </c>
      <c r="AP44" s="12">
        <v>677</v>
      </c>
      <c r="AQ44" s="12">
        <v>651</v>
      </c>
      <c r="AR44" s="12">
        <v>661.05</v>
      </c>
      <c r="AS44" s="12">
        <v>30250000</v>
      </c>
      <c r="AV44" s="12">
        <v>1901</v>
      </c>
      <c r="AW44" s="12">
        <v>1944.95</v>
      </c>
      <c r="AX44" s="12">
        <v>1841</v>
      </c>
      <c r="AY44" s="12">
        <v>1876.85</v>
      </c>
      <c r="AZ44" s="12">
        <v>12890000</v>
      </c>
    </row>
    <row r="45" spans="2:52" ht="15" thickBot="1" x14ac:dyDescent="0.35">
      <c r="B45" s="123">
        <v>43472</v>
      </c>
      <c r="C45" s="164">
        <v>6.2819316637865675E-3</v>
      </c>
      <c r="D45" s="163">
        <f t="shared" si="0"/>
        <v>2.6227686094053161E-2</v>
      </c>
      <c r="E45" s="163">
        <f t="shared" si="4"/>
        <v>1.3024047572083865E-2</v>
      </c>
      <c r="F45" s="163">
        <f t="shared" si="1"/>
        <v>8.2248725234796375E-3</v>
      </c>
      <c r="G45" s="163">
        <f t="shared" si="2"/>
        <v>3.3397176207898678E-2</v>
      </c>
      <c r="H45" s="165">
        <f t="shared" si="3"/>
        <v>-1.8444357898211337E-2</v>
      </c>
      <c r="K45" s="123">
        <v>43472</v>
      </c>
      <c r="M45" s="151">
        <v>10804.849609000001</v>
      </c>
      <c r="N45" s="152">
        <v>10870.400390999999</v>
      </c>
      <c r="O45" s="152">
        <v>10733.25</v>
      </c>
      <c r="P45" s="152">
        <v>10794.950194999999</v>
      </c>
      <c r="Q45" s="153">
        <v>1395300</v>
      </c>
      <c r="T45" s="12">
        <v>682.5</v>
      </c>
      <c r="U45" s="12">
        <v>701.4</v>
      </c>
      <c r="V45" s="12">
        <v>682.5</v>
      </c>
      <c r="W45" s="12">
        <v>699.2</v>
      </c>
      <c r="X45" s="12">
        <v>9160000</v>
      </c>
      <c r="AA45" s="12">
        <v>243</v>
      </c>
      <c r="AB45" s="12">
        <v>249.45</v>
      </c>
      <c r="AC45" s="12">
        <v>241.73</v>
      </c>
      <c r="AD45" s="12">
        <v>246.53</v>
      </c>
      <c r="AE45" s="12">
        <v>17990000</v>
      </c>
      <c r="AH45" s="12">
        <v>470</v>
      </c>
      <c r="AI45" s="12">
        <v>475</v>
      </c>
      <c r="AJ45" s="12">
        <v>460</v>
      </c>
      <c r="AK45" s="12">
        <v>470.02</v>
      </c>
      <c r="AL45" s="12">
        <v>14440000</v>
      </c>
      <c r="AO45" s="12">
        <v>666.95</v>
      </c>
      <c r="AP45" s="12">
        <v>689.8</v>
      </c>
      <c r="AQ45" s="12">
        <v>661.5</v>
      </c>
      <c r="AR45" s="12">
        <v>683.5</v>
      </c>
      <c r="AS45" s="12">
        <v>60820000</v>
      </c>
      <c r="AV45" s="12">
        <v>1891.1</v>
      </c>
      <c r="AW45" s="12">
        <v>1919</v>
      </c>
      <c r="AX45" s="12">
        <v>1835</v>
      </c>
      <c r="AY45" s="12">
        <v>1842.55</v>
      </c>
      <c r="AZ45" s="12">
        <v>19250000</v>
      </c>
    </row>
    <row r="46" spans="2:52" ht="15" thickBot="1" x14ac:dyDescent="0.35">
      <c r="B46" s="123">
        <v>43479</v>
      </c>
      <c r="C46" s="164">
        <v>1.0321768356556359E-2</v>
      </c>
      <c r="D46" s="163">
        <f t="shared" si="0"/>
        <v>1.4130245399290808E-2</v>
      </c>
      <c r="E46" s="163">
        <f t="shared" si="4"/>
        <v>5.1696814957873635E-2</v>
      </c>
      <c r="F46" s="163">
        <f t="shared" si="1"/>
        <v>2.7551917455085187E-2</v>
      </c>
      <c r="G46" s="163">
        <f t="shared" si="2"/>
        <v>6.7118401793620747E-2</v>
      </c>
      <c r="H46" s="165">
        <f t="shared" si="3"/>
        <v>3.1045451175675851E-2</v>
      </c>
      <c r="K46" s="123">
        <v>43479</v>
      </c>
      <c r="M46" s="151">
        <v>10807</v>
      </c>
      <c r="N46" s="152">
        <v>10930.650390999999</v>
      </c>
      <c r="O46" s="152">
        <v>10692.349609000001</v>
      </c>
      <c r="P46" s="152">
        <v>10906.950194999999</v>
      </c>
      <c r="Q46" s="153">
        <v>1481500</v>
      </c>
      <c r="T46" s="12">
        <v>703</v>
      </c>
      <c r="U46" s="12">
        <v>714.2</v>
      </c>
      <c r="V46" s="12">
        <v>676.55</v>
      </c>
      <c r="W46" s="12">
        <v>709.15</v>
      </c>
      <c r="X46" s="12">
        <v>9600000</v>
      </c>
      <c r="AA46" s="12">
        <v>247.5</v>
      </c>
      <c r="AB46" s="12">
        <v>261.33999999999997</v>
      </c>
      <c r="AC46" s="12">
        <v>233.51</v>
      </c>
      <c r="AD46" s="12">
        <v>259.61</v>
      </c>
      <c r="AE46" s="12">
        <v>67560000</v>
      </c>
      <c r="AH46" s="12">
        <v>471</v>
      </c>
      <c r="AI46" s="12">
        <v>484.38</v>
      </c>
      <c r="AJ46" s="12">
        <v>464</v>
      </c>
      <c r="AK46" s="12">
        <v>483.15</v>
      </c>
      <c r="AL46" s="12">
        <v>16290000</v>
      </c>
      <c r="AO46" s="12">
        <v>706</v>
      </c>
      <c r="AP46" s="12">
        <v>739</v>
      </c>
      <c r="AQ46" s="12">
        <v>695.7</v>
      </c>
      <c r="AR46" s="12">
        <v>730.95</v>
      </c>
      <c r="AS46" s="12">
        <v>65320000</v>
      </c>
      <c r="AV46" s="12">
        <v>1854.7</v>
      </c>
      <c r="AW46" s="12">
        <v>1904.45</v>
      </c>
      <c r="AX46" s="12">
        <v>1808</v>
      </c>
      <c r="AY46" s="12">
        <v>1900.65</v>
      </c>
      <c r="AZ46" s="12">
        <v>18670000</v>
      </c>
    </row>
    <row r="47" spans="2:52" ht="15" thickBot="1" x14ac:dyDescent="0.35">
      <c r="B47" s="123">
        <v>43486</v>
      </c>
      <c r="C47" s="164">
        <v>-1.1656652103246224E-2</v>
      </c>
      <c r="D47" s="163">
        <f t="shared" si="0"/>
        <v>2.7675247021677649E-2</v>
      </c>
      <c r="E47" s="163">
        <f t="shared" si="4"/>
        <v>2.0888886079755951E-2</v>
      </c>
      <c r="F47" s="163">
        <f t="shared" si="1"/>
        <v>3.2029784060129082E-3</v>
      </c>
      <c r="G47" s="163">
        <f t="shared" si="2"/>
        <v>-8.2118666080529591E-4</v>
      </c>
      <c r="H47" s="165">
        <f t="shared" si="3"/>
        <v>1.0545832994016492E-2</v>
      </c>
      <c r="K47" s="123">
        <v>43486</v>
      </c>
      <c r="M47" s="151">
        <v>10919.349609000001</v>
      </c>
      <c r="N47" s="152">
        <v>10987.450194999999</v>
      </c>
      <c r="O47" s="152">
        <v>10756.450194999999</v>
      </c>
      <c r="P47" s="152">
        <v>10780.549805000001</v>
      </c>
      <c r="Q47" s="153">
        <v>1713000</v>
      </c>
      <c r="T47" s="12">
        <v>710.35</v>
      </c>
      <c r="U47" s="12">
        <v>735.2</v>
      </c>
      <c r="V47" s="12">
        <v>701.05</v>
      </c>
      <c r="W47" s="12">
        <v>729.05</v>
      </c>
      <c r="X47" s="12">
        <v>12100000</v>
      </c>
      <c r="AA47" s="12">
        <v>256.5</v>
      </c>
      <c r="AB47" s="12">
        <v>268.76</v>
      </c>
      <c r="AC47" s="12">
        <v>249.9</v>
      </c>
      <c r="AD47" s="12">
        <v>265.08999999999997</v>
      </c>
      <c r="AE47" s="12">
        <v>58560000</v>
      </c>
      <c r="AH47" s="12">
        <v>482.5</v>
      </c>
      <c r="AI47" s="12">
        <v>490.75</v>
      </c>
      <c r="AJ47" s="12">
        <v>468.5</v>
      </c>
      <c r="AK47" s="12">
        <v>484.7</v>
      </c>
      <c r="AL47" s="12">
        <v>21400000</v>
      </c>
      <c r="AO47" s="12">
        <v>733</v>
      </c>
      <c r="AP47" s="12">
        <v>751</v>
      </c>
      <c r="AQ47" s="12">
        <v>721</v>
      </c>
      <c r="AR47" s="12">
        <v>730.35</v>
      </c>
      <c r="AS47" s="12">
        <v>36330000</v>
      </c>
      <c r="AV47" s="12">
        <v>1900.4</v>
      </c>
      <c r="AW47" s="12">
        <v>1935</v>
      </c>
      <c r="AX47" s="12">
        <v>1870</v>
      </c>
      <c r="AY47" s="12">
        <v>1920.8</v>
      </c>
      <c r="AZ47" s="12">
        <v>12210000</v>
      </c>
    </row>
    <row r="48" spans="2:52" ht="15" thickBot="1" x14ac:dyDescent="0.35">
      <c r="B48" s="123">
        <v>43493</v>
      </c>
      <c r="C48" s="164">
        <v>1.0436520061699013E-2</v>
      </c>
      <c r="D48" s="163">
        <f t="shared" si="0"/>
        <v>2.3787249718189248E-2</v>
      </c>
      <c r="E48" s="163">
        <f t="shared" si="4"/>
        <v>4.9923009716429101E-2</v>
      </c>
      <c r="F48" s="163">
        <f t="shared" si="1"/>
        <v>7.3984176581318631E-2</v>
      </c>
      <c r="G48" s="163">
        <f t="shared" si="2"/>
        <v>3.5905430157561327E-2</v>
      </c>
      <c r="H48" s="165">
        <f t="shared" si="3"/>
        <v>5.5269396283580879E-2</v>
      </c>
      <c r="K48" s="123">
        <v>43493</v>
      </c>
      <c r="M48" s="151">
        <v>10792.450194999999</v>
      </c>
      <c r="N48" s="152">
        <v>10983.450194999999</v>
      </c>
      <c r="O48" s="152">
        <v>10583.650390999999</v>
      </c>
      <c r="P48" s="152">
        <v>10893.650390999999</v>
      </c>
      <c r="Q48" s="153">
        <v>2273800</v>
      </c>
      <c r="T48" s="12">
        <v>732.2</v>
      </c>
      <c r="U48" s="12">
        <v>750.6</v>
      </c>
      <c r="V48" s="12">
        <v>711.75</v>
      </c>
      <c r="W48" s="12">
        <v>746.6</v>
      </c>
      <c r="X48" s="12">
        <v>13300000</v>
      </c>
      <c r="AA48" s="12">
        <v>267</v>
      </c>
      <c r="AB48" s="12">
        <v>279.45</v>
      </c>
      <c r="AC48" s="12">
        <v>264.79000000000002</v>
      </c>
      <c r="AD48" s="12">
        <v>278.66000000000003</v>
      </c>
      <c r="AE48" s="12">
        <v>41220000</v>
      </c>
      <c r="AH48" s="12">
        <v>487.4</v>
      </c>
      <c r="AI48" s="12">
        <v>525.16999999999996</v>
      </c>
      <c r="AJ48" s="12">
        <v>480.55</v>
      </c>
      <c r="AK48" s="12">
        <v>521.91999999999996</v>
      </c>
      <c r="AL48" s="12">
        <v>38360000</v>
      </c>
      <c r="AO48" s="12">
        <v>732.9</v>
      </c>
      <c r="AP48" s="12">
        <v>762.5</v>
      </c>
      <c r="AQ48" s="12">
        <v>716.5</v>
      </c>
      <c r="AR48" s="12">
        <v>757.05</v>
      </c>
      <c r="AS48" s="12">
        <v>43850000</v>
      </c>
      <c r="AV48" s="12">
        <v>1931.7</v>
      </c>
      <c r="AW48" s="12">
        <v>2035</v>
      </c>
      <c r="AX48" s="12">
        <v>1925.5</v>
      </c>
      <c r="AY48" s="12">
        <v>2029.95</v>
      </c>
      <c r="AZ48" s="12">
        <v>15550000</v>
      </c>
    </row>
    <row r="49" spans="2:52" ht="15" thickBot="1" x14ac:dyDescent="0.35">
      <c r="B49" s="123">
        <v>43500</v>
      </c>
      <c r="C49" s="164">
        <v>4.5746882149044002E-3</v>
      </c>
      <c r="D49" s="163">
        <f t="shared" si="0"/>
        <v>7.5995707456511977E-2</v>
      </c>
      <c r="E49" s="163">
        <f t="shared" si="4"/>
        <v>3.1172206757090052E-3</v>
      </c>
      <c r="F49" s="163">
        <f t="shared" si="1"/>
        <v>2.3293419703746435E-2</v>
      </c>
      <c r="G49" s="163">
        <f t="shared" si="2"/>
        <v>5.0726417280959092E-3</v>
      </c>
      <c r="H49" s="165">
        <f t="shared" si="3"/>
        <v>1.5374201412068073E-2</v>
      </c>
      <c r="K49" s="123">
        <v>43500</v>
      </c>
      <c r="M49" s="151">
        <v>10876.75</v>
      </c>
      <c r="N49" s="152">
        <v>11118.099609000001</v>
      </c>
      <c r="O49" s="152">
        <v>10814.150390999999</v>
      </c>
      <c r="P49" s="152">
        <v>10943.599609000001</v>
      </c>
      <c r="Q49" s="153">
        <v>1501200</v>
      </c>
      <c r="T49" s="12">
        <v>747.85</v>
      </c>
      <c r="U49" s="12">
        <v>824</v>
      </c>
      <c r="V49" s="12">
        <v>736.5</v>
      </c>
      <c r="W49" s="12">
        <v>805.55</v>
      </c>
      <c r="X49" s="12">
        <v>30490000</v>
      </c>
      <c r="AA49" s="12">
        <v>277.5</v>
      </c>
      <c r="AB49" s="12">
        <v>281.20999999999998</v>
      </c>
      <c r="AC49" s="12">
        <v>274.35000000000002</v>
      </c>
      <c r="AD49" s="12">
        <v>279.52999999999997</v>
      </c>
      <c r="AE49" s="12">
        <v>16080000</v>
      </c>
      <c r="AH49" s="12">
        <v>521.97</v>
      </c>
      <c r="AI49" s="12">
        <v>538.9</v>
      </c>
      <c r="AJ49" s="12">
        <v>515.62</v>
      </c>
      <c r="AK49" s="12">
        <v>534.22</v>
      </c>
      <c r="AL49" s="12">
        <v>16420000</v>
      </c>
      <c r="AO49" s="12">
        <v>755</v>
      </c>
      <c r="AP49" s="12">
        <v>772.25</v>
      </c>
      <c r="AQ49" s="12">
        <v>747</v>
      </c>
      <c r="AR49" s="12">
        <v>760.9</v>
      </c>
      <c r="AS49" s="12">
        <v>25900000</v>
      </c>
      <c r="AV49" s="12">
        <v>2030</v>
      </c>
      <c r="AW49" s="12">
        <v>2097.9499999999998</v>
      </c>
      <c r="AX49" s="12">
        <v>2018.3</v>
      </c>
      <c r="AY49" s="12">
        <v>2061.4</v>
      </c>
      <c r="AZ49" s="12">
        <v>8980000</v>
      </c>
    </row>
    <row r="50" spans="2:52" ht="15" thickBot="1" x14ac:dyDescent="0.35">
      <c r="B50" s="123">
        <v>43507</v>
      </c>
      <c r="C50" s="164">
        <v>-2.0233219123864967E-2</v>
      </c>
      <c r="D50" s="163">
        <f t="shared" si="0"/>
        <v>-7.3511420001158827E-3</v>
      </c>
      <c r="E50" s="163">
        <f t="shared" si="4"/>
        <v>9.081097288405145E-3</v>
      </c>
      <c r="F50" s="163">
        <f t="shared" si="1"/>
        <v>-1.0537901889302334E-2</v>
      </c>
      <c r="G50" s="163">
        <f t="shared" si="2"/>
        <v>-2.5220087730341578E-2</v>
      </c>
      <c r="H50" s="165">
        <f t="shared" si="3"/>
        <v>-1.5497364739111494E-2</v>
      </c>
      <c r="K50" s="123">
        <v>43507</v>
      </c>
      <c r="M50" s="151">
        <v>10930.900390999999</v>
      </c>
      <c r="N50" s="152">
        <v>10930.900390999999</v>
      </c>
      <c r="O50" s="152">
        <v>10620.400390999999</v>
      </c>
      <c r="P50" s="152">
        <v>10724.400390999999</v>
      </c>
      <c r="Q50" s="153">
        <v>2049200</v>
      </c>
      <c r="T50" s="12">
        <v>809</v>
      </c>
      <c r="U50" s="12">
        <v>814.9</v>
      </c>
      <c r="V50" s="12">
        <v>777.2</v>
      </c>
      <c r="W50" s="12">
        <v>799.65</v>
      </c>
      <c r="X50" s="12">
        <v>14290000</v>
      </c>
      <c r="AA50" s="12">
        <v>279.3</v>
      </c>
      <c r="AB50" s="12">
        <v>284.77999999999997</v>
      </c>
      <c r="AC50" s="12">
        <v>276.26</v>
      </c>
      <c r="AD50" s="12">
        <v>282.08</v>
      </c>
      <c r="AE50" s="12">
        <v>21760000</v>
      </c>
      <c r="AH50" s="12">
        <v>534.04999999999995</v>
      </c>
      <c r="AI50" s="12">
        <v>542</v>
      </c>
      <c r="AJ50" s="12">
        <v>520.75</v>
      </c>
      <c r="AK50" s="12">
        <v>528.62</v>
      </c>
      <c r="AL50" s="12">
        <v>13400000</v>
      </c>
      <c r="AO50" s="12">
        <v>766.9</v>
      </c>
      <c r="AP50" s="12">
        <v>768.75</v>
      </c>
      <c r="AQ50" s="12">
        <v>732.6</v>
      </c>
      <c r="AR50" s="12">
        <v>741.95</v>
      </c>
      <c r="AS50" s="12">
        <v>29330000</v>
      </c>
      <c r="AV50" s="12">
        <v>2060</v>
      </c>
      <c r="AW50" s="12">
        <v>2096</v>
      </c>
      <c r="AX50" s="12">
        <v>2010.95</v>
      </c>
      <c r="AY50" s="12">
        <v>2029.7</v>
      </c>
      <c r="AZ50" s="12">
        <v>11140000</v>
      </c>
    </row>
    <row r="51" spans="2:52" ht="15" thickBot="1" x14ac:dyDescent="0.35">
      <c r="B51" s="123">
        <v>43514</v>
      </c>
      <c r="C51" s="164">
        <v>6.2511675284456589E-3</v>
      </c>
      <c r="D51" s="163">
        <f t="shared" si="0"/>
        <v>3.2420641584098436E-2</v>
      </c>
      <c r="E51" s="163">
        <f t="shared" si="4"/>
        <v>6.9947648034219372E-3</v>
      </c>
      <c r="F51" s="163">
        <f t="shared" si="1"/>
        <v>8.4016694644331296E-3</v>
      </c>
      <c r="G51" s="163">
        <f t="shared" si="2"/>
        <v>-9.4793857641387088E-3</v>
      </c>
      <c r="H51" s="165">
        <f t="shared" si="3"/>
        <v>-5.2624425799131319E-2</v>
      </c>
      <c r="K51" s="123">
        <v>43514</v>
      </c>
      <c r="M51" s="151">
        <v>10738.650390999999</v>
      </c>
      <c r="N51" s="152">
        <v>10808.849609000001</v>
      </c>
      <c r="O51" s="152">
        <v>10585.650390999999</v>
      </c>
      <c r="P51" s="152">
        <v>10791.650390999999</v>
      </c>
      <c r="Q51" s="153">
        <v>1602500</v>
      </c>
      <c r="T51" s="12">
        <v>815</v>
      </c>
      <c r="U51" s="12">
        <v>840.1</v>
      </c>
      <c r="V51" s="12">
        <v>785.25</v>
      </c>
      <c r="W51" s="12">
        <v>826</v>
      </c>
      <c r="X51" s="12">
        <v>29880000</v>
      </c>
      <c r="AA51" s="12">
        <v>284.10000000000002</v>
      </c>
      <c r="AB51" s="12">
        <v>285</v>
      </c>
      <c r="AC51" s="12">
        <v>270.89999999999998</v>
      </c>
      <c r="AD51" s="12">
        <v>284.06</v>
      </c>
      <c r="AE51" s="12">
        <v>24260000</v>
      </c>
      <c r="AH51" s="12">
        <v>530.4</v>
      </c>
      <c r="AI51" s="12">
        <v>536</v>
      </c>
      <c r="AJ51" s="12">
        <v>513</v>
      </c>
      <c r="AK51" s="12">
        <v>533.08000000000004</v>
      </c>
      <c r="AL51" s="12">
        <v>12660000</v>
      </c>
      <c r="AO51" s="12">
        <v>742.35</v>
      </c>
      <c r="AP51" s="12">
        <v>747.65</v>
      </c>
      <c r="AQ51" s="12">
        <v>721.3</v>
      </c>
      <c r="AR51" s="12">
        <v>734.95</v>
      </c>
      <c r="AS51" s="12">
        <v>31990000</v>
      </c>
      <c r="AV51" s="12">
        <v>2037.6</v>
      </c>
      <c r="AW51" s="12">
        <v>2044.1</v>
      </c>
      <c r="AX51" s="12">
        <v>1881.3</v>
      </c>
      <c r="AY51" s="12">
        <v>1925.65</v>
      </c>
      <c r="AZ51" s="12">
        <v>19740000</v>
      </c>
    </row>
    <row r="52" spans="2:52" ht="15" thickBot="1" x14ac:dyDescent="0.35">
      <c r="B52" s="123">
        <v>43521</v>
      </c>
      <c r="C52" s="164">
        <v>6.6358230125882307E-3</v>
      </c>
      <c r="D52" s="163">
        <f t="shared" si="0"/>
        <v>6.9972537878331053E-3</v>
      </c>
      <c r="E52" s="163">
        <f t="shared" si="4"/>
        <v>-8.0588588278515168E-3</v>
      </c>
      <c r="F52" s="163">
        <f t="shared" si="1"/>
        <v>-1.2800114351793091E-2</v>
      </c>
      <c r="G52" s="163">
        <f t="shared" si="2"/>
        <v>9.4119935074834515E-3</v>
      </c>
      <c r="H52" s="165">
        <f t="shared" si="3"/>
        <v>3.558095841495728E-2</v>
      </c>
      <c r="K52" s="123">
        <v>43521</v>
      </c>
      <c r="M52" s="151">
        <v>10813.25</v>
      </c>
      <c r="N52" s="152">
        <v>10939.700194999999</v>
      </c>
      <c r="O52" s="152">
        <v>10729.299805000001</v>
      </c>
      <c r="P52" s="152">
        <v>10863.5</v>
      </c>
      <c r="Q52" s="153">
        <v>2134700</v>
      </c>
      <c r="T52" s="12">
        <v>832.5</v>
      </c>
      <c r="U52" s="12">
        <v>838.4</v>
      </c>
      <c r="V52" s="12">
        <v>820.6</v>
      </c>
      <c r="W52" s="12">
        <v>831.8</v>
      </c>
      <c r="X52" s="12">
        <v>21140000</v>
      </c>
      <c r="AA52" s="12">
        <v>284.77999999999997</v>
      </c>
      <c r="AB52" s="12">
        <v>297</v>
      </c>
      <c r="AC52" s="12">
        <v>274.13</v>
      </c>
      <c r="AD52" s="12">
        <v>281.77999999999997</v>
      </c>
      <c r="AE52" s="12">
        <v>45730000</v>
      </c>
      <c r="AH52" s="12">
        <v>535</v>
      </c>
      <c r="AI52" s="12">
        <v>548.04999999999995</v>
      </c>
      <c r="AJ52" s="12">
        <v>519</v>
      </c>
      <c r="AK52" s="12">
        <v>526.29999999999995</v>
      </c>
      <c r="AL52" s="12">
        <v>18770000</v>
      </c>
      <c r="AO52" s="12">
        <v>735</v>
      </c>
      <c r="AP52" s="12">
        <v>758</v>
      </c>
      <c r="AQ52" s="12">
        <v>732.1</v>
      </c>
      <c r="AR52" s="12">
        <v>741.9</v>
      </c>
      <c r="AS52" s="12">
        <v>34950000</v>
      </c>
      <c r="AV52" s="12">
        <v>1927.15</v>
      </c>
      <c r="AW52" s="12">
        <v>2074.9499999999998</v>
      </c>
      <c r="AX52" s="12">
        <v>1927.15</v>
      </c>
      <c r="AY52" s="12">
        <v>1995.4</v>
      </c>
      <c r="AZ52" s="12">
        <v>27690000</v>
      </c>
    </row>
    <row r="53" spans="2:52" ht="15" thickBot="1" x14ac:dyDescent="0.35">
      <c r="B53" s="123">
        <v>43528</v>
      </c>
      <c r="C53" s="164">
        <v>1.5699776590877009E-2</v>
      </c>
      <c r="D53" s="163">
        <f t="shared" si="0"/>
        <v>-2.4892500323265537E-2</v>
      </c>
      <c r="E53" s="163">
        <f t="shared" si="4"/>
        <v>-8.9330506966811163E-2</v>
      </c>
      <c r="F53" s="163">
        <f t="shared" si="1"/>
        <v>-4.2263910140740747E-2</v>
      </c>
      <c r="G53" s="163">
        <f t="shared" si="2"/>
        <v>-4.0645099532239638E-2</v>
      </c>
      <c r="H53" s="165">
        <f t="shared" si="3"/>
        <v>1.3588721079643037E-2</v>
      </c>
      <c r="K53" s="123">
        <v>43528</v>
      </c>
      <c r="M53" s="151">
        <v>10864.849609000001</v>
      </c>
      <c r="N53" s="152">
        <v>11089.049805000001</v>
      </c>
      <c r="O53" s="152">
        <v>10817</v>
      </c>
      <c r="P53" s="152">
        <v>11035.400390999999</v>
      </c>
      <c r="Q53" s="153">
        <v>1393600</v>
      </c>
      <c r="T53" s="12">
        <v>821</v>
      </c>
      <c r="U53" s="12">
        <v>829.7</v>
      </c>
      <c r="V53" s="12">
        <v>802.4</v>
      </c>
      <c r="W53" s="12">
        <v>811.35</v>
      </c>
      <c r="X53" s="12">
        <v>13140000</v>
      </c>
      <c r="AA53" s="12">
        <v>282</v>
      </c>
      <c r="AB53" s="12">
        <v>285.89999999999998</v>
      </c>
      <c r="AC53" s="12">
        <v>255.6</v>
      </c>
      <c r="AD53" s="12">
        <v>257.7</v>
      </c>
      <c r="AE53" s="12">
        <v>124960000</v>
      </c>
      <c r="AH53" s="12">
        <v>527</v>
      </c>
      <c r="AI53" s="12">
        <v>531.75</v>
      </c>
      <c r="AJ53" s="12">
        <v>502.5</v>
      </c>
      <c r="AK53" s="12">
        <v>504.52</v>
      </c>
      <c r="AL53" s="12">
        <v>10500000</v>
      </c>
      <c r="AO53" s="12">
        <v>742</v>
      </c>
      <c r="AP53" s="12">
        <v>742.55</v>
      </c>
      <c r="AQ53" s="12">
        <v>710.65</v>
      </c>
      <c r="AR53" s="12">
        <v>712.35</v>
      </c>
      <c r="AS53" s="12">
        <v>25750000</v>
      </c>
      <c r="AV53" s="12">
        <v>2002</v>
      </c>
      <c r="AW53" s="12">
        <v>2033</v>
      </c>
      <c r="AX53" s="12">
        <v>1976.6</v>
      </c>
      <c r="AY53" s="12">
        <v>2022.7</v>
      </c>
      <c r="AZ53" s="12">
        <v>10020000</v>
      </c>
    </row>
    <row r="54" spans="2:52" ht="15" thickBot="1" x14ac:dyDescent="0.35">
      <c r="B54" s="123">
        <v>43535</v>
      </c>
      <c r="C54" s="164">
        <v>3.4857492271793189E-2</v>
      </c>
      <c r="D54" s="163">
        <f t="shared" si="0"/>
        <v>-1.4963182353572378E-2</v>
      </c>
      <c r="E54" s="163">
        <f t="shared" si="4"/>
        <v>2.2067478996975445E-2</v>
      </c>
      <c r="F54" s="163">
        <f t="shared" si="1"/>
        <v>1.9879575753576025E-2</v>
      </c>
      <c r="G54" s="163">
        <f t="shared" si="2"/>
        <v>8.6659288570152624E-3</v>
      </c>
      <c r="H54" s="165">
        <f t="shared" si="3"/>
        <v>8.4920451749204359E-3</v>
      </c>
      <c r="K54" s="123">
        <v>43535</v>
      </c>
      <c r="M54" s="151">
        <v>11068.75</v>
      </c>
      <c r="N54" s="152">
        <v>11487</v>
      </c>
      <c r="O54" s="152">
        <v>11059.849609000001</v>
      </c>
      <c r="P54" s="152">
        <v>11426.849609000001</v>
      </c>
      <c r="Q54" s="153">
        <v>1884700</v>
      </c>
      <c r="T54" s="12">
        <v>813</v>
      </c>
      <c r="U54" s="12">
        <v>816</v>
      </c>
      <c r="V54" s="12">
        <v>775</v>
      </c>
      <c r="W54" s="12">
        <v>799.3</v>
      </c>
      <c r="X54" s="12">
        <v>17750000</v>
      </c>
      <c r="AA54" s="12">
        <v>258.14999999999998</v>
      </c>
      <c r="AB54" s="12">
        <v>265.60000000000002</v>
      </c>
      <c r="AC54" s="12">
        <v>255</v>
      </c>
      <c r="AD54" s="12">
        <v>263.45</v>
      </c>
      <c r="AE54" s="12">
        <v>35670000</v>
      </c>
      <c r="AH54" s="12">
        <v>504.48</v>
      </c>
      <c r="AI54" s="12">
        <v>521.5</v>
      </c>
      <c r="AJ54" s="12">
        <v>500.02</v>
      </c>
      <c r="AK54" s="12">
        <v>514.65</v>
      </c>
      <c r="AL54" s="12">
        <v>26170000</v>
      </c>
      <c r="AO54" s="12">
        <v>713</v>
      </c>
      <c r="AP54" s="12">
        <v>723.75</v>
      </c>
      <c r="AQ54" s="12">
        <v>705.6</v>
      </c>
      <c r="AR54" s="12">
        <v>718.55</v>
      </c>
      <c r="AS54" s="12">
        <v>57740000</v>
      </c>
      <c r="AV54" s="12">
        <v>2022.7</v>
      </c>
      <c r="AW54" s="12">
        <v>2069</v>
      </c>
      <c r="AX54" s="12">
        <v>1978.6</v>
      </c>
      <c r="AY54" s="12">
        <v>2039.95</v>
      </c>
      <c r="AZ54" s="12">
        <v>15120000</v>
      </c>
    </row>
    <row r="55" spans="2:52" ht="15" thickBot="1" x14ac:dyDescent="0.35">
      <c r="B55" s="123">
        <v>43542</v>
      </c>
      <c r="C55" s="164">
        <v>2.6263876570901826E-3</v>
      </c>
      <c r="D55" s="163">
        <f t="shared" si="0"/>
        <v>-1.3286930776550371E-2</v>
      </c>
      <c r="E55" s="163">
        <f t="shared" si="4"/>
        <v>-1.1068815300071054E-2</v>
      </c>
      <c r="F55" s="163">
        <f t="shared" si="1"/>
        <v>-4.342456705473066E-3</v>
      </c>
      <c r="G55" s="163">
        <f t="shared" si="2"/>
        <v>3.3595332643167865E-2</v>
      </c>
      <c r="H55" s="165">
        <f t="shared" si="3"/>
        <v>-1.695710000518616E-2</v>
      </c>
      <c r="K55" s="123">
        <v>43542</v>
      </c>
      <c r="M55" s="151">
        <v>11473.849609000001</v>
      </c>
      <c r="N55" s="152">
        <v>11572.799805000001</v>
      </c>
      <c r="O55" s="152">
        <v>11412.5</v>
      </c>
      <c r="P55" s="152">
        <v>11456.900390999999</v>
      </c>
      <c r="Q55" s="153">
        <v>1398900</v>
      </c>
      <c r="T55" s="12">
        <v>802.1</v>
      </c>
      <c r="U55" s="12">
        <v>806.95</v>
      </c>
      <c r="V55" s="12">
        <v>782.25</v>
      </c>
      <c r="W55" s="12">
        <v>788.75</v>
      </c>
      <c r="X55" s="12">
        <v>12720000</v>
      </c>
      <c r="AA55" s="12">
        <v>263.95</v>
      </c>
      <c r="AB55" s="12">
        <v>264.75</v>
      </c>
      <c r="AC55" s="12">
        <v>255.1</v>
      </c>
      <c r="AD55" s="12">
        <v>260.55</v>
      </c>
      <c r="AE55" s="12">
        <v>22710000</v>
      </c>
      <c r="AH55" s="12">
        <v>514.5</v>
      </c>
      <c r="AI55" s="12">
        <v>527.25</v>
      </c>
      <c r="AJ55" s="12">
        <v>504.17</v>
      </c>
      <c r="AK55" s="12">
        <v>512.41999999999996</v>
      </c>
      <c r="AL55" s="12">
        <v>15690000</v>
      </c>
      <c r="AO55" s="12">
        <v>723.45</v>
      </c>
      <c r="AP55" s="12">
        <v>746.35</v>
      </c>
      <c r="AQ55" s="12">
        <v>705.35</v>
      </c>
      <c r="AR55" s="12">
        <v>743.1</v>
      </c>
      <c r="AS55" s="12">
        <v>42240000</v>
      </c>
      <c r="AV55" s="12">
        <v>2045</v>
      </c>
      <c r="AW55" s="12">
        <v>2064.6</v>
      </c>
      <c r="AX55" s="12">
        <v>1983.3</v>
      </c>
      <c r="AY55" s="12">
        <v>2005.65</v>
      </c>
      <c r="AZ55" s="12">
        <v>11460000</v>
      </c>
    </row>
    <row r="56" spans="2:52" ht="15" thickBot="1" x14ac:dyDescent="0.35">
      <c r="B56" s="123">
        <v>43549</v>
      </c>
      <c r="C56" s="164">
        <v>1.4471154265077099E-2</v>
      </c>
      <c r="D56" s="163">
        <f t="shared" si="0"/>
        <v>-1.6425767955519349E-2</v>
      </c>
      <c r="E56" s="163">
        <f t="shared" si="4"/>
        <v>-2.2315857657215377E-2</v>
      </c>
      <c r="F56" s="163">
        <f t="shared" si="1"/>
        <v>5.9289807199951861E-2</v>
      </c>
      <c r="G56" s="163">
        <f t="shared" si="2"/>
        <v>1.0087764398290467E-3</v>
      </c>
      <c r="H56" s="165">
        <f t="shared" si="3"/>
        <v>-1.9963573121457635E-3</v>
      </c>
      <c r="K56" s="123">
        <v>43549</v>
      </c>
      <c r="M56" s="151">
        <v>11395.650390999999</v>
      </c>
      <c r="N56" s="152">
        <v>11630.349609000001</v>
      </c>
      <c r="O56" s="152">
        <v>11311.599609000001</v>
      </c>
      <c r="P56" s="152">
        <v>11623.900390999999</v>
      </c>
      <c r="Q56" s="153">
        <v>1871500</v>
      </c>
      <c r="T56" s="12">
        <v>791</v>
      </c>
      <c r="U56" s="12">
        <v>795.7</v>
      </c>
      <c r="V56" s="12">
        <v>761.6</v>
      </c>
      <c r="W56" s="12">
        <v>775.9</v>
      </c>
      <c r="X56" s="12">
        <v>15770000</v>
      </c>
      <c r="AA56" s="12">
        <v>261.3</v>
      </c>
      <c r="AB56" s="12">
        <v>262</v>
      </c>
      <c r="AC56" s="12">
        <v>253.4</v>
      </c>
      <c r="AD56" s="12">
        <v>254.8</v>
      </c>
      <c r="AE56" s="12">
        <v>23790000</v>
      </c>
      <c r="AH56" s="12">
        <v>514.5</v>
      </c>
      <c r="AI56" s="12">
        <v>549.5</v>
      </c>
      <c r="AJ56" s="12">
        <v>505.75</v>
      </c>
      <c r="AK56" s="12">
        <v>543.72</v>
      </c>
      <c r="AL56" s="12">
        <v>24230000</v>
      </c>
      <c r="AO56" s="12">
        <v>740</v>
      </c>
      <c r="AP56" s="12">
        <v>747.95</v>
      </c>
      <c r="AQ56" s="12">
        <v>719.1</v>
      </c>
      <c r="AR56" s="12">
        <v>743.85</v>
      </c>
      <c r="AS56" s="12">
        <v>44760000</v>
      </c>
      <c r="AV56" s="12">
        <v>2004.1</v>
      </c>
      <c r="AW56" s="12">
        <v>2024.9</v>
      </c>
      <c r="AX56" s="12">
        <v>1958.05</v>
      </c>
      <c r="AY56" s="12">
        <v>2001.65</v>
      </c>
      <c r="AZ56" s="12">
        <v>15160000</v>
      </c>
    </row>
    <row r="57" spans="2:52" ht="15" thickBot="1" x14ac:dyDescent="0.35">
      <c r="B57" s="123">
        <v>43556</v>
      </c>
      <c r="C57" s="164">
        <v>3.6110021003795101E-3</v>
      </c>
      <c r="D57" s="163">
        <f t="shared" si="0"/>
        <v>1.7384030389595922E-3</v>
      </c>
      <c r="E57" s="163">
        <f t="shared" si="4"/>
        <v>2.824718663135237E-2</v>
      </c>
      <c r="F57" s="163">
        <f t="shared" si="1"/>
        <v>4.9168997895331426E-3</v>
      </c>
      <c r="G57" s="163">
        <f t="shared" si="2"/>
        <v>2.0557554615935322E-2</v>
      </c>
      <c r="H57" s="165">
        <f t="shared" si="3"/>
        <v>2.3038340389971577E-2</v>
      </c>
      <c r="K57" s="123">
        <v>43556</v>
      </c>
      <c r="M57" s="151">
        <v>11665.200194999999</v>
      </c>
      <c r="N57" s="152">
        <v>11761</v>
      </c>
      <c r="O57" s="152">
        <v>11559.200194999999</v>
      </c>
      <c r="P57" s="152">
        <v>11665.950194999999</v>
      </c>
      <c r="Q57" s="153">
        <v>1747200</v>
      </c>
      <c r="T57" s="12">
        <v>782.5</v>
      </c>
      <c r="U57" s="12">
        <v>794.8</v>
      </c>
      <c r="V57" s="12">
        <v>767.05</v>
      </c>
      <c r="W57" s="12">
        <v>777.25</v>
      </c>
      <c r="X57" s="12">
        <v>11020000</v>
      </c>
      <c r="AA57" s="12">
        <v>255</v>
      </c>
      <c r="AB57" s="12">
        <v>264.05</v>
      </c>
      <c r="AC57" s="12">
        <v>254.9</v>
      </c>
      <c r="AD57" s="12">
        <v>262.10000000000002</v>
      </c>
      <c r="AE57" s="12">
        <v>70120000</v>
      </c>
      <c r="AH57" s="12">
        <v>546.5</v>
      </c>
      <c r="AI57" s="12">
        <v>566.65</v>
      </c>
      <c r="AJ57" s="12">
        <v>540.75</v>
      </c>
      <c r="AK57" s="12">
        <v>546.4</v>
      </c>
      <c r="AL57" s="12">
        <v>25390000</v>
      </c>
      <c r="AO57" s="12">
        <v>743</v>
      </c>
      <c r="AP57" s="12">
        <v>765.8</v>
      </c>
      <c r="AQ57" s="12">
        <v>742</v>
      </c>
      <c r="AR57" s="12">
        <v>759.3</v>
      </c>
      <c r="AS57" s="12">
        <v>39690000</v>
      </c>
      <c r="AV57" s="12">
        <v>2025</v>
      </c>
      <c r="AW57" s="12">
        <v>2089.8000000000002</v>
      </c>
      <c r="AX57" s="12">
        <v>2006</v>
      </c>
      <c r="AY57" s="12">
        <v>2048.3000000000002</v>
      </c>
      <c r="AZ57" s="12">
        <v>17420000</v>
      </c>
    </row>
    <row r="58" spans="2:52" ht="15" thickBot="1" x14ac:dyDescent="0.35">
      <c r="B58" s="123">
        <v>43563</v>
      </c>
      <c r="C58" s="164">
        <v>-1.9305521902517485E-3</v>
      </c>
      <c r="D58" s="163">
        <f t="shared" si="0"/>
        <v>1.0367429350178156E-2</v>
      </c>
      <c r="E58" s="163">
        <f t="shared" si="4"/>
        <v>7.8133216927219265E-2</v>
      </c>
      <c r="F58" s="163">
        <f t="shared" si="1"/>
        <v>-8.6020454694096752E-3</v>
      </c>
      <c r="G58" s="163">
        <f t="shared" si="2"/>
        <v>-1.5328258709130575E-2</v>
      </c>
      <c r="H58" s="165">
        <f t="shared" si="3"/>
        <v>-1.6639155175208069E-2</v>
      </c>
      <c r="K58" s="123">
        <v>43563</v>
      </c>
      <c r="M58" s="151">
        <v>11704.349609000001</v>
      </c>
      <c r="N58" s="152">
        <v>11710.299805000001</v>
      </c>
      <c r="O58" s="152">
        <v>11549.099609000001</v>
      </c>
      <c r="P58" s="152">
        <v>11643.450194999999</v>
      </c>
      <c r="Q58" s="153">
        <v>1447100</v>
      </c>
      <c r="T58" s="12">
        <v>779</v>
      </c>
      <c r="U58" s="12">
        <v>798.95</v>
      </c>
      <c r="V58" s="12">
        <v>773.4</v>
      </c>
      <c r="W58" s="12">
        <v>785.35</v>
      </c>
      <c r="X58" s="12">
        <v>11430000</v>
      </c>
      <c r="AA58" s="12">
        <v>263</v>
      </c>
      <c r="AB58" s="12">
        <v>284.7</v>
      </c>
      <c r="AC58" s="12">
        <v>260.60000000000002</v>
      </c>
      <c r="AD58" s="12">
        <v>283.39999999999998</v>
      </c>
      <c r="AE58" s="12">
        <v>54230000</v>
      </c>
      <c r="AH58" s="12">
        <v>542</v>
      </c>
      <c r="AI58" s="12">
        <v>564.41999999999996</v>
      </c>
      <c r="AJ58" s="12">
        <v>538.29999999999995</v>
      </c>
      <c r="AK58" s="12">
        <v>541.72</v>
      </c>
      <c r="AL58" s="12">
        <v>21720000</v>
      </c>
      <c r="AO58" s="12">
        <v>762.3</v>
      </c>
      <c r="AP58" s="12">
        <v>773.65</v>
      </c>
      <c r="AQ58" s="12">
        <v>740.05</v>
      </c>
      <c r="AR58" s="12">
        <v>747.75</v>
      </c>
      <c r="AS58" s="12">
        <v>35660000</v>
      </c>
      <c r="AV58" s="12">
        <v>2060</v>
      </c>
      <c r="AW58" s="12">
        <v>2098.6</v>
      </c>
      <c r="AX58" s="12">
        <v>2007</v>
      </c>
      <c r="AY58" s="12">
        <v>2014.5</v>
      </c>
      <c r="AZ58" s="12">
        <v>15460000</v>
      </c>
    </row>
    <row r="59" spans="2:52" ht="15" thickBot="1" x14ac:dyDescent="0.35">
      <c r="B59" s="123">
        <v>43570</v>
      </c>
      <c r="C59" s="164">
        <v>9.3476865941651364E-3</v>
      </c>
      <c r="D59" s="163">
        <f t="shared" si="0"/>
        <v>1.891965370366511E-2</v>
      </c>
      <c r="E59" s="163">
        <f t="shared" si="4"/>
        <v>4.9278522812406947E-3</v>
      </c>
      <c r="F59" s="163">
        <f t="shared" si="1"/>
        <v>1.7584278160865597E-2</v>
      </c>
      <c r="G59" s="163">
        <f t="shared" si="2"/>
        <v>-4.1923124334836227E-2</v>
      </c>
      <c r="H59" s="165">
        <f t="shared" si="3"/>
        <v>6.5120072033847801E-2</v>
      </c>
      <c r="K59" s="123">
        <v>43570</v>
      </c>
      <c r="M59" s="151">
        <v>11667</v>
      </c>
      <c r="N59" s="152">
        <v>11856.150390999999</v>
      </c>
      <c r="O59" s="152">
        <v>11648.25</v>
      </c>
      <c r="P59" s="152">
        <v>11752.799805000001</v>
      </c>
      <c r="Q59" s="153">
        <v>984000</v>
      </c>
      <c r="T59" s="12">
        <v>785.35</v>
      </c>
      <c r="U59" s="12">
        <v>809</v>
      </c>
      <c r="V59" s="12">
        <v>785</v>
      </c>
      <c r="W59" s="12">
        <v>800.35</v>
      </c>
      <c r="X59" s="12">
        <v>11830000</v>
      </c>
      <c r="AA59" s="12">
        <v>285</v>
      </c>
      <c r="AB59" s="12">
        <v>291.95</v>
      </c>
      <c r="AC59" s="12">
        <v>278</v>
      </c>
      <c r="AD59" s="12">
        <v>284.8</v>
      </c>
      <c r="AE59" s="12">
        <v>59280000</v>
      </c>
      <c r="AH59" s="12">
        <v>544.5</v>
      </c>
      <c r="AI59" s="12">
        <v>561.95000000000005</v>
      </c>
      <c r="AJ59" s="12">
        <v>541.6</v>
      </c>
      <c r="AK59" s="12">
        <v>551.33000000000004</v>
      </c>
      <c r="AL59" s="12">
        <v>11500000</v>
      </c>
      <c r="AO59" s="12">
        <v>724.7</v>
      </c>
      <c r="AP59" s="12">
        <v>732</v>
      </c>
      <c r="AQ59" s="12">
        <v>712.6</v>
      </c>
      <c r="AR59" s="12">
        <v>717.05</v>
      </c>
      <c r="AS59" s="12">
        <v>60170000</v>
      </c>
      <c r="AV59" s="12">
        <v>2070</v>
      </c>
      <c r="AW59" s="12">
        <v>2155.9499999999998</v>
      </c>
      <c r="AX59" s="12">
        <v>2041</v>
      </c>
      <c r="AY59" s="12">
        <v>2150.0500000000002</v>
      </c>
      <c r="AZ59" s="12">
        <v>19100000</v>
      </c>
    </row>
    <row r="60" spans="2:52" ht="15" thickBot="1" x14ac:dyDescent="0.35">
      <c r="B60" s="123">
        <v>43577</v>
      </c>
      <c r="C60" s="164">
        <v>1.574467658883855E-4</v>
      </c>
      <c r="D60" s="163">
        <f t="shared" si="0"/>
        <v>2.8210789263767046E-2</v>
      </c>
      <c r="E60" s="163">
        <f t="shared" si="4"/>
        <v>3.4509980777360838E-2</v>
      </c>
      <c r="F60" s="163">
        <f t="shared" si="1"/>
        <v>3.3092271400994709E-2</v>
      </c>
      <c r="G60" s="163">
        <f t="shared" si="2"/>
        <v>2.8798251425251276E-2</v>
      </c>
      <c r="H60" s="165">
        <f t="shared" si="3"/>
        <v>4.0337237152289845E-2</v>
      </c>
      <c r="K60" s="123">
        <v>43577</v>
      </c>
      <c r="M60" s="151">
        <v>11727.049805000001</v>
      </c>
      <c r="N60" s="152">
        <v>11796.75</v>
      </c>
      <c r="O60" s="152">
        <v>11564.799805000001</v>
      </c>
      <c r="P60" s="152">
        <v>11754.650390999999</v>
      </c>
      <c r="Q60" s="153">
        <v>1806000</v>
      </c>
      <c r="T60" s="12">
        <v>803</v>
      </c>
      <c r="U60" s="12">
        <v>827</v>
      </c>
      <c r="V60" s="12">
        <v>798.8</v>
      </c>
      <c r="W60" s="12">
        <v>823.25</v>
      </c>
      <c r="X60" s="12">
        <v>13610000</v>
      </c>
      <c r="AA60" s="12">
        <v>285.89999999999998</v>
      </c>
      <c r="AB60" s="12">
        <v>296.75</v>
      </c>
      <c r="AC60" s="12">
        <v>285.10000000000002</v>
      </c>
      <c r="AD60" s="12">
        <v>294.8</v>
      </c>
      <c r="AE60" s="12">
        <v>43530000</v>
      </c>
      <c r="AH60" s="12">
        <v>554.5</v>
      </c>
      <c r="AI60" s="12">
        <v>584.91999999999996</v>
      </c>
      <c r="AJ60" s="12">
        <v>547.5</v>
      </c>
      <c r="AK60" s="12">
        <v>569.88</v>
      </c>
      <c r="AL60" s="12">
        <v>19490000</v>
      </c>
      <c r="AO60" s="12">
        <v>716.4</v>
      </c>
      <c r="AP60" s="12">
        <v>739.9</v>
      </c>
      <c r="AQ60" s="12">
        <v>715</v>
      </c>
      <c r="AR60" s="12">
        <v>738</v>
      </c>
      <c r="AS60" s="12">
        <v>36910000</v>
      </c>
      <c r="AV60" s="12">
        <v>2148</v>
      </c>
      <c r="AW60" s="12">
        <v>2244.5500000000002</v>
      </c>
      <c r="AX60" s="12">
        <v>2134.0500000000002</v>
      </c>
      <c r="AY60" s="12">
        <v>2238.5500000000002</v>
      </c>
      <c r="AZ60" s="12">
        <v>14720000</v>
      </c>
    </row>
    <row r="61" spans="2:52" ht="15" thickBot="1" x14ac:dyDescent="0.35">
      <c r="B61" s="123">
        <v>43584</v>
      </c>
      <c r="C61" s="164">
        <v>-3.6136376286213779E-3</v>
      </c>
      <c r="D61" s="163">
        <f t="shared" si="0"/>
        <v>-7.1313501262967828E-3</v>
      </c>
      <c r="E61" s="163">
        <f t="shared" si="4"/>
        <v>-1.3317594814025726E-2</v>
      </c>
      <c r="F61" s="163">
        <f t="shared" si="1"/>
        <v>2.8911629464224023E-3</v>
      </c>
      <c r="G61" s="163">
        <f t="shared" si="2"/>
        <v>-1.9705071079332444E-2</v>
      </c>
      <c r="H61" s="165">
        <f t="shared" si="3"/>
        <v>-4.8767828531804516E-2</v>
      </c>
      <c r="K61" s="123">
        <v>43584</v>
      </c>
      <c r="M61" s="151">
        <v>11748.75</v>
      </c>
      <c r="N61" s="152">
        <v>11789.299805000001</v>
      </c>
      <c r="O61" s="152">
        <v>11655.900390999999</v>
      </c>
      <c r="P61" s="152">
        <v>11712.25</v>
      </c>
      <c r="Q61" s="153">
        <v>1218400</v>
      </c>
      <c r="T61" s="12">
        <v>823</v>
      </c>
      <c r="U61" s="12">
        <v>846.5</v>
      </c>
      <c r="V61" s="12">
        <v>813</v>
      </c>
      <c r="W61" s="12">
        <v>817.4</v>
      </c>
      <c r="X61" s="12">
        <v>8930000</v>
      </c>
      <c r="AA61" s="12">
        <v>294.5</v>
      </c>
      <c r="AB61" s="12">
        <v>299.45</v>
      </c>
      <c r="AC61" s="12">
        <v>288.55</v>
      </c>
      <c r="AD61" s="12">
        <v>290.89999999999998</v>
      </c>
      <c r="AE61" s="12">
        <v>20250000</v>
      </c>
      <c r="AH61" s="12">
        <v>569</v>
      </c>
      <c r="AI61" s="12">
        <v>595</v>
      </c>
      <c r="AJ61" s="12">
        <v>562.75</v>
      </c>
      <c r="AK61" s="12">
        <v>571.53</v>
      </c>
      <c r="AL61" s="12">
        <v>19500000</v>
      </c>
      <c r="AO61" s="12">
        <v>739</v>
      </c>
      <c r="AP61" s="12">
        <v>753.8</v>
      </c>
      <c r="AQ61" s="12">
        <v>718.2</v>
      </c>
      <c r="AR61" s="12">
        <v>723.6</v>
      </c>
      <c r="AS61" s="12">
        <v>24680000</v>
      </c>
      <c r="AV61" s="12">
        <v>2230</v>
      </c>
      <c r="AW61" s="12">
        <v>2266.9499999999998</v>
      </c>
      <c r="AX61" s="12">
        <v>2125</v>
      </c>
      <c r="AY61" s="12">
        <v>2132</v>
      </c>
      <c r="AZ61" s="12">
        <v>10090000</v>
      </c>
    </row>
    <row r="62" spans="2:52" ht="15" thickBot="1" x14ac:dyDescent="0.35">
      <c r="B62" s="123">
        <v>43591</v>
      </c>
      <c r="C62" s="164">
        <v>-3.7701544368802554E-2</v>
      </c>
      <c r="D62" s="163">
        <f t="shared" si="0"/>
        <v>-1.1071585600711024E-2</v>
      </c>
      <c r="E62" s="163">
        <f t="shared" si="4"/>
        <v>-1.8924736830969414E-3</v>
      </c>
      <c r="F62" s="163">
        <f t="shared" si="1"/>
        <v>-5.0600105150898911E-2</v>
      </c>
      <c r="G62" s="163">
        <f t="shared" si="2"/>
        <v>-9.3721398288632105E-3</v>
      </c>
      <c r="H62" s="165">
        <f t="shared" si="3"/>
        <v>1.7807774517098361E-3</v>
      </c>
      <c r="K62" s="123">
        <v>43591</v>
      </c>
      <c r="M62" s="151">
        <v>11605.799805000001</v>
      </c>
      <c r="N62" s="152">
        <v>11657.049805000001</v>
      </c>
      <c r="O62" s="152">
        <v>11251.049805000001</v>
      </c>
      <c r="P62" s="152">
        <v>11278.900390999999</v>
      </c>
      <c r="Q62" s="153">
        <v>1769600</v>
      </c>
      <c r="T62" s="12">
        <v>810</v>
      </c>
      <c r="U62" s="12">
        <v>825.5</v>
      </c>
      <c r="V62" s="12">
        <v>799.2</v>
      </c>
      <c r="W62" s="12">
        <v>808.4</v>
      </c>
      <c r="X62" s="12">
        <v>8360000</v>
      </c>
      <c r="AA62" s="12">
        <v>290.89999999999998</v>
      </c>
      <c r="AB62" s="12">
        <v>294.95</v>
      </c>
      <c r="AC62" s="12">
        <v>289.2</v>
      </c>
      <c r="AD62" s="12">
        <v>290.35000000000002</v>
      </c>
      <c r="AE62" s="12">
        <v>20340000</v>
      </c>
      <c r="AH62" s="12">
        <v>569.95000000000005</v>
      </c>
      <c r="AI62" s="12">
        <v>575</v>
      </c>
      <c r="AJ62" s="12">
        <v>536.4</v>
      </c>
      <c r="AK62" s="12">
        <v>543.33000000000004</v>
      </c>
      <c r="AL62" s="12">
        <v>32040000</v>
      </c>
      <c r="AO62" s="12">
        <v>718.5</v>
      </c>
      <c r="AP62" s="12">
        <v>730.35</v>
      </c>
      <c r="AQ62" s="12">
        <v>710.65</v>
      </c>
      <c r="AR62" s="12">
        <v>716.85</v>
      </c>
      <c r="AS62" s="12">
        <v>39630000</v>
      </c>
      <c r="AV62" s="12">
        <v>2113</v>
      </c>
      <c r="AW62" s="12">
        <v>2193.6</v>
      </c>
      <c r="AX62" s="12">
        <v>2104.5500000000002</v>
      </c>
      <c r="AY62" s="12">
        <v>2135.8000000000002</v>
      </c>
      <c r="AZ62" s="12">
        <v>11700000</v>
      </c>
    </row>
    <row r="63" spans="2:52" ht="15" thickBot="1" x14ac:dyDescent="0.35">
      <c r="B63" s="123">
        <v>43598</v>
      </c>
      <c r="C63" s="164">
        <v>1.1306627805581554E-2</v>
      </c>
      <c r="D63" s="163">
        <f t="shared" si="0"/>
        <v>-2.956436880824987E-2</v>
      </c>
      <c r="E63" s="163">
        <f t="shared" si="4"/>
        <v>-1.3697656731568437E-2</v>
      </c>
      <c r="F63" s="163">
        <f t="shared" si="1"/>
        <v>-2.2295932325850063E-2</v>
      </c>
      <c r="G63" s="163">
        <f t="shared" si="2"/>
        <v>9.7866476068188546E-3</v>
      </c>
      <c r="H63" s="165">
        <f t="shared" si="3"/>
        <v>-1.9072956310770665E-2</v>
      </c>
      <c r="K63" s="123">
        <v>43598</v>
      </c>
      <c r="M63" s="151">
        <v>11258.700194999999</v>
      </c>
      <c r="N63" s="152">
        <v>11426.150390999999</v>
      </c>
      <c r="O63" s="152">
        <v>11108.299805000001</v>
      </c>
      <c r="P63" s="152">
        <v>11407.150390999999</v>
      </c>
      <c r="Q63" s="153">
        <v>1932700</v>
      </c>
      <c r="T63" s="12">
        <v>811.6</v>
      </c>
      <c r="U63" s="12">
        <v>825.7</v>
      </c>
      <c r="V63" s="12">
        <v>776.55</v>
      </c>
      <c r="W63" s="12">
        <v>784.85</v>
      </c>
      <c r="X63" s="12">
        <v>11220000</v>
      </c>
      <c r="AA63" s="12">
        <v>290.5</v>
      </c>
      <c r="AB63" s="12">
        <v>293.5</v>
      </c>
      <c r="AC63" s="12">
        <v>282.3</v>
      </c>
      <c r="AD63" s="12">
        <v>286.39999999999998</v>
      </c>
      <c r="AE63" s="12">
        <v>25430000</v>
      </c>
      <c r="AH63" s="12">
        <v>544.15</v>
      </c>
      <c r="AI63" s="12">
        <v>550.4</v>
      </c>
      <c r="AJ63" s="12">
        <v>528.03</v>
      </c>
      <c r="AK63" s="12">
        <v>531.35</v>
      </c>
      <c r="AL63" s="12">
        <v>16440000</v>
      </c>
      <c r="AO63" s="12">
        <v>718</v>
      </c>
      <c r="AP63" s="12">
        <v>737</v>
      </c>
      <c r="AQ63" s="12">
        <v>703.6</v>
      </c>
      <c r="AR63" s="12">
        <v>723.9</v>
      </c>
      <c r="AS63" s="12">
        <v>41010000</v>
      </c>
      <c r="AV63" s="12">
        <v>2140</v>
      </c>
      <c r="AW63" s="12">
        <v>2167</v>
      </c>
      <c r="AX63" s="12">
        <v>2072.35</v>
      </c>
      <c r="AY63" s="12">
        <v>2095.4499999999998</v>
      </c>
      <c r="AZ63" s="12">
        <v>10960000</v>
      </c>
    </row>
    <row r="64" spans="2:52" ht="15" thickBot="1" x14ac:dyDescent="0.35">
      <c r="B64" s="123">
        <v>43605</v>
      </c>
      <c r="C64" s="164">
        <v>3.7589434228698801E-2</v>
      </c>
      <c r="D64" s="163">
        <f t="shared" si="0"/>
        <v>-6.4466323111094154E-2</v>
      </c>
      <c r="E64" s="163">
        <f t="shared" si="4"/>
        <v>-1.2295956778969046E-2</v>
      </c>
      <c r="F64" s="163">
        <f t="shared" si="1"/>
        <v>3.0441995848339617E-3</v>
      </c>
      <c r="G64" s="163">
        <f t="shared" si="2"/>
        <v>-2.0515687099042813E-2</v>
      </c>
      <c r="H64" s="165">
        <f t="shared" si="3"/>
        <v>-2.2904620267275862E-2</v>
      </c>
      <c r="K64" s="123">
        <v>43605</v>
      </c>
      <c r="M64" s="151">
        <v>11651.900390999999</v>
      </c>
      <c r="N64" s="152">
        <v>12041.150390999999</v>
      </c>
      <c r="O64" s="152">
        <v>11591.700194999999</v>
      </c>
      <c r="P64" s="152">
        <v>11844.099609000001</v>
      </c>
      <c r="Q64" s="153">
        <v>2132600</v>
      </c>
      <c r="T64" s="12">
        <v>801</v>
      </c>
      <c r="U64" s="12">
        <v>801</v>
      </c>
      <c r="V64" s="12">
        <v>732.05</v>
      </c>
      <c r="W64" s="12">
        <v>735.85</v>
      </c>
      <c r="X64" s="12">
        <v>19430000</v>
      </c>
      <c r="AA64" s="12">
        <v>289.7</v>
      </c>
      <c r="AB64" s="12">
        <v>291.5</v>
      </c>
      <c r="AC64" s="12">
        <v>279.95</v>
      </c>
      <c r="AD64" s="12">
        <v>282.89999999999998</v>
      </c>
      <c r="AE64" s="12">
        <v>26220000</v>
      </c>
      <c r="AH64" s="12">
        <v>531</v>
      </c>
      <c r="AI64" s="12">
        <v>541.9</v>
      </c>
      <c r="AJ64" s="12">
        <v>525.12</v>
      </c>
      <c r="AK64" s="12">
        <v>532.97</v>
      </c>
      <c r="AL64" s="12">
        <v>16070000</v>
      </c>
      <c r="AO64" s="12">
        <v>725.8</v>
      </c>
      <c r="AP64" s="12">
        <v>726.45</v>
      </c>
      <c r="AQ64" s="12">
        <v>697.45</v>
      </c>
      <c r="AR64" s="12">
        <v>709.2</v>
      </c>
      <c r="AS64" s="12">
        <v>42730000</v>
      </c>
      <c r="AV64" s="12">
        <v>2126</v>
      </c>
      <c r="AW64" s="12">
        <v>2151.4</v>
      </c>
      <c r="AX64" s="12">
        <v>2032.25</v>
      </c>
      <c r="AY64" s="12">
        <v>2048</v>
      </c>
      <c r="AZ64" s="12">
        <v>12510000</v>
      </c>
    </row>
    <row r="65" spans="2:52" ht="15" thickBot="1" x14ac:dyDescent="0.35">
      <c r="B65" s="123">
        <v>43612</v>
      </c>
      <c r="C65" s="164">
        <v>6.622696741282348E-3</v>
      </c>
      <c r="D65" s="163">
        <f t="shared" si="0"/>
        <v>3.2752559976346199E-2</v>
      </c>
      <c r="E65" s="163">
        <f t="shared" si="4"/>
        <v>1.2295956778968995E-2</v>
      </c>
      <c r="F65" s="163">
        <f t="shared" si="1"/>
        <v>2.4666527406685707E-2</v>
      </c>
      <c r="G65" s="163">
        <f t="shared" si="2"/>
        <v>3.9467439622995884E-2</v>
      </c>
      <c r="H65" s="165">
        <f t="shared" si="3"/>
        <v>7.0024240484717948E-2</v>
      </c>
      <c r="K65" s="123">
        <v>43612</v>
      </c>
      <c r="M65" s="151">
        <v>11855.5</v>
      </c>
      <c r="N65" s="152">
        <v>12039.25</v>
      </c>
      <c r="O65" s="152">
        <v>11812.400390999999</v>
      </c>
      <c r="P65" s="152">
        <v>11922.799805000001</v>
      </c>
      <c r="Q65" s="153">
        <v>2124900</v>
      </c>
      <c r="T65" s="12">
        <v>737</v>
      </c>
      <c r="U65" s="12">
        <v>764.6</v>
      </c>
      <c r="V65" s="12">
        <v>719.5</v>
      </c>
      <c r="W65" s="12">
        <v>760.35</v>
      </c>
      <c r="X65" s="12">
        <v>20890000</v>
      </c>
      <c r="AA65" s="12">
        <v>284</v>
      </c>
      <c r="AB65" s="12">
        <v>290.05</v>
      </c>
      <c r="AC65" s="12">
        <v>279.64999999999998</v>
      </c>
      <c r="AD65" s="12">
        <v>286.39999999999998</v>
      </c>
      <c r="AE65" s="12">
        <v>76310000</v>
      </c>
      <c r="AH65" s="12">
        <v>536</v>
      </c>
      <c r="AI65" s="12">
        <v>549.70000000000005</v>
      </c>
      <c r="AJ65" s="12">
        <v>527.62</v>
      </c>
      <c r="AK65" s="12">
        <v>546.28</v>
      </c>
      <c r="AL65" s="12">
        <v>27750000</v>
      </c>
      <c r="AO65" s="12">
        <v>707.4</v>
      </c>
      <c r="AP65" s="12">
        <v>742.95</v>
      </c>
      <c r="AQ65" s="12">
        <v>705.3</v>
      </c>
      <c r="AR65" s="12">
        <v>737.75</v>
      </c>
      <c r="AS65" s="12">
        <v>69530000</v>
      </c>
      <c r="AV65" s="12">
        <v>2054.8000000000002</v>
      </c>
      <c r="AW65" s="12">
        <v>2205</v>
      </c>
      <c r="AX65" s="12">
        <v>2040.1</v>
      </c>
      <c r="AY65" s="12">
        <v>2196.5500000000002</v>
      </c>
      <c r="AZ65" s="12">
        <v>21690000</v>
      </c>
    </row>
    <row r="66" spans="2:52" ht="15" thickBot="1" x14ac:dyDescent="0.35">
      <c r="B66" s="123">
        <v>43619</v>
      </c>
      <c r="C66" s="164">
        <v>-4.38351706672246E-3</v>
      </c>
      <c r="D66" s="163">
        <f t="shared" si="0"/>
        <v>-1.2706146723028375E-2</v>
      </c>
      <c r="E66" s="163">
        <f t="shared" si="4"/>
        <v>2.9755398416687315E-2</v>
      </c>
      <c r="F66" s="163">
        <f t="shared" si="1"/>
        <v>-1.1932964226319566E-2</v>
      </c>
      <c r="G66" s="163">
        <f t="shared" si="2"/>
        <v>1.8282159677923727E-3</v>
      </c>
      <c r="H66" s="165">
        <f t="shared" si="3"/>
        <v>-6.7606406006956278E-3</v>
      </c>
      <c r="K66" s="123">
        <v>43619</v>
      </c>
      <c r="M66" s="151">
        <v>11953.75</v>
      </c>
      <c r="N66" s="152">
        <v>12103.049805000001</v>
      </c>
      <c r="O66" s="152">
        <v>11769.5</v>
      </c>
      <c r="P66" s="152">
        <v>11870.650390999999</v>
      </c>
      <c r="Q66" s="153">
        <v>1322200</v>
      </c>
      <c r="T66" s="12">
        <v>764.95</v>
      </c>
      <c r="U66" s="12">
        <v>764.95</v>
      </c>
      <c r="V66" s="12">
        <v>729.4</v>
      </c>
      <c r="W66" s="12">
        <v>750.75</v>
      </c>
      <c r="X66" s="12">
        <v>10220000</v>
      </c>
      <c r="AA66" s="12">
        <v>288.5</v>
      </c>
      <c r="AB66" s="12">
        <v>296</v>
      </c>
      <c r="AC66" s="12">
        <v>287.10000000000002</v>
      </c>
      <c r="AD66" s="12">
        <v>295.05</v>
      </c>
      <c r="AE66" s="12">
        <v>34510000</v>
      </c>
      <c r="AH66" s="12">
        <v>549</v>
      </c>
      <c r="AI66" s="12">
        <v>559.5</v>
      </c>
      <c r="AJ66" s="12">
        <v>535.62</v>
      </c>
      <c r="AK66" s="12">
        <v>539.79999999999995</v>
      </c>
      <c r="AL66" s="12">
        <v>16490000</v>
      </c>
      <c r="AO66" s="12">
        <v>734</v>
      </c>
      <c r="AP66" s="12">
        <v>750.9</v>
      </c>
      <c r="AQ66" s="12">
        <v>729</v>
      </c>
      <c r="AR66" s="12">
        <v>739.1</v>
      </c>
      <c r="AS66" s="12">
        <v>31460000</v>
      </c>
      <c r="AV66" s="12">
        <v>2207.8000000000002</v>
      </c>
      <c r="AW66" s="12">
        <v>2248</v>
      </c>
      <c r="AX66" s="12">
        <v>2142.1</v>
      </c>
      <c r="AY66" s="12">
        <v>2181.75</v>
      </c>
      <c r="AZ66" s="12">
        <v>13100000</v>
      </c>
    </row>
    <row r="67" spans="2:52" ht="15" thickBot="1" x14ac:dyDescent="0.35">
      <c r="B67" s="123">
        <v>43626</v>
      </c>
      <c r="C67" s="164">
        <v>-3.9968556229066504E-3</v>
      </c>
      <c r="D67" s="163">
        <f t="shared" si="0"/>
        <v>-1.4084739881738972E-2</v>
      </c>
      <c r="E67" s="163">
        <f t="shared" si="4"/>
        <v>1.2629619755484574E-2</v>
      </c>
      <c r="F67" s="163">
        <f t="shared" si="1"/>
        <v>6.8310059773598782E-3</v>
      </c>
      <c r="G67" s="163">
        <f t="shared" si="2"/>
        <v>1.8248796926712023E-3</v>
      </c>
      <c r="H67" s="165">
        <f t="shared" si="3"/>
        <v>3.2800911817718111E-2</v>
      </c>
      <c r="K67" s="123">
        <v>43626</v>
      </c>
      <c r="M67" s="151">
        <v>11934.900390999999</v>
      </c>
      <c r="N67" s="152">
        <v>12000.349609000001</v>
      </c>
      <c r="O67" s="152">
        <v>11797.700194999999</v>
      </c>
      <c r="P67" s="152">
        <v>11823.299805000001</v>
      </c>
      <c r="Q67" s="153">
        <v>1757400</v>
      </c>
      <c r="T67" s="12">
        <v>755</v>
      </c>
      <c r="U67" s="12">
        <v>770.75</v>
      </c>
      <c r="V67" s="12">
        <v>735.3</v>
      </c>
      <c r="W67" s="12">
        <v>740.25</v>
      </c>
      <c r="X67" s="12">
        <v>11700000</v>
      </c>
      <c r="AA67" s="12">
        <v>296.3</v>
      </c>
      <c r="AB67" s="12">
        <v>301.60000000000002</v>
      </c>
      <c r="AC67" s="12">
        <v>295.5</v>
      </c>
      <c r="AD67" s="12">
        <v>298.8</v>
      </c>
      <c r="AE67" s="12">
        <v>35760000</v>
      </c>
      <c r="AH67" s="12">
        <v>543.45000000000005</v>
      </c>
      <c r="AI67" s="12">
        <v>558.47</v>
      </c>
      <c r="AJ67" s="12">
        <v>540.08000000000004</v>
      </c>
      <c r="AK67" s="12">
        <v>543.5</v>
      </c>
      <c r="AL67" s="12">
        <v>20240000</v>
      </c>
      <c r="AO67" s="12">
        <v>738</v>
      </c>
      <c r="AP67" s="12">
        <v>759</v>
      </c>
      <c r="AQ67" s="12">
        <v>738</v>
      </c>
      <c r="AR67" s="12">
        <v>740.45</v>
      </c>
      <c r="AS67" s="12">
        <v>30690000</v>
      </c>
      <c r="AV67" s="12">
        <v>2194.9</v>
      </c>
      <c r="AW67" s="12">
        <v>2285.0500000000002</v>
      </c>
      <c r="AX67" s="12">
        <v>2185.5</v>
      </c>
      <c r="AY67" s="12">
        <v>2254.5</v>
      </c>
      <c r="AZ67" s="12">
        <v>13540000</v>
      </c>
    </row>
    <row r="68" spans="2:52" ht="15" thickBot="1" x14ac:dyDescent="0.35">
      <c r="B68" s="123">
        <v>43633</v>
      </c>
      <c r="C68" s="164">
        <v>-8.4256253624138827E-3</v>
      </c>
      <c r="D68" s="163">
        <f t="shared" si="0"/>
        <v>2.7014250181171964E-4</v>
      </c>
      <c r="E68" s="163">
        <f t="shared" si="4"/>
        <v>-4.430725554868193E-2</v>
      </c>
      <c r="F68" s="163">
        <f t="shared" si="1"/>
        <v>-9.948122943921946E-3</v>
      </c>
      <c r="G68" s="163">
        <f t="shared" si="2"/>
        <v>1.3081728164274657E-2</v>
      </c>
      <c r="H68" s="165">
        <f t="shared" si="3"/>
        <v>-2.0646715516607697E-3</v>
      </c>
      <c r="K68" s="123">
        <v>43633</v>
      </c>
      <c r="M68" s="151">
        <v>11844</v>
      </c>
      <c r="N68" s="152">
        <v>11844.049805000001</v>
      </c>
      <c r="O68" s="152">
        <v>11625.099609000001</v>
      </c>
      <c r="P68" s="152">
        <v>11724.099609000001</v>
      </c>
      <c r="Q68" s="153">
        <v>2018300</v>
      </c>
      <c r="T68" s="12">
        <v>741.9</v>
      </c>
      <c r="U68" s="12">
        <v>744.5</v>
      </c>
      <c r="V68" s="12">
        <v>717.85</v>
      </c>
      <c r="W68" s="12">
        <v>740.45</v>
      </c>
      <c r="X68" s="12">
        <v>16650000</v>
      </c>
      <c r="AA68" s="12">
        <v>300</v>
      </c>
      <c r="AB68" s="12">
        <v>300.89999999999998</v>
      </c>
      <c r="AC68" s="12">
        <v>282.39999999999998</v>
      </c>
      <c r="AD68" s="12">
        <v>285.85000000000002</v>
      </c>
      <c r="AE68" s="12">
        <v>45230000</v>
      </c>
      <c r="AH68" s="12">
        <v>543</v>
      </c>
      <c r="AI68" s="12">
        <v>548.29999999999995</v>
      </c>
      <c r="AJ68" s="12">
        <v>532.83000000000004</v>
      </c>
      <c r="AK68" s="12">
        <v>538.12</v>
      </c>
      <c r="AL68" s="12">
        <v>13130000</v>
      </c>
      <c r="AO68" s="12">
        <v>741.15</v>
      </c>
      <c r="AP68" s="12">
        <v>756.9</v>
      </c>
      <c r="AQ68" s="12">
        <v>735</v>
      </c>
      <c r="AR68" s="12">
        <v>750.2</v>
      </c>
      <c r="AS68" s="12">
        <v>36830000</v>
      </c>
      <c r="AV68" s="12">
        <v>2259.9</v>
      </c>
      <c r="AW68" s="12">
        <v>2292.5</v>
      </c>
      <c r="AX68" s="12">
        <v>2212</v>
      </c>
      <c r="AY68" s="12">
        <v>2249.85</v>
      </c>
      <c r="AZ68" s="12">
        <v>11630000</v>
      </c>
    </row>
    <row r="69" spans="2:52" ht="15" thickBot="1" x14ac:dyDescent="0.35">
      <c r="B69" s="123">
        <v>43640</v>
      </c>
      <c r="C69" s="164">
        <v>5.5076173623292233E-3</v>
      </c>
      <c r="D69" s="163">
        <f t="shared" si="0"/>
        <v>-4.6793374558467528E-2</v>
      </c>
      <c r="E69" s="163">
        <f t="shared" si="4"/>
        <v>-1.8893472747229353E-2</v>
      </c>
      <c r="F69" s="163">
        <f t="shared" si="1"/>
        <v>-1.0817985830808017E-2</v>
      </c>
      <c r="G69" s="163">
        <f t="shared" si="2"/>
        <v>-2.4559323686475409E-2</v>
      </c>
      <c r="H69" s="165">
        <f t="shared" si="3"/>
        <v>-1.0118356169377707E-2</v>
      </c>
      <c r="K69" s="123">
        <v>43640</v>
      </c>
      <c r="M69" s="151">
        <v>11725.799805000001</v>
      </c>
      <c r="N69" s="152">
        <v>11911.150390999999</v>
      </c>
      <c r="O69" s="152">
        <v>11651</v>
      </c>
      <c r="P69" s="152">
        <v>11788.849609000001</v>
      </c>
      <c r="Q69" s="153">
        <v>1690100</v>
      </c>
      <c r="T69" s="12">
        <v>738</v>
      </c>
      <c r="U69" s="12">
        <v>739.85</v>
      </c>
      <c r="V69" s="12">
        <v>691.65</v>
      </c>
      <c r="W69" s="12">
        <v>706.6</v>
      </c>
      <c r="X69" s="12">
        <v>18080000</v>
      </c>
      <c r="AA69" s="12">
        <v>285.5</v>
      </c>
      <c r="AB69" s="12">
        <v>288</v>
      </c>
      <c r="AC69" s="12">
        <v>280</v>
      </c>
      <c r="AD69" s="12">
        <v>280.5</v>
      </c>
      <c r="AE69" s="12">
        <v>17130000</v>
      </c>
      <c r="AH69" s="12">
        <v>539.5</v>
      </c>
      <c r="AI69" s="12">
        <v>546.33000000000004</v>
      </c>
      <c r="AJ69" s="12">
        <v>529.35</v>
      </c>
      <c r="AK69" s="12">
        <v>532.33000000000004</v>
      </c>
      <c r="AL69" s="12">
        <v>12710000</v>
      </c>
      <c r="AO69" s="12">
        <v>751.9</v>
      </c>
      <c r="AP69" s="12">
        <v>752</v>
      </c>
      <c r="AQ69" s="12">
        <v>728.15</v>
      </c>
      <c r="AR69" s="12">
        <v>732</v>
      </c>
      <c r="AS69" s="12">
        <v>32360000</v>
      </c>
      <c r="AV69" s="12">
        <v>2254.15</v>
      </c>
      <c r="AW69" s="12">
        <v>2280</v>
      </c>
      <c r="AX69" s="12">
        <v>2222.5</v>
      </c>
      <c r="AY69" s="12">
        <v>2227.1999999999998</v>
      </c>
      <c r="AZ69" s="12">
        <v>10070000</v>
      </c>
    </row>
    <row r="70" spans="2:52" ht="15" thickBot="1" x14ac:dyDescent="0.35">
      <c r="B70" s="123">
        <v>43647</v>
      </c>
      <c r="C70" s="164">
        <v>1.8898973421747837E-3</v>
      </c>
      <c r="D70" s="163">
        <f t="shared" ref="D70:D133" si="5">LN(W70/W69)</f>
        <v>-3.6755596677772187E-2</v>
      </c>
      <c r="E70" s="163">
        <f t="shared" ref="E70:E133" si="6">LN(AD70/AD69)</f>
        <v>-3.1323281370821264E-2</v>
      </c>
      <c r="F70" s="163">
        <f t="shared" ref="F70:F133" si="7">LN(AK70/AK69)</f>
        <v>-4.6388526900470441E-2</v>
      </c>
      <c r="G70" s="163">
        <f t="shared" ref="G70:G133" si="8">LN(AR70/AR69)</f>
        <v>-1.9310944913087397E-2</v>
      </c>
      <c r="H70" s="165">
        <f t="shared" ref="H70:H133" si="9">LN(AY70/AY69)</f>
        <v>-2.9202813170644569E-2</v>
      </c>
      <c r="K70" s="123">
        <v>43647</v>
      </c>
      <c r="M70" s="151">
        <v>11839.900390999999</v>
      </c>
      <c r="N70" s="152">
        <v>11981.75</v>
      </c>
      <c r="O70" s="152">
        <v>11797.900390999999</v>
      </c>
      <c r="P70" s="152">
        <v>11811.150390999999</v>
      </c>
      <c r="Q70" s="153">
        <v>1846400</v>
      </c>
      <c r="T70" s="12">
        <v>709.7</v>
      </c>
      <c r="U70" s="12">
        <v>716</v>
      </c>
      <c r="V70" s="12">
        <v>678.3</v>
      </c>
      <c r="W70" s="12">
        <v>681.1</v>
      </c>
      <c r="X70" s="12">
        <v>12510000</v>
      </c>
      <c r="AA70" s="12">
        <v>281</v>
      </c>
      <c r="AB70" s="12">
        <v>285.60000000000002</v>
      </c>
      <c r="AC70" s="12">
        <v>271</v>
      </c>
      <c r="AD70" s="12">
        <v>271.85000000000002</v>
      </c>
      <c r="AE70" s="12">
        <v>12370000</v>
      </c>
      <c r="AH70" s="12">
        <v>536.97</v>
      </c>
      <c r="AI70" s="12">
        <v>536.97</v>
      </c>
      <c r="AJ70" s="12">
        <v>506.33</v>
      </c>
      <c r="AK70" s="12">
        <v>508.2</v>
      </c>
      <c r="AL70" s="12">
        <v>11100000</v>
      </c>
      <c r="AO70" s="12">
        <v>734.1</v>
      </c>
      <c r="AP70" s="12">
        <v>743.2</v>
      </c>
      <c r="AQ70" s="12">
        <v>713.2</v>
      </c>
      <c r="AR70" s="12">
        <v>718</v>
      </c>
      <c r="AS70" s="12">
        <v>23730000</v>
      </c>
      <c r="AV70" s="12">
        <v>2239.65</v>
      </c>
      <c r="AW70" s="12">
        <v>2259.9</v>
      </c>
      <c r="AX70" s="12">
        <v>2139</v>
      </c>
      <c r="AY70" s="12">
        <v>2163.1</v>
      </c>
      <c r="AZ70" s="12">
        <v>12810000</v>
      </c>
    </row>
    <row r="71" spans="2:52" ht="15" thickBot="1" x14ac:dyDescent="0.35">
      <c r="B71" s="123">
        <v>43654</v>
      </c>
      <c r="C71" s="164">
        <v>-2.214216991649301E-2</v>
      </c>
      <c r="D71" s="163">
        <f t="shared" si="5"/>
        <v>-2.2719813106348255E-2</v>
      </c>
      <c r="E71" s="163">
        <f t="shared" si="6"/>
        <v>-4.8615450722029295E-2</v>
      </c>
      <c r="F71" s="163">
        <f t="shared" si="7"/>
        <v>7.3518931347619342E-3</v>
      </c>
      <c r="G71" s="163">
        <f t="shared" si="8"/>
        <v>1.2112970390761049E-2</v>
      </c>
      <c r="H71" s="165">
        <f t="shared" si="9"/>
        <v>-2.599251863432521E-2</v>
      </c>
      <c r="K71" s="123">
        <v>43654</v>
      </c>
      <c r="M71" s="151">
        <v>11770.400390999999</v>
      </c>
      <c r="N71" s="152">
        <v>11771.900390999999</v>
      </c>
      <c r="O71" s="152">
        <v>11461</v>
      </c>
      <c r="P71" s="152">
        <v>11552.5</v>
      </c>
      <c r="Q71" s="153">
        <v>1920800</v>
      </c>
      <c r="T71" s="12">
        <v>682</v>
      </c>
      <c r="U71" s="12">
        <v>685.75</v>
      </c>
      <c r="V71" s="12">
        <v>658.2</v>
      </c>
      <c r="W71" s="12">
        <v>665.8</v>
      </c>
      <c r="X71" s="12">
        <v>12520000</v>
      </c>
      <c r="AA71" s="12">
        <v>268</v>
      </c>
      <c r="AB71" s="12">
        <v>271.25</v>
      </c>
      <c r="AC71" s="12">
        <v>258.05</v>
      </c>
      <c r="AD71" s="12">
        <v>258.95</v>
      </c>
      <c r="AE71" s="12">
        <v>20010000</v>
      </c>
      <c r="AH71" s="12">
        <v>508.5</v>
      </c>
      <c r="AI71" s="12">
        <v>523.95000000000005</v>
      </c>
      <c r="AJ71" s="12">
        <v>504</v>
      </c>
      <c r="AK71" s="12">
        <v>511.95</v>
      </c>
      <c r="AL71" s="12">
        <v>13900000</v>
      </c>
      <c r="AO71" s="12">
        <v>717</v>
      </c>
      <c r="AP71" s="12">
        <v>730.85</v>
      </c>
      <c r="AQ71" s="12">
        <v>706.5</v>
      </c>
      <c r="AR71" s="12">
        <v>726.75</v>
      </c>
      <c r="AS71" s="12">
        <v>35020000</v>
      </c>
      <c r="AV71" s="12">
        <v>2159</v>
      </c>
      <c r="AW71" s="12">
        <v>2188.8000000000002</v>
      </c>
      <c r="AX71" s="12">
        <v>2070.1</v>
      </c>
      <c r="AY71" s="12">
        <v>2107.6</v>
      </c>
      <c r="AZ71" s="12">
        <v>18760000</v>
      </c>
    </row>
    <row r="72" spans="2:52" ht="15" thickBot="1" x14ac:dyDescent="0.35">
      <c r="B72" s="123">
        <v>43661</v>
      </c>
      <c r="C72" s="164">
        <v>-1.1601335946760414E-2</v>
      </c>
      <c r="D72" s="163">
        <f t="shared" si="5"/>
        <v>1.3797437062330642E-2</v>
      </c>
      <c r="E72" s="163">
        <f t="shared" si="6"/>
        <v>2.1962116363155194E-2</v>
      </c>
      <c r="F72" s="163">
        <f t="shared" si="7"/>
        <v>-8.139294750247654E-3</v>
      </c>
      <c r="G72" s="163">
        <f t="shared" si="8"/>
        <v>7.7610602704923967E-2</v>
      </c>
      <c r="H72" s="165">
        <f t="shared" si="9"/>
        <v>-1.4649387931256905E-2</v>
      </c>
      <c r="K72" s="123">
        <v>43661</v>
      </c>
      <c r="M72" s="151">
        <v>11614.75</v>
      </c>
      <c r="N72" s="152">
        <v>11706.650390999999</v>
      </c>
      <c r="O72" s="152">
        <v>11399.299805000001</v>
      </c>
      <c r="P72" s="152">
        <v>11419.25</v>
      </c>
      <c r="Q72" s="153">
        <v>2258100</v>
      </c>
      <c r="T72" s="12">
        <v>675</v>
      </c>
      <c r="U72" s="12">
        <v>695.5</v>
      </c>
      <c r="V72" s="12">
        <v>664.4</v>
      </c>
      <c r="W72" s="12">
        <v>675.05</v>
      </c>
      <c r="X72" s="12">
        <v>12530000</v>
      </c>
      <c r="AA72" s="12">
        <v>260</v>
      </c>
      <c r="AB72" s="12">
        <v>274.14999999999998</v>
      </c>
      <c r="AC72" s="12">
        <v>255.9</v>
      </c>
      <c r="AD72" s="12">
        <v>264.7</v>
      </c>
      <c r="AE72" s="12">
        <v>42630000</v>
      </c>
      <c r="AH72" s="12">
        <v>517.22</v>
      </c>
      <c r="AI72" s="12">
        <v>521.62</v>
      </c>
      <c r="AJ72" s="12">
        <v>504.6</v>
      </c>
      <c r="AK72" s="12">
        <v>507.8</v>
      </c>
      <c r="AL72" s="12">
        <v>13440000</v>
      </c>
      <c r="AO72" s="12">
        <v>763</v>
      </c>
      <c r="AP72" s="12">
        <v>798.6</v>
      </c>
      <c r="AQ72" s="12">
        <v>754.2</v>
      </c>
      <c r="AR72" s="12">
        <v>785.4</v>
      </c>
      <c r="AS72" s="12">
        <v>63350000</v>
      </c>
      <c r="AV72" s="12">
        <v>2125</v>
      </c>
      <c r="AW72" s="12">
        <v>2153.6</v>
      </c>
      <c r="AX72" s="12">
        <v>2060</v>
      </c>
      <c r="AY72" s="12">
        <v>2076.9499999999998</v>
      </c>
      <c r="AZ72" s="12">
        <v>12960000</v>
      </c>
    </row>
    <row r="73" spans="2:52" ht="15" thickBot="1" x14ac:dyDescent="0.35">
      <c r="B73" s="123">
        <v>43668</v>
      </c>
      <c r="C73" s="164">
        <v>-1.1888165992921838E-2</v>
      </c>
      <c r="D73" s="163">
        <f t="shared" si="5"/>
        <v>-4.786473516707368E-2</v>
      </c>
      <c r="E73" s="163">
        <f t="shared" si="6"/>
        <v>-4.164306604703287E-3</v>
      </c>
      <c r="F73" s="163">
        <f t="shared" si="7"/>
        <v>-1.4020635612142205E-2</v>
      </c>
      <c r="G73" s="163">
        <f t="shared" si="8"/>
        <v>2.0351062734940946E-3</v>
      </c>
      <c r="H73" s="165">
        <f t="shared" si="9"/>
        <v>1.5337137712317313E-2</v>
      </c>
      <c r="K73" s="123">
        <v>43668</v>
      </c>
      <c r="M73" s="151">
        <v>11392.849609000001</v>
      </c>
      <c r="N73" s="152">
        <v>11398.150390999999</v>
      </c>
      <c r="O73" s="152">
        <v>11210.049805000001</v>
      </c>
      <c r="P73" s="152">
        <v>11284.299805000001</v>
      </c>
      <c r="Q73" s="153">
        <v>2464500</v>
      </c>
      <c r="T73" s="12">
        <v>671</v>
      </c>
      <c r="U73" s="12">
        <v>680</v>
      </c>
      <c r="V73" s="12">
        <v>641.04999999999995</v>
      </c>
      <c r="W73" s="12">
        <v>643.5</v>
      </c>
      <c r="X73" s="12">
        <v>10400000</v>
      </c>
      <c r="AA73" s="12">
        <v>266</v>
      </c>
      <c r="AB73" s="12">
        <v>270.10000000000002</v>
      </c>
      <c r="AC73" s="12">
        <v>260.8</v>
      </c>
      <c r="AD73" s="12">
        <v>263.60000000000002</v>
      </c>
      <c r="AE73" s="12">
        <v>19850000</v>
      </c>
      <c r="AH73" s="12">
        <v>507.8</v>
      </c>
      <c r="AI73" s="12">
        <v>513.83000000000004</v>
      </c>
      <c r="AJ73" s="12">
        <v>498.7</v>
      </c>
      <c r="AK73" s="12">
        <v>500.73</v>
      </c>
      <c r="AL73" s="12">
        <v>14980000</v>
      </c>
      <c r="AO73" s="12">
        <v>786.9</v>
      </c>
      <c r="AP73" s="12">
        <v>804.25</v>
      </c>
      <c r="AQ73" s="12">
        <v>782.05</v>
      </c>
      <c r="AR73" s="12">
        <v>787</v>
      </c>
      <c r="AS73" s="12">
        <v>40150000</v>
      </c>
      <c r="AV73" s="12">
        <v>2080</v>
      </c>
      <c r="AW73" s="12">
        <v>2135</v>
      </c>
      <c r="AX73" s="12">
        <v>2068.8000000000002</v>
      </c>
      <c r="AY73" s="12">
        <v>2109.0500000000002</v>
      </c>
      <c r="AZ73" s="12">
        <v>12490000</v>
      </c>
    </row>
    <row r="74" spans="2:52" ht="15" thickBot="1" x14ac:dyDescent="0.35">
      <c r="B74" s="123">
        <v>43675</v>
      </c>
      <c r="C74" s="164">
        <v>-2.5758062692417562E-2</v>
      </c>
      <c r="D74" s="163">
        <f t="shared" si="5"/>
        <v>-1.1487642447472034E-2</v>
      </c>
      <c r="E74" s="163">
        <f t="shared" si="6"/>
        <v>1.8966334812638486E-4</v>
      </c>
      <c r="F74" s="163">
        <f t="shared" si="7"/>
        <v>8.9863226252946387E-3</v>
      </c>
      <c r="G74" s="163">
        <f t="shared" si="8"/>
        <v>-1.4591325048906461E-2</v>
      </c>
      <c r="H74" s="165">
        <f t="shared" si="9"/>
        <v>4.4625944931960454E-2</v>
      </c>
      <c r="K74" s="123">
        <v>43675</v>
      </c>
      <c r="M74" s="151">
        <v>11307.5</v>
      </c>
      <c r="N74" s="152">
        <v>11310.950194999999</v>
      </c>
      <c r="O74" s="152">
        <v>10848.950194999999</v>
      </c>
      <c r="P74" s="152">
        <v>10997.349609000001</v>
      </c>
      <c r="Q74" s="153">
        <v>2546000</v>
      </c>
      <c r="T74" s="12">
        <v>643</v>
      </c>
      <c r="U74" s="12">
        <v>654.79999999999995</v>
      </c>
      <c r="V74" s="12">
        <v>607.15</v>
      </c>
      <c r="W74" s="12">
        <v>636.15</v>
      </c>
      <c r="X74" s="12">
        <v>25920000</v>
      </c>
      <c r="AA74" s="12">
        <v>263.8</v>
      </c>
      <c r="AB74" s="12">
        <v>276.14999999999998</v>
      </c>
      <c r="AC74" s="12">
        <v>260.25</v>
      </c>
      <c r="AD74" s="12">
        <v>263.64999999999998</v>
      </c>
      <c r="AE74" s="12">
        <v>32240000</v>
      </c>
      <c r="AH74" s="12">
        <v>502.5</v>
      </c>
      <c r="AI74" s="12">
        <v>521.22</v>
      </c>
      <c r="AJ74" s="12">
        <v>496.5</v>
      </c>
      <c r="AK74" s="12">
        <v>505.25</v>
      </c>
      <c r="AL74" s="12">
        <v>15070000</v>
      </c>
      <c r="AO74" s="12">
        <v>787.55</v>
      </c>
      <c r="AP74" s="12">
        <v>799.8</v>
      </c>
      <c r="AQ74" s="12">
        <v>762.25</v>
      </c>
      <c r="AR74" s="12">
        <v>775.6</v>
      </c>
      <c r="AS74" s="12">
        <v>44770000</v>
      </c>
      <c r="AV74" s="12">
        <v>2111</v>
      </c>
      <c r="AW74" s="12">
        <v>2217.5</v>
      </c>
      <c r="AX74" s="12">
        <v>2103.3000000000002</v>
      </c>
      <c r="AY74" s="12">
        <v>2205.3000000000002</v>
      </c>
      <c r="AZ74" s="12">
        <v>12850000</v>
      </c>
    </row>
    <row r="75" spans="2:52" ht="15" thickBot="1" x14ac:dyDescent="0.35">
      <c r="B75" s="123">
        <v>43682</v>
      </c>
      <c r="C75" s="164">
        <v>1.0159836069431745E-2</v>
      </c>
      <c r="D75" s="163">
        <f t="shared" si="5"/>
        <v>4.1868369774216374E-2</v>
      </c>
      <c r="E75" s="163">
        <f t="shared" si="6"/>
        <v>-5.6909799506163342E-4</v>
      </c>
      <c r="F75" s="163">
        <f t="shared" si="7"/>
        <v>7.2332168596029464E-2</v>
      </c>
      <c r="G75" s="163">
        <f t="shared" si="8"/>
        <v>1.8206130646609427E-2</v>
      </c>
      <c r="H75" s="165">
        <f t="shared" si="9"/>
        <v>1.839860504961699E-2</v>
      </c>
      <c r="K75" s="123">
        <v>43682</v>
      </c>
      <c r="M75" s="151">
        <v>10895.799805000001</v>
      </c>
      <c r="N75" s="152">
        <v>11181.450194999999</v>
      </c>
      <c r="O75" s="152">
        <v>10782.599609000001</v>
      </c>
      <c r="P75" s="152">
        <v>11109.650390999999</v>
      </c>
      <c r="Q75" s="153">
        <v>2593600</v>
      </c>
      <c r="T75" s="12">
        <v>631</v>
      </c>
      <c r="U75" s="12">
        <v>684</v>
      </c>
      <c r="V75" s="12">
        <v>625.20000000000005</v>
      </c>
      <c r="W75" s="12">
        <v>663.35</v>
      </c>
      <c r="X75" s="12">
        <v>21430000</v>
      </c>
      <c r="AA75" s="12">
        <v>262</v>
      </c>
      <c r="AB75" s="12">
        <v>268.7</v>
      </c>
      <c r="AC75" s="12">
        <v>257.8</v>
      </c>
      <c r="AD75" s="12">
        <v>263.5</v>
      </c>
      <c r="AE75" s="12">
        <v>19860000</v>
      </c>
      <c r="AH75" s="12">
        <v>507.5</v>
      </c>
      <c r="AI75" s="12">
        <v>551.22</v>
      </c>
      <c r="AJ75" s="12">
        <v>498.55</v>
      </c>
      <c r="AK75" s="12">
        <v>543.15</v>
      </c>
      <c r="AL75" s="12">
        <v>28680000</v>
      </c>
      <c r="AO75" s="12">
        <v>773</v>
      </c>
      <c r="AP75" s="12">
        <v>796.75</v>
      </c>
      <c r="AQ75" s="12">
        <v>768.25</v>
      </c>
      <c r="AR75" s="12">
        <v>789.85</v>
      </c>
      <c r="AS75" s="12">
        <v>39620000</v>
      </c>
      <c r="AV75" s="12">
        <v>2185</v>
      </c>
      <c r="AW75" s="12">
        <v>2281</v>
      </c>
      <c r="AX75" s="12">
        <v>2185</v>
      </c>
      <c r="AY75" s="12">
        <v>2246.25</v>
      </c>
      <c r="AZ75" s="12">
        <v>12280000</v>
      </c>
    </row>
    <row r="76" spans="2:52" ht="15" thickBot="1" x14ac:dyDescent="0.35">
      <c r="B76" s="123">
        <v>43689</v>
      </c>
      <c r="C76" s="164">
        <v>-5.5828397310971134E-3</v>
      </c>
      <c r="D76" s="163">
        <f t="shared" si="5"/>
        <v>-6.5792198604186268E-3</v>
      </c>
      <c r="E76" s="163">
        <f t="shared" si="6"/>
        <v>-5.5797581068118988E-2</v>
      </c>
      <c r="F76" s="163">
        <f t="shared" si="7"/>
        <v>-2.1908128694381204E-2</v>
      </c>
      <c r="G76" s="163">
        <f t="shared" si="8"/>
        <v>-1.9560838462734292E-2</v>
      </c>
      <c r="H76" s="165">
        <f t="shared" si="9"/>
        <v>-3.679560935143162E-2</v>
      </c>
      <c r="K76" s="123">
        <v>43689</v>
      </c>
      <c r="M76" s="151">
        <v>11139.400390999999</v>
      </c>
      <c r="N76" s="152">
        <v>11145.900390999999</v>
      </c>
      <c r="O76" s="152">
        <v>10901.599609000001</v>
      </c>
      <c r="P76" s="152">
        <v>11047.799805000001</v>
      </c>
      <c r="Q76" s="153">
        <v>1607000</v>
      </c>
      <c r="T76" s="12">
        <v>663.65</v>
      </c>
      <c r="U76" s="12">
        <v>664</v>
      </c>
      <c r="V76" s="12">
        <v>636</v>
      </c>
      <c r="W76" s="12">
        <v>659</v>
      </c>
      <c r="X76" s="12">
        <v>8560000</v>
      </c>
      <c r="AA76" s="12">
        <v>265.8</v>
      </c>
      <c r="AB76" s="12">
        <v>265.8</v>
      </c>
      <c r="AC76" s="12">
        <v>245.05</v>
      </c>
      <c r="AD76" s="12">
        <v>249.2</v>
      </c>
      <c r="AE76" s="12">
        <v>12310000</v>
      </c>
      <c r="AH76" s="12">
        <v>543.75</v>
      </c>
      <c r="AI76" s="12">
        <v>545.95000000000005</v>
      </c>
      <c r="AJ76" s="12">
        <v>525.25</v>
      </c>
      <c r="AK76" s="12">
        <v>531.38</v>
      </c>
      <c r="AL76" s="12">
        <v>8550000</v>
      </c>
      <c r="AO76" s="12">
        <v>788.35</v>
      </c>
      <c r="AP76" s="12">
        <v>788.35</v>
      </c>
      <c r="AQ76" s="12">
        <v>760.15</v>
      </c>
      <c r="AR76" s="12">
        <v>774.55</v>
      </c>
      <c r="AS76" s="12">
        <v>19750000</v>
      </c>
      <c r="AV76" s="12">
        <v>2250.1999999999998</v>
      </c>
      <c r="AW76" s="12">
        <v>2250.1999999999998</v>
      </c>
      <c r="AX76" s="12">
        <v>2143.25</v>
      </c>
      <c r="AY76" s="12">
        <v>2165.1</v>
      </c>
      <c r="AZ76" s="12">
        <v>7850000</v>
      </c>
    </row>
    <row r="77" spans="2:52" ht="15" thickBot="1" x14ac:dyDescent="0.35">
      <c r="B77" s="123">
        <v>43696</v>
      </c>
      <c r="C77" s="164">
        <v>-1.9971290829605033E-2</v>
      </c>
      <c r="D77" s="163">
        <f t="shared" si="5"/>
        <v>3.7015060825052924E-2</v>
      </c>
      <c r="E77" s="163">
        <f t="shared" si="6"/>
        <v>8.7895092428490699E-3</v>
      </c>
      <c r="F77" s="163">
        <f t="shared" si="7"/>
        <v>2.2552310375885471E-2</v>
      </c>
      <c r="G77" s="163">
        <f t="shared" si="8"/>
        <v>3.5075737783580689E-2</v>
      </c>
      <c r="H77" s="165">
        <f t="shared" si="9"/>
        <v>3.7440921404444202E-2</v>
      </c>
      <c r="K77" s="123">
        <v>43696</v>
      </c>
      <c r="M77" s="151">
        <v>11094.799805000001</v>
      </c>
      <c r="N77" s="152">
        <v>11146.900390999999</v>
      </c>
      <c r="O77" s="152">
        <v>10637.150390999999</v>
      </c>
      <c r="P77" s="152">
        <v>10829.349609000001</v>
      </c>
      <c r="Q77" s="153">
        <v>2707400</v>
      </c>
      <c r="T77" s="12">
        <v>662</v>
      </c>
      <c r="U77" s="12">
        <v>694.4</v>
      </c>
      <c r="V77" s="12">
        <v>661.5</v>
      </c>
      <c r="W77" s="12">
        <v>683.85</v>
      </c>
      <c r="X77" s="12">
        <v>19690000</v>
      </c>
      <c r="AA77" s="12">
        <v>251.5</v>
      </c>
      <c r="AB77" s="12">
        <v>259.10000000000002</v>
      </c>
      <c r="AC77" s="12">
        <v>248.5</v>
      </c>
      <c r="AD77" s="12">
        <v>251.4</v>
      </c>
      <c r="AE77" s="12">
        <v>23840000</v>
      </c>
      <c r="AH77" s="12">
        <v>532.79999999999995</v>
      </c>
      <c r="AI77" s="12">
        <v>548.72</v>
      </c>
      <c r="AJ77" s="12">
        <v>528.03</v>
      </c>
      <c r="AK77" s="12">
        <v>543.5</v>
      </c>
      <c r="AL77" s="12">
        <v>15330000</v>
      </c>
      <c r="AO77" s="12">
        <v>777</v>
      </c>
      <c r="AP77" s="12">
        <v>809.95</v>
      </c>
      <c r="AQ77" s="12">
        <v>773.35</v>
      </c>
      <c r="AR77" s="12">
        <v>802.2</v>
      </c>
      <c r="AS77" s="12">
        <v>32030000</v>
      </c>
      <c r="AV77" s="12">
        <v>2167</v>
      </c>
      <c r="AW77" s="12">
        <v>2260</v>
      </c>
      <c r="AX77" s="12">
        <v>2157.6999999999998</v>
      </c>
      <c r="AY77" s="12">
        <v>2247.6999999999998</v>
      </c>
      <c r="AZ77" s="12">
        <v>9550000</v>
      </c>
    </row>
    <row r="78" spans="2:52" ht="15" thickBot="1" x14ac:dyDescent="0.35">
      <c r="B78" s="123">
        <v>43703</v>
      </c>
      <c r="C78" s="164">
        <v>1.7746673936300323E-2</v>
      </c>
      <c r="D78" s="163">
        <f t="shared" si="5"/>
        <v>1.4228915199174484E-2</v>
      </c>
      <c r="E78" s="163">
        <f t="shared" si="6"/>
        <v>1.1862535309819948E-2</v>
      </c>
      <c r="F78" s="163">
        <f t="shared" si="7"/>
        <v>1.2197614815589137E-2</v>
      </c>
      <c r="G78" s="163">
        <f t="shared" si="8"/>
        <v>1.5707452990221481E-2</v>
      </c>
      <c r="H78" s="165">
        <f t="shared" si="9"/>
        <v>5.2803353003256278E-3</v>
      </c>
      <c r="K78" s="123">
        <v>43703</v>
      </c>
      <c r="M78" s="151">
        <v>11000.299805000001</v>
      </c>
      <c r="N78" s="152">
        <v>11141.75</v>
      </c>
      <c r="O78" s="152">
        <v>10756.549805000001</v>
      </c>
      <c r="P78" s="152">
        <v>11023.25</v>
      </c>
      <c r="Q78" s="153">
        <v>3197800</v>
      </c>
      <c r="T78" s="12">
        <v>689.8</v>
      </c>
      <c r="U78" s="12">
        <v>700.7</v>
      </c>
      <c r="V78" s="12">
        <v>670.2</v>
      </c>
      <c r="W78" s="12">
        <v>693.65</v>
      </c>
      <c r="X78" s="12">
        <v>13840000</v>
      </c>
      <c r="AA78" s="12">
        <v>254</v>
      </c>
      <c r="AB78" s="12">
        <v>255.25</v>
      </c>
      <c r="AC78" s="12">
        <v>247.05</v>
      </c>
      <c r="AD78" s="12">
        <v>254.4</v>
      </c>
      <c r="AE78" s="12">
        <v>17790000</v>
      </c>
      <c r="AH78" s="12">
        <v>545</v>
      </c>
      <c r="AI78" s="12">
        <v>565</v>
      </c>
      <c r="AJ78" s="12">
        <v>531.83000000000004</v>
      </c>
      <c r="AK78" s="12">
        <v>550.16999999999996</v>
      </c>
      <c r="AL78" s="12">
        <v>26030000</v>
      </c>
      <c r="AO78" s="12">
        <v>800</v>
      </c>
      <c r="AP78" s="12">
        <v>817.5</v>
      </c>
      <c r="AQ78" s="12">
        <v>781.1</v>
      </c>
      <c r="AR78" s="12">
        <v>814.9</v>
      </c>
      <c r="AS78" s="12">
        <v>44280000</v>
      </c>
      <c r="AV78" s="12">
        <v>2254</v>
      </c>
      <c r="AW78" s="12">
        <v>2282</v>
      </c>
      <c r="AX78" s="12">
        <v>2216</v>
      </c>
      <c r="AY78" s="12">
        <v>2259.6</v>
      </c>
      <c r="AZ78" s="12">
        <v>11740000</v>
      </c>
    </row>
    <row r="79" spans="2:52" ht="15" thickBot="1" x14ac:dyDescent="0.35">
      <c r="B79" s="123">
        <v>43710</v>
      </c>
      <c r="C79" s="164">
        <v>-7.0142966913006683E-3</v>
      </c>
      <c r="D79" s="163">
        <f t="shared" si="5"/>
        <v>3.9711308016309975E-2</v>
      </c>
      <c r="E79" s="163">
        <f t="shared" si="6"/>
        <v>-9.47874395454377E-3</v>
      </c>
      <c r="F79" s="163">
        <f t="shared" si="7"/>
        <v>5.4527113620822333E-5</v>
      </c>
      <c r="G79" s="163">
        <f t="shared" si="8"/>
        <v>3.0515040997776809E-2</v>
      </c>
      <c r="H79" s="165">
        <f t="shared" si="9"/>
        <v>-2.7867455891774973E-2</v>
      </c>
      <c r="K79" s="123">
        <v>43710</v>
      </c>
      <c r="M79" s="151">
        <v>10960.950194999999</v>
      </c>
      <c r="N79" s="152">
        <v>10967.5</v>
      </c>
      <c r="O79" s="152">
        <v>10746.349609000001</v>
      </c>
      <c r="P79" s="152">
        <v>10946.200194999999</v>
      </c>
      <c r="Q79" s="153">
        <v>2084700</v>
      </c>
      <c r="T79" s="12">
        <v>699</v>
      </c>
      <c r="U79" s="12">
        <v>734.45</v>
      </c>
      <c r="V79" s="12">
        <v>691.05</v>
      </c>
      <c r="W79" s="12">
        <v>721.75</v>
      </c>
      <c r="X79" s="12">
        <v>20300000</v>
      </c>
      <c r="AA79" s="12">
        <v>253.5</v>
      </c>
      <c r="AB79" s="12">
        <v>259.25</v>
      </c>
      <c r="AC79" s="12">
        <v>248.8</v>
      </c>
      <c r="AD79" s="12">
        <v>252</v>
      </c>
      <c r="AE79" s="12">
        <v>22470000</v>
      </c>
      <c r="AH79" s="12">
        <v>551.5</v>
      </c>
      <c r="AI79" s="12">
        <v>565.29999999999995</v>
      </c>
      <c r="AJ79" s="12">
        <v>548.47</v>
      </c>
      <c r="AK79" s="12">
        <v>550.20000000000005</v>
      </c>
      <c r="AL79" s="12">
        <v>11690000</v>
      </c>
      <c r="AO79" s="12">
        <v>815</v>
      </c>
      <c r="AP79" s="12">
        <v>847.4</v>
      </c>
      <c r="AQ79" s="12">
        <v>810.25</v>
      </c>
      <c r="AR79" s="12">
        <v>840.15</v>
      </c>
      <c r="AS79" s="12">
        <v>26550000</v>
      </c>
      <c r="AV79" s="12">
        <v>2259</v>
      </c>
      <c r="AW79" s="12">
        <v>2296.1999999999998</v>
      </c>
      <c r="AX79" s="12">
        <v>2190.85</v>
      </c>
      <c r="AY79" s="12">
        <v>2197.5</v>
      </c>
      <c r="AZ79" s="12">
        <v>8950000</v>
      </c>
    </row>
    <row r="80" spans="2:52" ht="15" thickBot="1" x14ac:dyDescent="0.35">
      <c r="B80" s="123">
        <v>43717</v>
      </c>
      <c r="C80" s="164">
        <v>1.1779230155759669E-2</v>
      </c>
      <c r="D80" s="163">
        <f t="shared" si="5"/>
        <v>-1.7118321942947112E-2</v>
      </c>
      <c r="E80" s="163">
        <f t="shared" si="6"/>
        <v>-2.6743324975510921E-2</v>
      </c>
      <c r="F80" s="163">
        <f t="shared" si="7"/>
        <v>-2.9417954291217237E-2</v>
      </c>
      <c r="G80" s="163">
        <f t="shared" si="8"/>
        <v>-1.2998475866792954E-2</v>
      </c>
      <c r="H80" s="165">
        <f t="shared" si="9"/>
        <v>-2.5603721494483891E-2</v>
      </c>
      <c r="K80" s="123">
        <v>43717</v>
      </c>
      <c r="M80" s="151">
        <v>10936.700194999999</v>
      </c>
      <c r="N80" s="152">
        <v>11084.450194999999</v>
      </c>
      <c r="O80" s="152">
        <v>10889.799805000001</v>
      </c>
      <c r="P80" s="152">
        <v>11075.900390999999</v>
      </c>
      <c r="Q80" s="153">
        <v>2275300</v>
      </c>
      <c r="T80" s="12">
        <v>725</v>
      </c>
      <c r="U80" s="12">
        <v>725</v>
      </c>
      <c r="V80" s="12">
        <v>694</v>
      </c>
      <c r="W80" s="12">
        <v>709.5</v>
      </c>
      <c r="X80" s="12">
        <v>9310000</v>
      </c>
      <c r="AA80" s="12">
        <v>251.6</v>
      </c>
      <c r="AB80" s="12">
        <v>256.14999999999998</v>
      </c>
      <c r="AC80" s="12">
        <v>243.2</v>
      </c>
      <c r="AD80" s="12">
        <v>245.35</v>
      </c>
      <c r="AE80" s="12">
        <v>26070000</v>
      </c>
      <c r="AH80" s="12">
        <v>550</v>
      </c>
      <c r="AI80" s="12">
        <v>551</v>
      </c>
      <c r="AJ80" s="12">
        <v>524</v>
      </c>
      <c r="AK80" s="12">
        <v>534.25</v>
      </c>
      <c r="AL80" s="12">
        <v>19250000</v>
      </c>
      <c r="AO80" s="12">
        <v>838.05</v>
      </c>
      <c r="AP80" s="12">
        <v>840.3</v>
      </c>
      <c r="AQ80" s="12">
        <v>810.85</v>
      </c>
      <c r="AR80" s="12">
        <v>829.3</v>
      </c>
      <c r="AS80" s="12">
        <v>22200000</v>
      </c>
      <c r="AV80" s="12">
        <v>2203</v>
      </c>
      <c r="AW80" s="12">
        <v>2203</v>
      </c>
      <c r="AX80" s="12">
        <v>2115.5500000000002</v>
      </c>
      <c r="AY80" s="12">
        <v>2141.9499999999998</v>
      </c>
      <c r="AZ80" s="12">
        <v>9070000</v>
      </c>
    </row>
    <row r="81" spans="2:52" ht="15" thickBot="1" x14ac:dyDescent="0.35">
      <c r="B81" s="123">
        <v>43724</v>
      </c>
      <c r="C81" s="164">
        <v>1.7745334691074408E-2</v>
      </c>
      <c r="D81" s="163">
        <f t="shared" si="5"/>
        <v>-1.2266612491030601E-2</v>
      </c>
      <c r="E81" s="163">
        <f t="shared" si="6"/>
        <v>2.4425007054363367E-3</v>
      </c>
      <c r="F81" s="163">
        <f t="shared" si="7"/>
        <v>-1.8323142021762506E-2</v>
      </c>
      <c r="G81" s="163">
        <f t="shared" si="8"/>
        <v>-2.9739694038594638E-2</v>
      </c>
      <c r="H81" s="165">
        <f t="shared" si="9"/>
        <v>-3.6368508734778059E-2</v>
      </c>
      <c r="K81" s="123">
        <v>43724</v>
      </c>
      <c r="M81" s="151">
        <v>10994.849609000001</v>
      </c>
      <c r="N81" s="152">
        <v>11381.900390999999</v>
      </c>
      <c r="O81" s="152">
        <v>10670.25</v>
      </c>
      <c r="P81" s="152">
        <v>11274.200194999999</v>
      </c>
      <c r="Q81" s="153">
        <v>3435100</v>
      </c>
      <c r="T81" s="12">
        <v>710.1</v>
      </c>
      <c r="U81" s="12">
        <v>723.6</v>
      </c>
      <c r="V81" s="12">
        <v>696.05</v>
      </c>
      <c r="W81" s="12">
        <v>700.85</v>
      </c>
      <c r="X81" s="12">
        <v>12420000</v>
      </c>
      <c r="AA81" s="12">
        <v>245.1</v>
      </c>
      <c r="AB81" s="12">
        <v>248.7</v>
      </c>
      <c r="AC81" s="12">
        <v>240.25</v>
      </c>
      <c r="AD81" s="12">
        <v>245.95</v>
      </c>
      <c r="AE81" s="12">
        <v>19660000</v>
      </c>
      <c r="AH81" s="12">
        <v>535</v>
      </c>
      <c r="AI81" s="12">
        <v>543</v>
      </c>
      <c r="AJ81" s="12">
        <v>516.12</v>
      </c>
      <c r="AK81" s="12">
        <v>524.54999999999995</v>
      </c>
      <c r="AL81" s="12">
        <v>20420000</v>
      </c>
      <c r="AO81" s="12">
        <v>832.05</v>
      </c>
      <c r="AP81" s="12">
        <v>838</v>
      </c>
      <c r="AQ81" s="12">
        <v>802</v>
      </c>
      <c r="AR81" s="12">
        <v>805</v>
      </c>
      <c r="AS81" s="12">
        <v>43420000</v>
      </c>
      <c r="AV81" s="12">
        <v>2159.9499999999998</v>
      </c>
      <c r="AW81" s="12">
        <v>2173.5</v>
      </c>
      <c r="AX81" s="12">
        <v>2055.6</v>
      </c>
      <c r="AY81" s="12">
        <v>2065.4499999999998</v>
      </c>
      <c r="AZ81" s="12">
        <v>16080000</v>
      </c>
    </row>
    <row r="82" spans="2:52" ht="15" thickBot="1" x14ac:dyDescent="0.35">
      <c r="B82" s="123">
        <v>43731</v>
      </c>
      <c r="C82" s="164">
        <v>2.0907802565689134E-2</v>
      </c>
      <c r="D82" s="163">
        <f t="shared" si="5"/>
        <v>4.9105176422978777E-3</v>
      </c>
      <c r="E82" s="163">
        <f t="shared" si="6"/>
        <v>-3.8757311697062341E-2</v>
      </c>
      <c r="F82" s="163">
        <f t="shared" si="7"/>
        <v>-7.6932288958044114E-3</v>
      </c>
      <c r="G82" s="163">
        <f t="shared" si="8"/>
        <v>-2.8731815097149609E-2</v>
      </c>
      <c r="H82" s="165">
        <f t="shared" si="9"/>
        <v>-4.5128182178177561E-3</v>
      </c>
      <c r="K82" s="123">
        <v>43731</v>
      </c>
      <c r="M82" s="151">
        <v>11542.700194999999</v>
      </c>
      <c r="N82" s="152">
        <v>11694.849609000001</v>
      </c>
      <c r="O82" s="152">
        <v>11416.099609000001</v>
      </c>
      <c r="P82" s="152">
        <v>11512.400390999999</v>
      </c>
      <c r="Q82" s="153">
        <v>3658100</v>
      </c>
      <c r="T82" s="12">
        <v>703</v>
      </c>
      <c r="U82" s="12">
        <v>718.65</v>
      </c>
      <c r="V82" s="12">
        <v>675.1</v>
      </c>
      <c r="W82" s="12">
        <v>704.3</v>
      </c>
      <c r="X82" s="12">
        <v>15560000</v>
      </c>
      <c r="AA82" s="12">
        <v>247.7</v>
      </c>
      <c r="AB82" s="12">
        <v>248</v>
      </c>
      <c r="AC82" s="12">
        <v>235.8</v>
      </c>
      <c r="AD82" s="12">
        <v>236.6</v>
      </c>
      <c r="AE82" s="12">
        <v>26090000</v>
      </c>
      <c r="AH82" s="12">
        <v>531.5</v>
      </c>
      <c r="AI82" s="12">
        <v>534</v>
      </c>
      <c r="AJ82" s="12">
        <v>508.5</v>
      </c>
      <c r="AK82" s="12">
        <v>520.53</v>
      </c>
      <c r="AL82" s="12">
        <v>25690000</v>
      </c>
      <c r="AO82" s="12">
        <v>806.9</v>
      </c>
      <c r="AP82" s="12">
        <v>810</v>
      </c>
      <c r="AQ82" s="12">
        <v>741.9</v>
      </c>
      <c r="AR82" s="12">
        <v>782.2</v>
      </c>
      <c r="AS82" s="12">
        <v>67370000</v>
      </c>
      <c r="AV82" s="12">
        <v>2099</v>
      </c>
      <c r="AW82" s="12">
        <v>2107</v>
      </c>
      <c r="AX82" s="12">
        <v>1975</v>
      </c>
      <c r="AY82" s="12">
        <v>2056.15</v>
      </c>
      <c r="AZ82" s="12">
        <v>22280000</v>
      </c>
    </row>
    <row r="83" spans="2:52" ht="15" thickBot="1" x14ac:dyDescent="0.35">
      <c r="B83" s="123">
        <v>43738</v>
      </c>
      <c r="C83" s="164">
        <v>-2.9767980411700642E-2</v>
      </c>
      <c r="D83" s="163">
        <f t="shared" si="5"/>
        <v>5.45153390904089E-3</v>
      </c>
      <c r="E83" s="163">
        <f t="shared" si="6"/>
        <v>4.6384228218617181E-3</v>
      </c>
      <c r="F83" s="163">
        <f t="shared" si="7"/>
        <v>3.5887935528052584E-2</v>
      </c>
      <c r="G83" s="163">
        <f t="shared" si="8"/>
        <v>1.4280063687437455E-2</v>
      </c>
      <c r="H83" s="165">
        <f t="shared" si="9"/>
        <v>1.1220042744811313E-2</v>
      </c>
      <c r="K83" s="123">
        <v>43738</v>
      </c>
      <c r="M83" s="151">
        <v>11491.150390999999</v>
      </c>
      <c r="N83" s="152">
        <v>11554.200194999999</v>
      </c>
      <c r="O83" s="152">
        <v>11158.349609000001</v>
      </c>
      <c r="P83" s="152">
        <v>11174.75</v>
      </c>
      <c r="Q83" s="153">
        <v>4008200</v>
      </c>
      <c r="T83" s="12">
        <v>705</v>
      </c>
      <c r="U83" s="12">
        <v>717.75</v>
      </c>
      <c r="V83" s="12">
        <v>692.55</v>
      </c>
      <c r="W83" s="12">
        <v>708.15</v>
      </c>
      <c r="X83" s="12">
        <v>8440000</v>
      </c>
      <c r="AA83" s="12">
        <v>237</v>
      </c>
      <c r="AB83" s="12">
        <v>240.9</v>
      </c>
      <c r="AC83" s="12">
        <v>232.2</v>
      </c>
      <c r="AD83" s="12">
        <v>237.7</v>
      </c>
      <c r="AE83" s="12">
        <v>16090000</v>
      </c>
      <c r="AH83" s="12">
        <v>516.88</v>
      </c>
      <c r="AI83" s="12">
        <v>548.38</v>
      </c>
      <c r="AJ83" s="12">
        <v>516.88</v>
      </c>
      <c r="AK83" s="12">
        <v>539.54999999999995</v>
      </c>
      <c r="AL83" s="12">
        <v>19720000</v>
      </c>
      <c r="AO83" s="12">
        <v>782.35</v>
      </c>
      <c r="AP83" s="12">
        <v>809.8</v>
      </c>
      <c r="AQ83" s="12">
        <v>782.35</v>
      </c>
      <c r="AR83" s="12">
        <v>793.45</v>
      </c>
      <c r="AS83" s="12">
        <v>28680000</v>
      </c>
      <c r="AV83" s="12">
        <v>2060.1</v>
      </c>
      <c r="AW83" s="12">
        <v>2104</v>
      </c>
      <c r="AX83" s="12">
        <v>2039.7</v>
      </c>
      <c r="AY83" s="12">
        <v>2079.35</v>
      </c>
      <c r="AZ83" s="12">
        <v>10760000</v>
      </c>
    </row>
    <row r="84" spans="2:52" ht="15" thickBot="1" x14ac:dyDescent="0.35">
      <c r="B84" s="123">
        <v>43745</v>
      </c>
      <c r="C84" s="164">
        <v>1.1592742408247541E-2</v>
      </c>
      <c r="D84" s="163">
        <f t="shared" si="5"/>
        <v>1.8607140082859474E-2</v>
      </c>
      <c r="E84" s="163">
        <f t="shared" si="6"/>
        <v>7.3352524224701409E-3</v>
      </c>
      <c r="F84" s="163">
        <f t="shared" si="7"/>
        <v>3.7061058517423747E-4</v>
      </c>
      <c r="G84" s="163">
        <f t="shared" si="8"/>
        <v>2.6552158343799322E-2</v>
      </c>
      <c r="H84" s="165">
        <f t="shared" si="9"/>
        <v>-4.5504874844294052E-2</v>
      </c>
      <c r="K84" s="123">
        <v>43745</v>
      </c>
      <c r="M84" s="151">
        <v>11196.200194999999</v>
      </c>
      <c r="N84" s="152">
        <v>11362.900390999999</v>
      </c>
      <c r="O84" s="152">
        <v>11090.150390999999</v>
      </c>
      <c r="P84" s="152">
        <v>11305.049805000001</v>
      </c>
      <c r="Q84" s="153">
        <v>2774100</v>
      </c>
      <c r="T84" s="12">
        <v>708.15</v>
      </c>
      <c r="U84" s="12">
        <v>723.9</v>
      </c>
      <c r="V84" s="12">
        <v>697.5</v>
      </c>
      <c r="W84" s="12">
        <v>721.45</v>
      </c>
      <c r="X84" s="12">
        <v>9170000</v>
      </c>
      <c r="AA84" s="12">
        <v>238.05</v>
      </c>
      <c r="AB84" s="12">
        <v>242.4</v>
      </c>
      <c r="AC84" s="12">
        <v>235.8</v>
      </c>
      <c r="AD84" s="12">
        <v>239.45</v>
      </c>
      <c r="AE84" s="12">
        <v>9670000</v>
      </c>
      <c r="AH84" s="12">
        <v>542.88</v>
      </c>
      <c r="AI84" s="12">
        <v>545.5</v>
      </c>
      <c r="AJ84" s="12">
        <v>520.08000000000004</v>
      </c>
      <c r="AK84" s="12">
        <v>539.75</v>
      </c>
      <c r="AL84" s="12">
        <v>13190000</v>
      </c>
      <c r="AO84" s="12">
        <v>794.85</v>
      </c>
      <c r="AP84" s="12">
        <v>823.8</v>
      </c>
      <c r="AQ84" s="12">
        <v>776.6</v>
      </c>
      <c r="AR84" s="12">
        <v>814.8</v>
      </c>
      <c r="AS84" s="12">
        <v>42060000</v>
      </c>
      <c r="AV84" s="12">
        <v>2080</v>
      </c>
      <c r="AW84" s="12">
        <v>2094.8000000000002</v>
      </c>
      <c r="AX84" s="12">
        <v>1925</v>
      </c>
      <c r="AY84" s="12">
        <v>1986.85</v>
      </c>
      <c r="AZ84" s="12">
        <v>20600000</v>
      </c>
    </row>
    <row r="85" spans="2:52" ht="15" thickBot="1" x14ac:dyDescent="0.35">
      <c r="B85" s="123">
        <v>43752</v>
      </c>
      <c r="C85" s="164">
        <v>3.1073285608359466E-2</v>
      </c>
      <c r="D85" s="163">
        <f t="shared" si="5"/>
        <v>1.7518395319469238E-2</v>
      </c>
      <c r="E85" s="163">
        <f t="shared" si="6"/>
        <v>3.870658258492795E-2</v>
      </c>
      <c r="F85" s="163">
        <f t="shared" si="7"/>
        <v>1.4712909080659168E-2</v>
      </c>
      <c r="G85" s="163">
        <f t="shared" si="8"/>
        <v>-5.9348282780948704E-2</v>
      </c>
      <c r="H85" s="165">
        <f t="shared" si="9"/>
        <v>3.4868276871108085E-2</v>
      </c>
      <c r="K85" s="123">
        <v>43752</v>
      </c>
      <c r="M85" s="151">
        <v>11335.900390999999</v>
      </c>
      <c r="N85" s="152">
        <v>11684.700194999999</v>
      </c>
      <c r="O85" s="152">
        <v>11290.049805000001</v>
      </c>
      <c r="P85" s="152">
        <v>11661.849609000001</v>
      </c>
      <c r="Q85" s="153">
        <v>3299500</v>
      </c>
      <c r="T85" s="12">
        <v>721</v>
      </c>
      <c r="U85" s="12">
        <v>737.75</v>
      </c>
      <c r="V85" s="12">
        <v>715.9</v>
      </c>
      <c r="W85" s="12">
        <v>734.2</v>
      </c>
      <c r="X85" s="12">
        <v>10780000</v>
      </c>
      <c r="AA85" s="12">
        <v>240.3</v>
      </c>
      <c r="AB85" s="12">
        <v>251.8</v>
      </c>
      <c r="AC85" s="12">
        <v>238</v>
      </c>
      <c r="AD85" s="12">
        <v>248.9</v>
      </c>
      <c r="AE85" s="12">
        <v>37860000</v>
      </c>
      <c r="AH85" s="12">
        <v>540.08000000000004</v>
      </c>
      <c r="AI85" s="12">
        <v>553.5</v>
      </c>
      <c r="AJ85" s="12">
        <v>537</v>
      </c>
      <c r="AK85" s="12">
        <v>547.75</v>
      </c>
      <c r="AL85" s="12">
        <v>12210000</v>
      </c>
      <c r="AO85" s="12">
        <v>789</v>
      </c>
      <c r="AP85" s="12">
        <v>797</v>
      </c>
      <c r="AQ85" s="12">
        <v>760</v>
      </c>
      <c r="AR85" s="12">
        <v>767.85</v>
      </c>
      <c r="AS85" s="12">
        <v>61160000</v>
      </c>
      <c r="AV85" s="12">
        <v>2000</v>
      </c>
      <c r="AW85" s="12">
        <v>2064</v>
      </c>
      <c r="AX85" s="12">
        <v>1968</v>
      </c>
      <c r="AY85" s="12">
        <v>2057.35</v>
      </c>
      <c r="AZ85" s="12">
        <v>16260000</v>
      </c>
    </row>
    <row r="86" spans="2:52" ht="15" thickBot="1" x14ac:dyDescent="0.35">
      <c r="B86" s="123">
        <v>43759</v>
      </c>
      <c r="C86" s="164">
        <v>-6.7065601381853142E-3</v>
      </c>
      <c r="D86" s="163">
        <f t="shared" si="5"/>
        <v>-1.0198931623748644E-2</v>
      </c>
      <c r="E86" s="163">
        <f t="shared" si="6"/>
        <v>1.8904154639152654E-2</v>
      </c>
      <c r="F86" s="163">
        <f t="shared" si="7"/>
        <v>3.1449132682503295E-2</v>
      </c>
      <c r="G86" s="163">
        <f t="shared" si="8"/>
        <v>-0.16839283638846242</v>
      </c>
      <c r="H86" s="165">
        <f t="shared" si="9"/>
        <v>2.7966980105393977E-2</v>
      </c>
      <c r="K86" s="123">
        <v>43759</v>
      </c>
      <c r="M86" s="151">
        <v>11657.150390999999</v>
      </c>
      <c r="N86" s="152">
        <v>11714.349609000001</v>
      </c>
      <c r="O86" s="152">
        <v>11490.75</v>
      </c>
      <c r="P86" s="152">
        <v>11583.900390999999</v>
      </c>
      <c r="Q86" s="153">
        <v>3044300</v>
      </c>
      <c r="T86" s="12">
        <v>730</v>
      </c>
      <c r="U86" s="12">
        <v>745</v>
      </c>
      <c r="V86" s="12">
        <v>701.2</v>
      </c>
      <c r="W86" s="12">
        <v>726.75</v>
      </c>
      <c r="X86" s="12">
        <v>11160000</v>
      </c>
      <c r="AA86" s="12">
        <v>248.9</v>
      </c>
      <c r="AB86" s="12">
        <v>255.55</v>
      </c>
      <c r="AC86" s="12">
        <v>247.1</v>
      </c>
      <c r="AD86" s="12">
        <v>253.65</v>
      </c>
      <c r="AE86" s="12">
        <v>17470000</v>
      </c>
      <c r="AH86" s="12">
        <v>547.53</v>
      </c>
      <c r="AI86" s="12">
        <v>580</v>
      </c>
      <c r="AJ86" s="12">
        <v>525.75</v>
      </c>
      <c r="AK86" s="12">
        <v>565.25</v>
      </c>
      <c r="AL86" s="12">
        <v>33050000</v>
      </c>
      <c r="AO86" s="12">
        <v>691</v>
      </c>
      <c r="AP86" s="12">
        <v>691.1</v>
      </c>
      <c r="AQ86" s="12">
        <v>615</v>
      </c>
      <c r="AR86" s="12">
        <v>648.85</v>
      </c>
      <c r="AS86" s="12">
        <v>215460000</v>
      </c>
      <c r="AV86" s="12">
        <v>2081</v>
      </c>
      <c r="AW86" s="12">
        <v>2133.9</v>
      </c>
      <c r="AX86" s="12">
        <v>2040.05</v>
      </c>
      <c r="AY86" s="12">
        <v>2115.6999999999998</v>
      </c>
      <c r="AZ86" s="12">
        <v>15330000</v>
      </c>
    </row>
    <row r="87" spans="2:52" ht="15" thickBot="1" x14ac:dyDescent="0.35">
      <c r="B87" s="123">
        <v>43766</v>
      </c>
      <c r="C87" s="164">
        <v>2.6131902356812554E-2</v>
      </c>
      <c r="D87" s="163">
        <f t="shared" si="5"/>
        <v>4.5327823879392458E-2</v>
      </c>
      <c r="E87" s="163">
        <f t="shared" si="6"/>
        <v>1.9327102325058076E-2</v>
      </c>
      <c r="F87" s="163">
        <f t="shared" si="7"/>
        <v>1.8839549537812073E-2</v>
      </c>
      <c r="G87" s="163">
        <f t="shared" si="8"/>
        <v>5.8441913348728954E-2</v>
      </c>
      <c r="H87" s="165">
        <f t="shared" si="9"/>
        <v>3.9480640611354714E-2</v>
      </c>
      <c r="K87" s="123">
        <v>43766</v>
      </c>
      <c r="M87" s="151">
        <v>11643.950194999999</v>
      </c>
      <c r="N87" s="152">
        <v>11945</v>
      </c>
      <c r="O87" s="152">
        <v>11627.349609000001</v>
      </c>
      <c r="P87" s="152">
        <v>11890.599609000001</v>
      </c>
      <c r="Q87" s="153">
        <v>3947000</v>
      </c>
      <c r="T87" s="12">
        <v>727</v>
      </c>
      <c r="U87" s="12">
        <v>764.8</v>
      </c>
      <c r="V87" s="12">
        <v>725.1</v>
      </c>
      <c r="W87" s="12">
        <v>760.45</v>
      </c>
      <c r="X87" s="12">
        <v>14200000</v>
      </c>
      <c r="AA87" s="12">
        <v>254</v>
      </c>
      <c r="AB87" s="12">
        <v>261</v>
      </c>
      <c r="AC87" s="12">
        <v>252.2</v>
      </c>
      <c r="AD87" s="12">
        <v>258.60000000000002</v>
      </c>
      <c r="AE87" s="12">
        <v>14270000</v>
      </c>
      <c r="AH87" s="12">
        <v>567.5</v>
      </c>
      <c r="AI87" s="12">
        <v>585</v>
      </c>
      <c r="AJ87" s="12">
        <v>563.97</v>
      </c>
      <c r="AK87" s="12">
        <v>576</v>
      </c>
      <c r="AL87" s="12">
        <v>14030000</v>
      </c>
      <c r="AO87" s="12">
        <v>654</v>
      </c>
      <c r="AP87" s="12">
        <v>695.45</v>
      </c>
      <c r="AQ87" s="12">
        <v>647</v>
      </c>
      <c r="AR87" s="12">
        <v>687.9</v>
      </c>
      <c r="AS87" s="12">
        <v>80490000</v>
      </c>
      <c r="AV87" s="12">
        <v>2116.6</v>
      </c>
      <c r="AW87" s="12">
        <v>2285.5</v>
      </c>
      <c r="AX87" s="12">
        <v>2116.6</v>
      </c>
      <c r="AY87" s="12">
        <v>2200.9</v>
      </c>
      <c r="AZ87" s="12">
        <v>19850000</v>
      </c>
    </row>
    <row r="88" spans="2:52" ht="15" thickBot="1" x14ac:dyDescent="0.35">
      <c r="B88" s="123">
        <v>43773</v>
      </c>
      <c r="C88" s="164">
        <v>1.4749333626097507E-3</v>
      </c>
      <c r="D88" s="163">
        <f t="shared" si="5"/>
        <v>1.4231863139570762E-2</v>
      </c>
      <c r="E88" s="163">
        <f t="shared" si="6"/>
        <v>-8.5437412912423485E-3</v>
      </c>
      <c r="F88" s="163">
        <f t="shared" si="7"/>
        <v>-1.650667157300939E-3</v>
      </c>
      <c r="G88" s="163">
        <f t="shared" si="8"/>
        <v>2.9012457128436909E-2</v>
      </c>
      <c r="H88" s="165">
        <f t="shared" si="9"/>
        <v>-3.276786235108229E-2</v>
      </c>
      <c r="K88" s="123">
        <v>43773</v>
      </c>
      <c r="M88" s="151">
        <v>11928.900390999999</v>
      </c>
      <c r="N88" s="152">
        <v>12034.150390999999</v>
      </c>
      <c r="O88" s="152">
        <v>11850.25</v>
      </c>
      <c r="P88" s="152">
        <v>11908.150390999999</v>
      </c>
      <c r="Q88" s="153">
        <v>3410800</v>
      </c>
      <c r="T88" s="12">
        <v>760.6</v>
      </c>
      <c r="U88" s="12">
        <v>784</v>
      </c>
      <c r="V88" s="12">
        <v>753.45</v>
      </c>
      <c r="W88" s="12">
        <v>771.35</v>
      </c>
      <c r="X88" s="12">
        <v>22780000</v>
      </c>
      <c r="AA88" s="12">
        <v>258.39999999999998</v>
      </c>
      <c r="AB88" s="12">
        <v>260.8</v>
      </c>
      <c r="AC88" s="12">
        <v>254.7</v>
      </c>
      <c r="AD88" s="12">
        <v>256.39999999999998</v>
      </c>
      <c r="AE88" s="12">
        <v>9680000</v>
      </c>
      <c r="AH88" s="12">
        <v>575.65</v>
      </c>
      <c r="AI88" s="12">
        <v>583.15</v>
      </c>
      <c r="AJ88" s="12">
        <v>568.03</v>
      </c>
      <c r="AK88" s="12">
        <v>575.04999999999995</v>
      </c>
      <c r="AL88" s="12">
        <v>18420000</v>
      </c>
      <c r="AO88" s="12">
        <v>684.4</v>
      </c>
      <c r="AP88" s="12">
        <v>732.5</v>
      </c>
      <c r="AQ88" s="12">
        <v>678.15</v>
      </c>
      <c r="AR88" s="12">
        <v>708.15</v>
      </c>
      <c r="AS88" s="12">
        <v>90630000</v>
      </c>
      <c r="AV88" s="12">
        <v>2224.9</v>
      </c>
      <c r="AW88" s="12">
        <v>2229.6999999999998</v>
      </c>
      <c r="AX88" s="12">
        <v>2124</v>
      </c>
      <c r="AY88" s="12">
        <v>2129.9499999999998</v>
      </c>
      <c r="AZ88" s="12">
        <v>12990000</v>
      </c>
    </row>
    <row r="89" spans="2:52" ht="15" thickBot="1" x14ac:dyDescent="0.35">
      <c r="B89" s="123">
        <v>43780</v>
      </c>
      <c r="C89" s="164">
        <v>-1.067082028974596E-3</v>
      </c>
      <c r="D89" s="163">
        <f t="shared" si="5"/>
        <v>-2.5472394080326352E-2</v>
      </c>
      <c r="E89" s="163">
        <f t="shared" si="6"/>
        <v>-1.512947613245328E-2</v>
      </c>
      <c r="F89" s="163">
        <f t="shared" si="7"/>
        <v>-6.8051213586342056E-3</v>
      </c>
      <c r="G89" s="163">
        <f t="shared" si="8"/>
        <v>-6.0196350463195564E-3</v>
      </c>
      <c r="H89" s="165">
        <f t="shared" si="9"/>
        <v>2.0677253732111284E-2</v>
      </c>
      <c r="K89" s="123">
        <v>43780</v>
      </c>
      <c r="M89" s="151">
        <v>11879.200194999999</v>
      </c>
      <c r="N89" s="152">
        <v>11973.650390999999</v>
      </c>
      <c r="O89" s="152">
        <v>11802.650390999999</v>
      </c>
      <c r="P89" s="152">
        <v>11895.450194999999</v>
      </c>
      <c r="Q89" s="153">
        <v>2347700</v>
      </c>
      <c r="T89" s="12">
        <v>776.85</v>
      </c>
      <c r="U89" s="12">
        <v>776.85</v>
      </c>
      <c r="V89" s="12">
        <v>746</v>
      </c>
      <c r="W89" s="12">
        <v>751.95</v>
      </c>
      <c r="X89" s="12">
        <v>8360000</v>
      </c>
      <c r="AA89" s="12">
        <v>258</v>
      </c>
      <c r="AB89" s="12">
        <v>259</v>
      </c>
      <c r="AC89" s="12">
        <v>251.4</v>
      </c>
      <c r="AD89" s="12">
        <v>252.55</v>
      </c>
      <c r="AE89" s="12">
        <v>8300000</v>
      </c>
      <c r="AH89" s="12">
        <v>575</v>
      </c>
      <c r="AI89" s="12">
        <v>580</v>
      </c>
      <c r="AJ89" s="12">
        <v>565.1</v>
      </c>
      <c r="AK89" s="12">
        <v>571.15</v>
      </c>
      <c r="AL89" s="12">
        <v>11320000</v>
      </c>
      <c r="AO89" s="12">
        <v>707</v>
      </c>
      <c r="AP89" s="12">
        <v>712.95</v>
      </c>
      <c r="AQ89" s="12">
        <v>687.75</v>
      </c>
      <c r="AR89" s="12">
        <v>703.9</v>
      </c>
      <c r="AS89" s="12">
        <v>36700000</v>
      </c>
      <c r="AV89" s="12">
        <v>2144</v>
      </c>
      <c r="AW89" s="12">
        <v>2211.5</v>
      </c>
      <c r="AX89" s="12">
        <v>2091</v>
      </c>
      <c r="AY89" s="12">
        <v>2174.4499999999998</v>
      </c>
      <c r="AZ89" s="12">
        <v>12980000</v>
      </c>
    </row>
    <row r="90" spans="2:52" ht="15" thickBot="1" x14ac:dyDescent="0.35">
      <c r="B90" s="123">
        <v>43787</v>
      </c>
      <c r="C90" s="164">
        <v>1.5917949533454624E-3</v>
      </c>
      <c r="D90" s="163">
        <f t="shared" si="5"/>
        <v>2.9877524466345368E-3</v>
      </c>
      <c r="E90" s="163">
        <f t="shared" si="6"/>
        <v>-3.8136367591983959E-2</v>
      </c>
      <c r="F90" s="163">
        <f t="shared" si="7"/>
        <v>-2.440463865133561E-2</v>
      </c>
      <c r="G90" s="163">
        <f t="shared" si="8"/>
        <v>-1.5317742772634861E-2</v>
      </c>
      <c r="H90" s="165">
        <f t="shared" si="9"/>
        <v>-4.8406232729812447E-2</v>
      </c>
      <c r="K90" s="123">
        <v>43787</v>
      </c>
      <c r="M90" s="151">
        <v>11915.150390999999</v>
      </c>
      <c r="N90" s="152">
        <v>12038.599609000001</v>
      </c>
      <c r="O90" s="152">
        <v>11867.599609000001</v>
      </c>
      <c r="P90" s="152">
        <v>11914.400390999999</v>
      </c>
      <c r="Q90" s="153">
        <v>2819500</v>
      </c>
      <c r="T90" s="12">
        <v>752</v>
      </c>
      <c r="U90" s="12">
        <v>780.1</v>
      </c>
      <c r="V90" s="12">
        <v>742.8</v>
      </c>
      <c r="W90" s="12">
        <v>754.2</v>
      </c>
      <c r="X90" s="12">
        <v>12600000</v>
      </c>
      <c r="AA90" s="12">
        <v>252.5</v>
      </c>
      <c r="AB90" s="12">
        <v>252.65</v>
      </c>
      <c r="AC90" s="12">
        <v>242.1</v>
      </c>
      <c r="AD90" s="12">
        <v>243.1</v>
      </c>
      <c r="AE90" s="12">
        <v>12910000</v>
      </c>
      <c r="AH90" s="12">
        <v>572.5</v>
      </c>
      <c r="AI90" s="12">
        <v>574.97</v>
      </c>
      <c r="AJ90" s="12">
        <v>554.47</v>
      </c>
      <c r="AK90" s="12">
        <v>557.38</v>
      </c>
      <c r="AL90" s="12">
        <v>14370000</v>
      </c>
      <c r="AO90" s="12">
        <v>704.5</v>
      </c>
      <c r="AP90" s="12">
        <v>721.45</v>
      </c>
      <c r="AQ90" s="12">
        <v>685.1</v>
      </c>
      <c r="AR90" s="12">
        <v>693.2</v>
      </c>
      <c r="AS90" s="12">
        <v>46180000</v>
      </c>
      <c r="AV90" s="12">
        <v>2187</v>
      </c>
      <c r="AW90" s="12">
        <v>2187.75</v>
      </c>
      <c r="AX90" s="12">
        <v>2060.5</v>
      </c>
      <c r="AY90" s="12">
        <v>2071.6999999999998</v>
      </c>
      <c r="AZ90" s="12">
        <v>14080000</v>
      </c>
    </row>
    <row r="91" spans="2:52" ht="15" thickBot="1" x14ac:dyDescent="0.35">
      <c r="B91" s="123">
        <v>43794</v>
      </c>
      <c r="C91" s="164">
        <v>1.1818807046732608E-2</v>
      </c>
      <c r="D91" s="163">
        <f t="shared" si="5"/>
        <v>9.5669254734432434E-3</v>
      </c>
      <c r="E91" s="163">
        <f t="shared" si="6"/>
        <v>-2.2463506955929448E-2</v>
      </c>
      <c r="F91" s="163">
        <f t="shared" si="7"/>
        <v>1.1505554094054014E-2</v>
      </c>
      <c r="G91" s="163">
        <f t="shared" si="8"/>
        <v>4.5338496576498482E-3</v>
      </c>
      <c r="H91" s="165">
        <f t="shared" si="9"/>
        <v>-8.9456226315413733E-3</v>
      </c>
      <c r="K91" s="123">
        <v>43794</v>
      </c>
      <c r="M91" s="151">
        <v>11922.450194999999</v>
      </c>
      <c r="N91" s="152">
        <v>12158.799805000001</v>
      </c>
      <c r="O91" s="152">
        <v>11919.75</v>
      </c>
      <c r="P91" s="152">
        <v>12056.049805000001</v>
      </c>
      <c r="Q91" s="153">
        <v>3744700</v>
      </c>
      <c r="T91" s="12">
        <v>754.2</v>
      </c>
      <c r="U91" s="12">
        <v>772.35</v>
      </c>
      <c r="V91" s="12">
        <v>750.85</v>
      </c>
      <c r="W91" s="12">
        <v>761.45</v>
      </c>
      <c r="X91" s="12">
        <v>8660000</v>
      </c>
      <c r="AA91" s="12">
        <v>243.05</v>
      </c>
      <c r="AB91" s="12">
        <v>244.6</v>
      </c>
      <c r="AC91" s="12">
        <v>236.5</v>
      </c>
      <c r="AD91" s="12">
        <v>237.7</v>
      </c>
      <c r="AE91" s="12">
        <v>16340000</v>
      </c>
      <c r="AH91" s="12">
        <v>558.5</v>
      </c>
      <c r="AI91" s="12">
        <v>571.70000000000005</v>
      </c>
      <c r="AJ91" s="12">
        <v>549.22</v>
      </c>
      <c r="AK91" s="12">
        <v>563.83000000000004</v>
      </c>
      <c r="AL91" s="12">
        <v>17110000</v>
      </c>
      <c r="AO91" s="12">
        <v>693.35</v>
      </c>
      <c r="AP91" s="12">
        <v>707.25</v>
      </c>
      <c r="AQ91" s="12">
        <v>686</v>
      </c>
      <c r="AR91" s="12">
        <v>696.35</v>
      </c>
      <c r="AS91" s="12">
        <v>48550000</v>
      </c>
      <c r="AV91" s="12">
        <v>2074.5500000000002</v>
      </c>
      <c r="AW91" s="12">
        <v>2097.9</v>
      </c>
      <c r="AX91" s="12">
        <v>2035.05</v>
      </c>
      <c r="AY91" s="12">
        <v>2053.25</v>
      </c>
      <c r="AZ91" s="12">
        <v>17760000</v>
      </c>
    </row>
    <row r="92" spans="2:52" ht="15" thickBot="1" x14ac:dyDescent="0.35">
      <c r="B92" s="123">
        <v>43801</v>
      </c>
      <c r="C92" s="164">
        <v>-1.1223099807359135E-2</v>
      </c>
      <c r="D92" s="163">
        <f t="shared" si="5"/>
        <v>-5.2009729141756882E-3</v>
      </c>
      <c r="E92" s="163">
        <f t="shared" si="6"/>
        <v>1.3787559124506807E-2</v>
      </c>
      <c r="F92" s="163">
        <f t="shared" si="7"/>
        <v>-6.2804330514356849E-3</v>
      </c>
      <c r="G92" s="163">
        <f t="shared" si="8"/>
        <v>2.6569985555249385E-2</v>
      </c>
      <c r="H92" s="165">
        <f t="shared" si="9"/>
        <v>3.3688858089214645E-2</v>
      </c>
      <c r="K92" s="123">
        <v>43801</v>
      </c>
      <c r="M92" s="151">
        <v>12137.049805000001</v>
      </c>
      <c r="N92" s="152">
        <v>12137.150390999999</v>
      </c>
      <c r="O92" s="152">
        <v>11888.849609000001</v>
      </c>
      <c r="P92" s="152">
        <v>11921.5</v>
      </c>
      <c r="Q92" s="153">
        <v>3245300</v>
      </c>
      <c r="T92" s="12">
        <v>758.1</v>
      </c>
      <c r="U92" s="12">
        <v>771.35</v>
      </c>
      <c r="V92" s="12">
        <v>732.3</v>
      </c>
      <c r="W92" s="12">
        <v>757.5</v>
      </c>
      <c r="X92" s="12">
        <v>12380000</v>
      </c>
      <c r="AA92" s="12">
        <v>238.25</v>
      </c>
      <c r="AB92" s="12">
        <v>244.9</v>
      </c>
      <c r="AC92" s="12">
        <v>235.4</v>
      </c>
      <c r="AD92" s="12">
        <v>241</v>
      </c>
      <c r="AE92" s="12">
        <v>14370000</v>
      </c>
      <c r="AH92" s="12">
        <v>569.5</v>
      </c>
      <c r="AI92" s="12">
        <v>569.5</v>
      </c>
      <c r="AJ92" s="12">
        <v>557.15</v>
      </c>
      <c r="AK92" s="12">
        <v>560.29999999999995</v>
      </c>
      <c r="AL92" s="12">
        <v>17430000</v>
      </c>
      <c r="AO92" s="12">
        <v>703.1</v>
      </c>
      <c r="AP92" s="12">
        <v>720</v>
      </c>
      <c r="AQ92" s="12">
        <v>688.55</v>
      </c>
      <c r="AR92" s="12">
        <v>715.1</v>
      </c>
      <c r="AS92" s="12">
        <v>35930000</v>
      </c>
      <c r="AV92" s="12">
        <v>2060</v>
      </c>
      <c r="AW92" s="12">
        <v>2130</v>
      </c>
      <c r="AX92" s="12">
        <v>2010</v>
      </c>
      <c r="AY92" s="12">
        <v>2123.6</v>
      </c>
      <c r="AZ92" s="12">
        <v>19230000</v>
      </c>
    </row>
    <row r="93" spans="2:52" ht="15" thickBot="1" x14ac:dyDescent="0.35">
      <c r="B93" s="123">
        <v>43808</v>
      </c>
      <c r="C93" s="164">
        <v>1.3762198001804199E-2</v>
      </c>
      <c r="D93" s="163">
        <f t="shared" si="5"/>
        <v>5.7261485318395025E-3</v>
      </c>
      <c r="E93" s="163">
        <f t="shared" si="6"/>
        <v>1.175634866540657E-2</v>
      </c>
      <c r="F93" s="163">
        <f t="shared" si="7"/>
        <v>-3.1086829691478954E-2</v>
      </c>
      <c r="G93" s="163">
        <f t="shared" si="8"/>
        <v>-5.3281113148808436E-3</v>
      </c>
      <c r="H93" s="165">
        <f t="shared" si="9"/>
        <v>-2.496047196874375E-2</v>
      </c>
      <c r="K93" s="123">
        <v>43808</v>
      </c>
      <c r="M93" s="151">
        <v>11939.099609000001</v>
      </c>
      <c r="N93" s="152">
        <v>12098.849609000001</v>
      </c>
      <c r="O93" s="152">
        <v>11832.299805000001</v>
      </c>
      <c r="P93" s="152">
        <v>12086.700194999999</v>
      </c>
      <c r="Q93" s="153">
        <v>3597300</v>
      </c>
      <c r="T93" s="12">
        <v>759.45</v>
      </c>
      <c r="U93" s="12">
        <v>766</v>
      </c>
      <c r="V93" s="12">
        <v>737.3</v>
      </c>
      <c r="W93" s="12">
        <v>761.85</v>
      </c>
      <c r="X93" s="12">
        <v>8050000</v>
      </c>
      <c r="AA93" s="12">
        <v>241.9</v>
      </c>
      <c r="AB93" s="12">
        <v>244.85</v>
      </c>
      <c r="AC93" s="12">
        <v>236.35</v>
      </c>
      <c r="AD93" s="12">
        <v>243.85</v>
      </c>
      <c r="AE93" s="12">
        <v>12430000</v>
      </c>
      <c r="AH93" s="12">
        <v>562.54999999999995</v>
      </c>
      <c r="AI93" s="12">
        <v>563.20000000000005</v>
      </c>
      <c r="AJ93" s="12">
        <v>535</v>
      </c>
      <c r="AK93" s="12">
        <v>543.15</v>
      </c>
      <c r="AL93" s="12">
        <v>11410000</v>
      </c>
      <c r="AO93" s="12">
        <v>716.8</v>
      </c>
      <c r="AP93" s="12">
        <v>722.75</v>
      </c>
      <c r="AQ93" s="12">
        <v>695</v>
      </c>
      <c r="AR93" s="12">
        <v>711.3</v>
      </c>
      <c r="AS93" s="12">
        <v>41710000</v>
      </c>
      <c r="AV93" s="12">
        <v>2110</v>
      </c>
      <c r="AW93" s="12">
        <v>2128.15</v>
      </c>
      <c r="AX93" s="12">
        <v>1983.85</v>
      </c>
      <c r="AY93" s="12">
        <v>2071.25</v>
      </c>
      <c r="AZ93" s="12">
        <v>25420000</v>
      </c>
    </row>
    <row r="94" spans="2:52" ht="15" thickBot="1" x14ac:dyDescent="0.35">
      <c r="B94" s="123">
        <v>43815</v>
      </c>
      <c r="C94" s="164">
        <v>1.5198240691820195E-2</v>
      </c>
      <c r="D94" s="163">
        <f t="shared" si="5"/>
        <v>2.7829908924132313E-2</v>
      </c>
      <c r="E94" s="163">
        <f t="shared" si="6"/>
        <v>3.2081839454185364E-2</v>
      </c>
      <c r="F94" s="163">
        <f t="shared" si="7"/>
        <v>4.8075381961193944E-2</v>
      </c>
      <c r="G94" s="163">
        <f t="shared" si="8"/>
        <v>2.8071289084701766E-2</v>
      </c>
      <c r="H94" s="165">
        <f t="shared" si="9"/>
        <v>7.0660359956091393E-2</v>
      </c>
      <c r="K94" s="123">
        <v>43815</v>
      </c>
      <c r="M94" s="151">
        <v>12131.349609000001</v>
      </c>
      <c r="N94" s="152">
        <v>12293.900390999999</v>
      </c>
      <c r="O94" s="152">
        <v>12046.299805000001</v>
      </c>
      <c r="P94" s="152">
        <v>12271.799805000001</v>
      </c>
      <c r="Q94" s="153">
        <v>2890000</v>
      </c>
      <c r="T94" s="12">
        <v>762.7</v>
      </c>
      <c r="U94" s="12">
        <v>794</v>
      </c>
      <c r="V94" s="12">
        <v>759</v>
      </c>
      <c r="W94" s="12">
        <v>783.35</v>
      </c>
      <c r="X94" s="12">
        <v>18760000</v>
      </c>
      <c r="AA94" s="12">
        <v>243.9</v>
      </c>
      <c r="AB94" s="12">
        <v>253.8</v>
      </c>
      <c r="AC94" s="12">
        <v>242.6</v>
      </c>
      <c r="AD94" s="12">
        <v>251.8</v>
      </c>
      <c r="AE94" s="12">
        <v>18630000</v>
      </c>
      <c r="AH94" s="12">
        <v>546</v>
      </c>
      <c r="AI94" s="12">
        <v>574</v>
      </c>
      <c r="AJ94" s="12">
        <v>545.04999999999995</v>
      </c>
      <c r="AK94" s="12">
        <v>569.9</v>
      </c>
      <c r="AL94" s="12">
        <v>20610000</v>
      </c>
      <c r="AO94" s="12">
        <v>712.3</v>
      </c>
      <c r="AP94" s="12">
        <v>737.3</v>
      </c>
      <c r="AQ94" s="12">
        <v>710.2</v>
      </c>
      <c r="AR94" s="12">
        <v>731.55</v>
      </c>
      <c r="AS94" s="12">
        <v>45020000</v>
      </c>
      <c r="AV94" s="12">
        <v>2096</v>
      </c>
      <c r="AW94" s="12">
        <v>2246.6999999999998</v>
      </c>
      <c r="AX94" s="12">
        <v>2080.3000000000002</v>
      </c>
      <c r="AY94" s="12">
        <v>2222.9</v>
      </c>
      <c r="AZ94" s="12">
        <v>32560000</v>
      </c>
    </row>
    <row r="95" spans="2:52" ht="15" thickBot="1" x14ac:dyDescent="0.35">
      <c r="B95" s="123">
        <v>43822</v>
      </c>
      <c r="C95" s="164">
        <v>-2.1209262048452939E-3</v>
      </c>
      <c r="D95" s="163">
        <f t="shared" si="5"/>
        <v>-4.0292977669399285E-3</v>
      </c>
      <c r="E95" s="163">
        <f t="shared" si="6"/>
        <v>-1.7022539802814703E-2</v>
      </c>
      <c r="F95" s="163">
        <f t="shared" si="7"/>
        <v>-4.1320556396054892E-3</v>
      </c>
      <c r="G95" s="163">
        <f t="shared" si="8"/>
        <v>7.3544764585957234E-3</v>
      </c>
      <c r="H95" s="165">
        <f t="shared" si="9"/>
        <v>-1.1037340075999271E-2</v>
      </c>
      <c r="K95" s="123">
        <v>43822</v>
      </c>
      <c r="M95" s="151">
        <v>12235.450194999999</v>
      </c>
      <c r="N95" s="152">
        <v>12287.150390999999</v>
      </c>
      <c r="O95" s="152">
        <v>12118.849609000001</v>
      </c>
      <c r="P95" s="152">
        <v>12245.799805000001</v>
      </c>
      <c r="Q95" s="153">
        <v>1979200</v>
      </c>
      <c r="T95" s="12">
        <v>771.3</v>
      </c>
      <c r="U95" s="12">
        <v>787.4</v>
      </c>
      <c r="V95" s="12">
        <v>767.6</v>
      </c>
      <c r="W95" s="12">
        <v>780.2</v>
      </c>
      <c r="X95" s="12">
        <v>6060000</v>
      </c>
      <c r="AA95" s="12">
        <v>252.55</v>
      </c>
      <c r="AB95" s="12">
        <v>254.7</v>
      </c>
      <c r="AC95" s="12">
        <v>246.35</v>
      </c>
      <c r="AD95" s="12">
        <v>247.55</v>
      </c>
      <c r="AE95" s="12">
        <v>8260000</v>
      </c>
      <c r="AH95" s="12">
        <v>567.5</v>
      </c>
      <c r="AI95" s="12">
        <v>575.54999999999995</v>
      </c>
      <c r="AJ95" s="12">
        <v>556.79999999999995</v>
      </c>
      <c r="AK95" s="12">
        <v>567.54999999999995</v>
      </c>
      <c r="AL95" s="12">
        <v>8990000</v>
      </c>
      <c r="AO95" s="12">
        <v>732</v>
      </c>
      <c r="AP95" s="12">
        <v>737.65</v>
      </c>
      <c r="AQ95" s="12">
        <v>726.55</v>
      </c>
      <c r="AR95" s="12">
        <v>736.95</v>
      </c>
      <c r="AS95" s="12">
        <v>15530000</v>
      </c>
      <c r="AV95" s="12">
        <v>2217</v>
      </c>
      <c r="AW95" s="12">
        <v>2244.9499999999998</v>
      </c>
      <c r="AX95" s="12">
        <v>2176</v>
      </c>
      <c r="AY95" s="12">
        <v>2198.5</v>
      </c>
      <c r="AZ95" s="12">
        <v>8860000</v>
      </c>
    </row>
    <row r="96" spans="2:52" ht="15" thickBot="1" x14ac:dyDescent="0.35">
      <c r="B96" s="123">
        <v>43829</v>
      </c>
      <c r="C96" s="164">
        <v>-1.5649775772313113E-3</v>
      </c>
      <c r="D96" s="163">
        <f t="shared" si="5"/>
        <v>-6.5582437850904172E-3</v>
      </c>
      <c r="E96" s="163">
        <f t="shared" si="6"/>
        <v>1.4238684356107114E-2</v>
      </c>
      <c r="F96" s="163">
        <f t="shared" si="7"/>
        <v>3.0368462463618545E-2</v>
      </c>
      <c r="G96" s="163">
        <f t="shared" si="8"/>
        <v>1.2205552920993939E-2</v>
      </c>
      <c r="H96" s="165">
        <f t="shared" si="9"/>
        <v>9.7746163289804712E-4</v>
      </c>
      <c r="K96" s="123">
        <v>43829</v>
      </c>
      <c r="M96" s="151">
        <v>12274.900390999999</v>
      </c>
      <c r="N96" s="152">
        <v>12289.900390999999</v>
      </c>
      <c r="O96" s="152">
        <v>12151.799805000001</v>
      </c>
      <c r="P96" s="152">
        <v>12226.650390999999</v>
      </c>
      <c r="Q96" s="153">
        <v>1978600</v>
      </c>
      <c r="T96" s="12">
        <v>785</v>
      </c>
      <c r="U96" s="12">
        <v>785</v>
      </c>
      <c r="V96" s="12">
        <v>760</v>
      </c>
      <c r="W96" s="12">
        <v>775.1</v>
      </c>
      <c r="X96" s="12">
        <v>8250000</v>
      </c>
      <c r="AA96" s="12">
        <v>247.65</v>
      </c>
      <c r="AB96" s="12">
        <v>252.7</v>
      </c>
      <c r="AC96" s="12">
        <v>245.3</v>
      </c>
      <c r="AD96" s="12">
        <v>251.1</v>
      </c>
      <c r="AE96" s="12">
        <v>10990000</v>
      </c>
      <c r="AH96" s="12">
        <v>567</v>
      </c>
      <c r="AI96" s="12">
        <v>588.5</v>
      </c>
      <c r="AJ96" s="12">
        <v>564.15</v>
      </c>
      <c r="AK96" s="12">
        <v>585.04999999999995</v>
      </c>
      <c r="AL96" s="12">
        <v>9350000</v>
      </c>
      <c r="AO96" s="12">
        <v>736</v>
      </c>
      <c r="AP96" s="12">
        <v>748</v>
      </c>
      <c r="AQ96" s="12">
        <v>725.45</v>
      </c>
      <c r="AR96" s="12">
        <v>746</v>
      </c>
      <c r="AS96" s="12">
        <v>29380000</v>
      </c>
      <c r="AV96" s="12">
        <v>2202</v>
      </c>
      <c r="AW96" s="12">
        <v>2225</v>
      </c>
      <c r="AX96" s="12">
        <v>2149.1999999999998</v>
      </c>
      <c r="AY96" s="12">
        <v>2200.65</v>
      </c>
      <c r="AZ96" s="12">
        <v>13100000</v>
      </c>
    </row>
    <row r="97" spans="2:52" ht="15" thickBot="1" x14ac:dyDescent="0.35">
      <c r="B97" s="123">
        <v>43836</v>
      </c>
      <c r="C97" s="164">
        <v>2.4628415519981945E-3</v>
      </c>
      <c r="D97" s="163">
        <f t="shared" si="5"/>
        <v>1.4825799602226743E-3</v>
      </c>
      <c r="E97" s="163">
        <f t="shared" si="6"/>
        <v>2.585265435132452E-3</v>
      </c>
      <c r="F97" s="163">
        <f t="shared" si="7"/>
        <v>-8.0659438503351989E-3</v>
      </c>
      <c r="G97" s="163">
        <f t="shared" si="8"/>
        <v>-1.0578544223664001E-2</v>
      </c>
      <c r="H97" s="165">
        <f t="shared" si="9"/>
        <v>5.8447903238055109E-3</v>
      </c>
      <c r="K97" s="123">
        <v>43836</v>
      </c>
      <c r="M97" s="151">
        <v>12170.599609000001</v>
      </c>
      <c r="N97" s="152">
        <v>12311.200194999999</v>
      </c>
      <c r="O97" s="152">
        <v>11929.599609000001</v>
      </c>
      <c r="P97" s="152">
        <v>12256.799805000001</v>
      </c>
      <c r="Q97" s="153">
        <v>2428400</v>
      </c>
      <c r="T97" s="12">
        <v>774.85</v>
      </c>
      <c r="U97" s="12">
        <v>784.9</v>
      </c>
      <c r="V97" s="12">
        <v>760.6</v>
      </c>
      <c r="W97" s="12">
        <v>776.25</v>
      </c>
      <c r="X97" s="12">
        <v>9350000</v>
      </c>
      <c r="AA97" s="12">
        <v>251</v>
      </c>
      <c r="AB97" s="12">
        <v>256.5</v>
      </c>
      <c r="AC97" s="12">
        <v>250.15</v>
      </c>
      <c r="AD97" s="12">
        <v>251.75</v>
      </c>
      <c r="AE97" s="12">
        <v>16940000</v>
      </c>
      <c r="AH97" s="12">
        <v>585</v>
      </c>
      <c r="AI97" s="12">
        <v>593.15</v>
      </c>
      <c r="AJ97" s="12">
        <v>577.35</v>
      </c>
      <c r="AK97" s="12">
        <v>580.35</v>
      </c>
      <c r="AL97" s="12">
        <v>15290000</v>
      </c>
      <c r="AO97" s="12">
        <v>746.1</v>
      </c>
      <c r="AP97" s="12">
        <v>753.95</v>
      </c>
      <c r="AQ97" s="12">
        <v>708.3</v>
      </c>
      <c r="AR97" s="12">
        <v>738.15</v>
      </c>
      <c r="AS97" s="12">
        <v>47290000</v>
      </c>
      <c r="AV97" s="12">
        <v>2205</v>
      </c>
      <c r="AW97" s="12">
        <v>2260</v>
      </c>
      <c r="AX97" s="12">
        <v>2183.8000000000002</v>
      </c>
      <c r="AY97" s="12">
        <v>2213.5500000000002</v>
      </c>
      <c r="AZ97" s="12">
        <v>16760000</v>
      </c>
    </row>
    <row r="98" spans="2:52" ht="15" thickBot="1" x14ac:dyDescent="0.35">
      <c r="B98" s="123">
        <v>43843</v>
      </c>
      <c r="C98" s="164">
        <v>7.765427609438923E-3</v>
      </c>
      <c r="D98" s="163">
        <f t="shared" si="5"/>
        <v>2.830129887995031E-3</v>
      </c>
      <c r="E98" s="163">
        <f t="shared" si="6"/>
        <v>-2.5852654351323999E-3</v>
      </c>
      <c r="F98" s="163">
        <f t="shared" si="7"/>
        <v>3.129628273084159E-2</v>
      </c>
      <c r="G98" s="163">
        <f t="shared" si="8"/>
        <v>3.9447345591605065E-2</v>
      </c>
      <c r="H98" s="165">
        <f t="shared" si="9"/>
        <v>2.5041466843632957E-3</v>
      </c>
      <c r="K98" s="123">
        <v>43843</v>
      </c>
      <c r="M98" s="151">
        <v>12296.700194999999</v>
      </c>
      <c r="N98" s="152">
        <v>12389.049805000001</v>
      </c>
      <c r="O98" s="152">
        <v>12278.75</v>
      </c>
      <c r="P98" s="152">
        <v>12352.349609000001</v>
      </c>
      <c r="Q98" s="153">
        <v>2699500</v>
      </c>
      <c r="T98" s="12">
        <v>779.9</v>
      </c>
      <c r="U98" s="12">
        <v>803.65</v>
      </c>
      <c r="V98" s="12">
        <v>775.05</v>
      </c>
      <c r="W98" s="12">
        <v>778.45</v>
      </c>
      <c r="X98" s="12">
        <v>7090000</v>
      </c>
      <c r="AA98" s="12">
        <v>253.55</v>
      </c>
      <c r="AB98" s="12">
        <v>258.35000000000002</v>
      </c>
      <c r="AC98" s="12">
        <v>246.6</v>
      </c>
      <c r="AD98" s="12">
        <v>251.1</v>
      </c>
      <c r="AE98" s="12">
        <v>38960000</v>
      </c>
      <c r="AH98" s="12">
        <v>581</v>
      </c>
      <c r="AI98" s="12">
        <v>602</v>
      </c>
      <c r="AJ98" s="12">
        <v>580</v>
      </c>
      <c r="AK98" s="12">
        <v>598.79999999999995</v>
      </c>
      <c r="AL98" s="12">
        <v>16830000</v>
      </c>
      <c r="AO98" s="12">
        <v>763</v>
      </c>
      <c r="AP98" s="12">
        <v>777.55</v>
      </c>
      <c r="AQ98" s="12">
        <v>755</v>
      </c>
      <c r="AR98" s="12">
        <v>767.85</v>
      </c>
      <c r="AS98" s="12">
        <v>65550000</v>
      </c>
      <c r="AV98" s="12">
        <v>2221</v>
      </c>
      <c r="AW98" s="12">
        <v>2254.1999999999998</v>
      </c>
      <c r="AX98" s="12">
        <v>2184.6999999999998</v>
      </c>
      <c r="AY98" s="12">
        <v>2219.1</v>
      </c>
      <c r="AZ98" s="12">
        <v>15230000</v>
      </c>
    </row>
    <row r="99" spans="2:52" ht="15" thickBot="1" x14ac:dyDescent="0.35">
      <c r="B99" s="123">
        <v>43850</v>
      </c>
      <c r="C99" s="164">
        <v>-8.4632270764843469E-3</v>
      </c>
      <c r="D99" s="163">
        <f t="shared" si="5"/>
        <v>1.1304607054737863E-2</v>
      </c>
      <c r="E99" s="163">
        <f t="shared" si="6"/>
        <v>-1.4036725353098299E-2</v>
      </c>
      <c r="F99" s="163">
        <f t="shared" si="7"/>
        <v>1.4753686595836306E-2</v>
      </c>
      <c r="G99" s="163">
        <f t="shared" si="8"/>
        <v>1.9218958634813144E-2</v>
      </c>
      <c r="H99" s="165">
        <f t="shared" si="9"/>
        <v>-1.6218413415762443E-2</v>
      </c>
      <c r="K99" s="123">
        <v>43850</v>
      </c>
      <c r="M99" s="151">
        <v>12430.5</v>
      </c>
      <c r="N99" s="152">
        <v>12430.5</v>
      </c>
      <c r="O99" s="152">
        <v>12087.900390999999</v>
      </c>
      <c r="P99" s="152">
        <v>12248.25</v>
      </c>
      <c r="Q99" s="153">
        <v>1953400</v>
      </c>
      <c r="T99" s="12">
        <v>784.85</v>
      </c>
      <c r="U99" s="12">
        <v>790.45</v>
      </c>
      <c r="V99" s="12">
        <v>763.3</v>
      </c>
      <c r="W99" s="12">
        <v>787.3</v>
      </c>
      <c r="X99" s="12">
        <v>8320000</v>
      </c>
      <c r="AA99" s="12">
        <v>251.45</v>
      </c>
      <c r="AB99" s="12">
        <v>251.95</v>
      </c>
      <c r="AC99" s="12">
        <v>245.35</v>
      </c>
      <c r="AD99" s="12">
        <v>247.6</v>
      </c>
      <c r="AE99" s="12">
        <v>10530000</v>
      </c>
      <c r="AH99" s="12">
        <v>618.9</v>
      </c>
      <c r="AI99" s="12">
        <v>618.9</v>
      </c>
      <c r="AJ99" s="12">
        <v>581.5</v>
      </c>
      <c r="AK99" s="12">
        <v>607.70000000000005</v>
      </c>
      <c r="AL99" s="12">
        <v>27540000</v>
      </c>
      <c r="AO99" s="12">
        <v>770</v>
      </c>
      <c r="AP99" s="12">
        <v>786.5</v>
      </c>
      <c r="AQ99" s="12">
        <v>760.55</v>
      </c>
      <c r="AR99" s="12">
        <v>782.75</v>
      </c>
      <c r="AS99" s="12">
        <v>39560000</v>
      </c>
      <c r="AV99" s="12">
        <v>2194</v>
      </c>
      <c r="AW99" s="12">
        <v>2242.1999999999998</v>
      </c>
      <c r="AX99" s="12">
        <v>2156.1999999999998</v>
      </c>
      <c r="AY99" s="12">
        <v>2183.4</v>
      </c>
      <c r="AZ99" s="12">
        <v>13440000</v>
      </c>
    </row>
    <row r="100" spans="2:52" ht="15" thickBot="1" x14ac:dyDescent="0.35">
      <c r="B100" s="123">
        <v>43857</v>
      </c>
      <c r="C100" s="164">
        <v>-2.3639783935919336E-2</v>
      </c>
      <c r="D100" s="163">
        <f t="shared" si="5"/>
        <v>2.5395602494100694E-2</v>
      </c>
      <c r="E100" s="163">
        <f t="shared" si="6"/>
        <v>-4.4598637800590368E-2</v>
      </c>
      <c r="F100" s="163">
        <f t="shared" si="7"/>
        <v>-2.8034540789680706E-2</v>
      </c>
      <c r="G100" s="163">
        <f t="shared" si="8"/>
        <v>-4.1606717086838897E-3</v>
      </c>
      <c r="H100" s="165">
        <f t="shared" si="9"/>
        <v>-8.5322198744957681E-3</v>
      </c>
      <c r="K100" s="123">
        <v>43857</v>
      </c>
      <c r="M100" s="151">
        <v>12197.099609000001</v>
      </c>
      <c r="N100" s="152">
        <v>12216.599609000001</v>
      </c>
      <c r="O100" s="152">
        <v>11945.849609000001</v>
      </c>
      <c r="P100" s="152">
        <v>11962.099609000001</v>
      </c>
      <c r="Q100" s="153">
        <v>2743500</v>
      </c>
      <c r="T100" s="12">
        <v>785</v>
      </c>
      <c r="U100" s="12">
        <v>812</v>
      </c>
      <c r="V100" s="12">
        <v>765.7</v>
      </c>
      <c r="W100" s="12">
        <v>807.55</v>
      </c>
      <c r="X100" s="12">
        <v>17690000</v>
      </c>
      <c r="AA100" s="12">
        <v>248.95</v>
      </c>
      <c r="AB100" s="12">
        <v>248.95</v>
      </c>
      <c r="AC100" s="12">
        <v>234.3</v>
      </c>
      <c r="AD100" s="12">
        <v>236.8</v>
      </c>
      <c r="AE100" s="12">
        <v>16190000</v>
      </c>
      <c r="AH100" s="12">
        <v>609</v>
      </c>
      <c r="AI100" s="12">
        <v>613.95000000000005</v>
      </c>
      <c r="AJ100" s="12">
        <v>580.75</v>
      </c>
      <c r="AK100" s="12">
        <v>590.9</v>
      </c>
      <c r="AL100" s="12">
        <v>21070000</v>
      </c>
      <c r="AO100" s="12">
        <v>779.7</v>
      </c>
      <c r="AP100" s="12">
        <v>792.8</v>
      </c>
      <c r="AQ100" s="12">
        <v>769.25</v>
      </c>
      <c r="AR100" s="12">
        <v>779.5</v>
      </c>
      <c r="AS100" s="12">
        <v>32130000</v>
      </c>
      <c r="AV100" s="12">
        <v>2180</v>
      </c>
      <c r="AW100" s="12">
        <v>2193.4499999999998</v>
      </c>
      <c r="AX100" s="12">
        <v>2063.6</v>
      </c>
      <c r="AY100" s="12">
        <v>2164.85</v>
      </c>
      <c r="AZ100" s="12">
        <v>15010000</v>
      </c>
    </row>
    <row r="101" spans="2:52" ht="15" thickBot="1" x14ac:dyDescent="0.35">
      <c r="B101" s="123">
        <v>43864</v>
      </c>
      <c r="C101" s="164">
        <v>1.132576164260285E-2</v>
      </c>
      <c r="D101" s="163">
        <f t="shared" si="5"/>
        <v>2.0711524662455093E-2</v>
      </c>
      <c r="E101" s="163">
        <f t="shared" si="6"/>
        <v>2.9747383251995402E-2</v>
      </c>
      <c r="F101" s="163">
        <f t="shared" si="7"/>
        <v>2.8034540789680682E-2</v>
      </c>
      <c r="G101" s="163">
        <f t="shared" si="8"/>
        <v>-2.8263122616573192E-3</v>
      </c>
      <c r="H101" s="165">
        <f t="shared" si="9"/>
        <v>-1.3158696399908125E-2</v>
      </c>
      <c r="K101" s="123">
        <v>43864</v>
      </c>
      <c r="M101" s="151">
        <v>11627.450194999999</v>
      </c>
      <c r="N101" s="152">
        <v>12160.599609000001</v>
      </c>
      <c r="O101" s="152">
        <v>11614.5</v>
      </c>
      <c r="P101" s="152">
        <v>12098.349609000001</v>
      </c>
      <c r="Q101" s="153">
        <v>3026800</v>
      </c>
      <c r="T101" s="12">
        <v>807.5</v>
      </c>
      <c r="U101" s="12">
        <v>825.95</v>
      </c>
      <c r="V101" s="12">
        <v>789.8</v>
      </c>
      <c r="W101" s="12">
        <v>824.45</v>
      </c>
      <c r="X101" s="12">
        <v>10030000</v>
      </c>
      <c r="AA101" s="12">
        <v>237.9</v>
      </c>
      <c r="AB101" s="12">
        <v>247</v>
      </c>
      <c r="AC101" s="12">
        <v>235.25</v>
      </c>
      <c r="AD101" s="12">
        <v>243.95</v>
      </c>
      <c r="AE101" s="12">
        <v>17540000</v>
      </c>
      <c r="AH101" s="12">
        <v>594.75</v>
      </c>
      <c r="AI101" s="12">
        <v>613</v>
      </c>
      <c r="AJ101" s="12">
        <v>577.5</v>
      </c>
      <c r="AK101" s="12">
        <v>607.70000000000005</v>
      </c>
      <c r="AL101" s="12">
        <v>18290000</v>
      </c>
      <c r="AO101" s="12">
        <v>780.55</v>
      </c>
      <c r="AP101" s="12">
        <v>790.95</v>
      </c>
      <c r="AQ101" s="12">
        <v>764.5</v>
      </c>
      <c r="AR101" s="12">
        <v>777.3</v>
      </c>
      <c r="AS101" s="12">
        <v>30310000</v>
      </c>
      <c r="AV101" s="12">
        <v>2164</v>
      </c>
      <c r="AW101" s="12">
        <v>2194.6999999999998</v>
      </c>
      <c r="AX101" s="12">
        <v>2086.6</v>
      </c>
      <c r="AY101" s="12">
        <v>2136.5500000000002</v>
      </c>
      <c r="AZ101" s="12">
        <v>16410000</v>
      </c>
    </row>
    <row r="102" spans="2:52" ht="15" thickBot="1" x14ac:dyDescent="0.35">
      <c r="B102" s="123">
        <v>43871</v>
      </c>
      <c r="C102" s="164">
        <v>1.2473742621542118E-3</v>
      </c>
      <c r="D102" s="163">
        <f t="shared" si="5"/>
        <v>1.1696744954705261E-2</v>
      </c>
      <c r="E102" s="163">
        <f t="shared" si="6"/>
        <v>-4.3134502537193536E-3</v>
      </c>
      <c r="F102" s="163">
        <f t="shared" si="7"/>
        <v>2.2695894257636923E-2</v>
      </c>
      <c r="G102" s="163">
        <f t="shared" si="8"/>
        <v>1.1702771450477673E-2</v>
      </c>
      <c r="H102" s="165">
        <f t="shared" si="9"/>
        <v>2.2057250191862606E-2</v>
      </c>
      <c r="K102" s="123">
        <v>43871</v>
      </c>
      <c r="M102" s="151">
        <v>12102.349609000001</v>
      </c>
      <c r="N102" s="152">
        <v>12246.700194999999</v>
      </c>
      <c r="O102" s="152">
        <v>11990.75</v>
      </c>
      <c r="P102" s="152">
        <v>12113.450194999999</v>
      </c>
      <c r="Q102" s="153">
        <v>2540400</v>
      </c>
      <c r="T102" s="12">
        <v>825</v>
      </c>
      <c r="U102" s="12">
        <v>838</v>
      </c>
      <c r="V102" s="12">
        <v>811.05</v>
      </c>
      <c r="W102" s="12">
        <v>834.15</v>
      </c>
      <c r="X102" s="12">
        <v>7710000</v>
      </c>
      <c r="AA102" s="12">
        <v>245</v>
      </c>
      <c r="AB102" s="12">
        <v>247.15</v>
      </c>
      <c r="AC102" s="12">
        <v>239.45</v>
      </c>
      <c r="AD102" s="12">
        <v>242.9</v>
      </c>
      <c r="AE102" s="12">
        <v>13430000</v>
      </c>
      <c r="AH102" s="12">
        <v>608.9</v>
      </c>
      <c r="AI102" s="12">
        <v>623.25</v>
      </c>
      <c r="AJ102" s="12">
        <v>601.65</v>
      </c>
      <c r="AK102" s="12">
        <v>621.65</v>
      </c>
      <c r="AL102" s="12">
        <v>15650000</v>
      </c>
      <c r="AO102" s="12">
        <v>776</v>
      </c>
      <c r="AP102" s="12">
        <v>799.2</v>
      </c>
      <c r="AQ102" s="12">
        <v>769.2</v>
      </c>
      <c r="AR102" s="12">
        <v>786.45</v>
      </c>
      <c r="AS102" s="12">
        <v>21620000</v>
      </c>
      <c r="AV102" s="12">
        <v>2136.6999999999998</v>
      </c>
      <c r="AW102" s="12">
        <v>2212</v>
      </c>
      <c r="AX102" s="12">
        <v>2119</v>
      </c>
      <c r="AY102" s="12">
        <v>2184.1999999999998</v>
      </c>
      <c r="AZ102" s="12">
        <v>8810000</v>
      </c>
    </row>
    <row r="103" spans="2:52" ht="15" thickBot="1" x14ac:dyDescent="0.35">
      <c r="B103" s="123">
        <v>43878</v>
      </c>
      <c r="C103" s="164">
        <v>-2.6948997073030058E-3</v>
      </c>
      <c r="D103" s="163">
        <f t="shared" si="5"/>
        <v>-5.4695853863651047E-3</v>
      </c>
      <c r="E103" s="163">
        <f t="shared" si="6"/>
        <v>1.1461443519006598E-2</v>
      </c>
      <c r="F103" s="163">
        <f t="shared" si="7"/>
        <v>-2.2120117971938046E-2</v>
      </c>
      <c r="G103" s="163">
        <f t="shared" si="8"/>
        <v>1.3325531103563571E-2</v>
      </c>
      <c r="H103" s="165">
        <f t="shared" si="9"/>
        <v>-1.2623987045639962E-2</v>
      </c>
      <c r="K103" s="123">
        <v>43878</v>
      </c>
      <c r="M103" s="151">
        <v>12131.799805000001</v>
      </c>
      <c r="N103" s="152">
        <v>12159.599609000001</v>
      </c>
      <c r="O103" s="152">
        <v>11908.049805000001</v>
      </c>
      <c r="P103" s="152">
        <v>12080.849609000001</v>
      </c>
      <c r="Q103" s="153">
        <v>1693100</v>
      </c>
      <c r="T103" s="12">
        <v>834</v>
      </c>
      <c r="U103" s="12">
        <v>845.9</v>
      </c>
      <c r="V103" s="12">
        <v>825.35</v>
      </c>
      <c r="W103" s="12">
        <v>829.6</v>
      </c>
      <c r="X103" s="12">
        <v>4380000</v>
      </c>
      <c r="AA103" s="12">
        <v>243</v>
      </c>
      <c r="AB103" s="12">
        <v>248.85</v>
      </c>
      <c r="AC103" s="12">
        <v>241.2</v>
      </c>
      <c r="AD103" s="12">
        <v>245.7</v>
      </c>
      <c r="AE103" s="12">
        <v>6410000</v>
      </c>
      <c r="AH103" s="12">
        <v>624</v>
      </c>
      <c r="AI103" s="12">
        <v>624</v>
      </c>
      <c r="AJ103" s="12">
        <v>603.25</v>
      </c>
      <c r="AK103" s="12">
        <v>608.04999999999995</v>
      </c>
      <c r="AL103" s="12">
        <v>16590000</v>
      </c>
      <c r="AO103" s="12">
        <v>787</v>
      </c>
      <c r="AP103" s="12">
        <v>806.1</v>
      </c>
      <c r="AQ103" s="12">
        <v>783.3</v>
      </c>
      <c r="AR103" s="12">
        <v>797</v>
      </c>
      <c r="AS103" s="12">
        <v>17290000</v>
      </c>
      <c r="AV103" s="12">
        <v>2199.9</v>
      </c>
      <c r="AW103" s="12">
        <v>2230</v>
      </c>
      <c r="AX103" s="12">
        <v>2151.25</v>
      </c>
      <c r="AY103" s="12">
        <v>2156.8000000000002</v>
      </c>
      <c r="AZ103" s="12">
        <v>8760000</v>
      </c>
    </row>
    <row r="104" spans="2:52" ht="15" thickBot="1" x14ac:dyDescent="0.35">
      <c r="B104" s="123">
        <v>43885</v>
      </c>
      <c r="C104" s="164">
        <v>-7.5551505809070815E-2</v>
      </c>
      <c r="D104" s="163">
        <f t="shared" si="5"/>
        <v>-0.10836513214722196</v>
      </c>
      <c r="E104" s="163">
        <f t="shared" si="6"/>
        <v>-0.10391444915792629</v>
      </c>
      <c r="F104" s="163">
        <f t="shared" si="7"/>
        <v>-0.12920606045610275</v>
      </c>
      <c r="G104" s="163">
        <f t="shared" si="8"/>
        <v>-8.5484084900230739E-2</v>
      </c>
      <c r="H104" s="165">
        <f t="shared" si="9"/>
        <v>-7.5403463988264946E-2</v>
      </c>
      <c r="K104" s="123">
        <v>43885</v>
      </c>
      <c r="M104" s="151">
        <v>12012.549805000001</v>
      </c>
      <c r="N104" s="152">
        <v>12012.549805000001</v>
      </c>
      <c r="O104" s="152">
        <v>11175.049805000001</v>
      </c>
      <c r="P104" s="152">
        <v>11201.75</v>
      </c>
      <c r="Q104" s="153">
        <v>2937900</v>
      </c>
      <c r="T104" s="12">
        <v>835</v>
      </c>
      <c r="U104" s="12">
        <v>843.9</v>
      </c>
      <c r="V104" s="12">
        <v>732.05</v>
      </c>
      <c r="W104" s="12">
        <v>744.4</v>
      </c>
      <c r="X104" s="12">
        <v>15750000</v>
      </c>
      <c r="AA104" s="12">
        <v>245</v>
      </c>
      <c r="AB104" s="12">
        <v>247.8</v>
      </c>
      <c r="AC104" s="12">
        <v>219.65</v>
      </c>
      <c r="AD104" s="12">
        <v>221.45</v>
      </c>
      <c r="AE104" s="12">
        <v>21170000</v>
      </c>
      <c r="AH104" s="12">
        <v>609</v>
      </c>
      <c r="AI104" s="12">
        <v>609.20000000000005</v>
      </c>
      <c r="AJ104" s="12">
        <v>531.20000000000005</v>
      </c>
      <c r="AK104" s="12">
        <v>534.35</v>
      </c>
      <c r="AL104" s="12">
        <v>28430000</v>
      </c>
      <c r="AO104" s="12">
        <v>798</v>
      </c>
      <c r="AP104" s="12">
        <v>811.6</v>
      </c>
      <c r="AQ104" s="12">
        <v>722.05</v>
      </c>
      <c r="AR104" s="12">
        <v>731.7</v>
      </c>
      <c r="AS104" s="12">
        <v>43500000</v>
      </c>
      <c r="AV104" s="12">
        <v>2157</v>
      </c>
      <c r="AW104" s="12">
        <v>2178.9499999999998</v>
      </c>
      <c r="AX104" s="12">
        <v>1990</v>
      </c>
      <c r="AY104" s="12">
        <v>2000.15</v>
      </c>
      <c r="AZ104" s="12">
        <v>15500000</v>
      </c>
    </row>
    <row r="105" spans="2:52" ht="15" thickBot="1" x14ac:dyDescent="0.35">
      <c r="B105" s="123">
        <v>43892</v>
      </c>
      <c r="C105" s="164">
        <v>-1.913427668369113E-2</v>
      </c>
      <c r="D105" s="163">
        <f t="shared" si="5"/>
        <v>-5.3879440687532639E-3</v>
      </c>
      <c r="E105" s="163">
        <f t="shared" si="6"/>
        <v>9.4382723107824685E-3</v>
      </c>
      <c r="F105" s="163">
        <f t="shared" si="7"/>
        <v>5.7896317706893623E-2</v>
      </c>
      <c r="G105" s="163">
        <f t="shared" si="8"/>
        <v>9.8596657705973447E-3</v>
      </c>
      <c r="H105" s="165">
        <f t="shared" si="9"/>
        <v>5.6517979044812171E-2</v>
      </c>
      <c r="K105" s="123">
        <v>43892</v>
      </c>
      <c r="M105" s="151">
        <v>11387.349609000001</v>
      </c>
      <c r="N105" s="152">
        <v>11433</v>
      </c>
      <c r="O105" s="152">
        <v>10827.400390999999</v>
      </c>
      <c r="P105" s="152">
        <v>10989.450194999999</v>
      </c>
      <c r="Q105" s="153">
        <v>5338500</v>
      </c>
      <c r="T105" s="12">
        <v>744.5</v>
      </c>
      <c r="U105" s="12">
        <v>784</v>
      </c>
      <c r="V105" s="12">
        <v>731.4</v>
      </c>
      <c r="W105" s="12">
        <v>740.4</v>
      </c>
      <c r="X105" s="12">
        <v>13400000</v>
      </c>
      <c r="AA105" s="12">
        <v>225</v>
      </c>
      <c r="AB105" s="12">
        <v>233.9</v>
      </c>
      <c r="AC105" s="12">
        <v>218.4</v>
      </c>
      <c r="AD105" s="12">
        <v>223.55</v>
      </c>
      <c r="AE105" s="12">
        <v>22420000</v>
      </c>
      <c r="AH105" s="12">
        <v>549.79999999999995</v>
      </c>
      <c r="AI105" s="12">
        <v>582.20000000000005</v>
      </c>
      <c r="AJ105" s="12">
        <v>537.85</v>
      </c>
      <c r="AK105" s="12">
        <v>566.20000000000005</v>
      </c>
      <c r="AL105" s="12">
        <v>28260000</v>
      </c>
      <c r="AO105" s="12">
        <v>733</v>
      </c>
      <c r="AP105" s="12">
        <v>773.55</v>
      </c>
      <c r="AQ105" s="12">
        <v>729.1</v>
      </c>
      <c r="AR105" s="12">
        <v>738.95</v>
      </c>
      <c r="AS105" s="12">
        <v>50460000</v>
      </c>
      <c r="AV105" s="12">
        <v>2025.1</v>
      </c>
      <c r="AW105" s="12">
        <v>2147.75</v>
      </c>
      <c r="AX105" s="12">
        <v>1985.7</v>
      </c>
      <c r="AY105" s="12">
        <v>2116.4499999999998</v>
      </c>
      <c r="AZ105" s="12">
        <v>15580000</v>
      </c>
    </row>
    <row r="106" spans="2:52" ht="15" thickBot="1" x14ac:dyDescent="0.35">
      <c r="B106" s="123">
        <v>43899</v>
      </c>
      <c r="C106" s="164">
        <v>-9.884069210266426E-2</v>
      </c>
      <c r="D106" s="163">
        <f t="shared" si="5"/>
        <v>-0.12110601417230307</v>
      </c>
      <c r="E106" s="163">
        <f t="shared" si="6"/>
        <v>-0.12440297568060839</v>
      </c>
      <c r="F106" s="163">
        <f t="shared" si="7"/>
        <v>-0.13864105896646728</v>
      </c>
      <c r="G106" s="163">
        <f t="shared" si="8"/>
        <v>-0.14009693318296304</v>
      </c>
      <c r="H106" s="165">
        <f t="shared" si="9"/>
        <v>-0.15845960263602329</v>
      </c>
      <c r="K106" s="123">
        <v>43899</v>
      </c>
      <c r="M106" s="151">
        <v>10742.049805000001</v>
      </c>
      <c r="N106" s="152">
        <v>10751.549805000001</v>
      </c>
      <c r="O106" s="152">
        <v>8555.1503909999992</v>
      </c>
      <c r="P106" s="152">
        <v>9955.2001949999994</v>
      </c>
      <c r="Q106" s="153">
        <v>5515500</v>
      </c>
      <c r="T106" s="12">
        <v>741</v>
      </c>
      <c r="U106" s="12">
        <v>741</v>
      </c>
      <c r="V106" s="12">
        <v>525.9</v>
      </c>
      <c r="W106" s="12">
        <v>655.95</v>
      </c>
      <c r="X106" s="12">
        <v>16790000</v>
      </c>
      <c r="AA106" s="12">
        <v>222.45</v>
      </c>
      <c r="AB106" s="12">
        <v>222.45</v>
      </c>
      <c r="AC106" s="12">
        <v>169.25</v>
      </c>
      <c r="AD106" s="12">
        <v>197.4</v>
      </c>
      <c r="AE106" s="12">
        <v>27860000</v>
      </c>
      <c r="AH106" s="12">
        <v>569.04999999999995</v>
      </c>
      <c r="AI106" s="12">
        <v>569.04999999999995</v>
      </c>
      <c r="AJ106" s="12">
        <v>395.95</v>
      </c>
      <c r="AK106" s="12">
        <v>492.9</v>
      </c>
      <c r="AL106" s="12">
        <v>21350000</v>
      </c>
      <c r="AO106" s="12">
        <v>725</v>
      </c>
      <c r="AP106" s="12">
        <v>725.85</v>
      </c>
      <c r="AQ106" s="12">
        <v>568.79999999999995</v>
      </c>
      <c r="AR106" s="12">
        <v>642.35</v>
      </c>
      <c r="AS106" s="12">
        <v>60850000</v>
      </c>
      <c r="AV106" s="12">
        <v>2080</v>
      </c>
      <c r="AW106" s="12">
        <v>2080.0500000000002</v>
      </c>
      <c r="AX106" s="12">
        <v>1504.4</v>
      </c>
      <c r="AY106" s="12">
        <v>1806.3</v>
      </c>
      <c r="AZ106" s="12">
        <v>30040000</v>
      </c>
    </row>
    <row r="107" spans="2:52" ht="15" thickBot="1" x14ac:dyDescent="0.35">
      <c r="B107" s="123">
        <v>43906</v>
      </c>
      <c r="C107" s="164">
        <v>-0.12956145988898976</v>
      </c>
      <c r="D107" s="163">
        <f t="shared" si="5"/>
        <v>-0.12936945148001777</v>
      </c>
      <c r="E107" s="163">
        <f t="shared" si="6"/>
        <v>-9.6729626458551266E-2</v>
      </c>
      <c r="F107" s="163">
        <f t="shared" si="7"/>
        <v>-0.10245677589933594</v>
      </c>
      <c r="G107" s="163">
        <f t="shared" si="8"/>
        <v>-9.3179657331649415E-2</v>
      </c>
      <c r="H107" s="165">
        <f t="shared" si="9"/>
        <v>-4.9115603418764565E-3</v>
      </c>
      <c r="K107" s="123">
        <v>43906</v>
      </c>
      <c r="M107" s="151">
        <v>9587.7998050000006</v>
      </c>
      <c r="N107" s="152">
        <v>9602.2001949999994</v>
      </c>
      <c r="O107" s="152">
        <v>7832.5498049999997</v>
      </c>
      <c r="P107" s="152">
        <v>8745.4501949999994</v>
      </c>
      <c r="Q107" s="153">
        <v>5347100</v>
      </c>
      <c r="T107" s="12">
        <v>648.9</v>
      </c>
      <c r="U107" s="12">
        <v>648.9</v>
      </c>
      <c r="V107" s="12">
        <v>523</v>
      </c>
      <c r="W107" s="12">
        <v>576.35</v>
      </c>
      <c r="X107" s="12">
        <v>25190000</v>
      </c>
      <c r="AA107" s="12">
        <v>197.95</v>
      </c>
      <c r="AB107" s="12">
        <v>197.95</v>
      </c>
      <c r="AC107" s="12">
        <v>159.4</v>
      </c>
      <c r="AD107" s="12">
        <v>179.2</v>
      </c>
      <c r="AE107" s="12">
        <v>35970000</v>
      </c>
      <c r="AH107" s="12">
        <v>492.9</v>
      </c>
      <c r="AI107" s="12">
        <v>492.9</v>
      </c>
      <c r="AJ107" s="12">
        <v>375.25</v>
      </c>
      <c r="AK107" s="12">
        <v>444.9</v>
      </c>
      <c r="AL107" s="12">
        <v>37690000</v>
      </c>
      <c r="AO107" s="12">
        <v>640</v>
      </c>
      <c r="AP107" s="12">
        <v>640</v>
      </c>
      <c r="AQ107" s="12">
        <v>509.25</v>
      </c>
      <c r="AR107" s="12">
        <v>585.20000000000005</v>
      </c>
      <c r="AS107" s="12">
        <v>95040000</v>
      </c>
      <c r="AV107" s="12">
        <v>1769</v>
      </c>
      <c r="AW107" s="12">
        <v>1869</v>
      </c>
      <c r="AX107" s="12">
        <v>1546.75</v>
      </c>
      <c r="AY107" s="12">
        <v>1797.45</v>
      </c>
      <c r="AZ107" s="12">
        <v>35740000</v>
      </c>
    </row>
    <row r="108" spans="2:52" ht="15" thickBot="1" x14ac:dyDescent="0.35">
      <c r="B108" s="123">
        <v>43913</v>
      </c>
      <c r="C108" s="164">
        <v>-9.7899969020062289E-3</v>
      </c>
      <c r="D108" s="163">
        <f t="shared" si="5"/>
        <v>-0.13394045395843643</v>
      </c>
      <c r="E108" s="163">
        <f t="shared" si="6"/>
        <v>2.3712166953794959E-2</v>
      </c>
      <c r="F108" s="163">
        <f t="shared" si="7"/>
        <v>-3.255384257681343E-2</v>
      </c>
      <c r="G108" s="163">
        <f t="shared" si="8"/>
        <v>0.10916393649520253</v>
      </c>
      <c r="H108" s="165">
        <f t="shared" si="9"/>
        <v>1.4936983079866952E-2</v>
      </c>
      <c r="K108" s="123">
        <v>43913</v>
      </c>
      <c r="M108" s="151">
        <v>7945.7001950000003</v>
      </c>
      <c r="N108" s="152">
        <v>9038.9003909999992</v>
      </c>
      <c r="O108" s="152">
        <v>7511.1000979999999</v>
      </c>
      <c r="P108" s="152">
        <v>8660.25</v>
      </c>
      <c r="Q108" s="153">
        <v>3795900</v>
      </c>
      <c r="T108" s="12">
        <v>540</v>
      </c>
      <c r="U108" s="12">
        <v>564.9</v>
      </c>
      <c r="V108" s="12">
        <v>470.25</v>
      </c>
      <c r="W108" s="12">
        <v>504.1</v>
      </c>
      <c r="X108" s="12">
        <v>21790000</v>
      </c>
      <c r="AA108" s="12">
        <v>165</v>
      </c>
      <c r="AB108" s="12">
        <v>189.5</v>
      </c>
      <c r="AC108" s="12">
        <v>165</v>
      </c>
      <c r="AD108" s="12">
        <v>183.5</v>
      </c>
      <c r="AE108" s="12">
        <v>31250000</v>
      </c>
      <c r="AH108" s="12">
        <v>415</v>
      </c>
      <c r="AI108" s="12">
        <v>471.5</v>
      </c>
      <c r="AJ108" s="12">
        <v>399.7</v>
      </c>
      <c r="AK108" s="12">
        <v>430.65</v>
      </c>
      <c r="AL108" s="12">
        <v>51180000</v>
      </c>
      <c r="AO108" s="12">
        <v>540</v>
      </c>
      <c r="AP108" s="12">
        <v>675</v>
      </c>
      <c r="AQ108" s="12">
        <v>514.79999999999995</v>
      </c>
      <c r="AR108" s="12">
        <v>652.70000000000005</v>
      </c>
      <c r="AS108" s="12">
        <v>87030000</v>
      </c>
      <c r="AV108" s="12">
        <v>1620</v>
      </c>
      <c r="AW108" s="12">
        <v>1880.9</v>
      </c>
      <c r="AX108" s="12">
        <v>1617.75</v>
      </c>
      <c r="AY108" s="12">
        <v>1824.5</v>
      </c>
      <c r="AZ108" s="12">
        <v>25790000</v>
      </c>
    </row>
    <row r="109" spans="2:52" ht="15" thickBot="1" x14ac:dyDescent="0.35">
      <c r="B109" s="123">
        <v>43920</v>
      </c>
      <c r="C109" s="164">
        <v>-6.8881555632536867E-2</v>
      </c>
      <c r="D109" s="163">
        <f t="shared" si="5"/>
        <v>3.278342366256061E-2</v>
      </c>
      <c r="E109" s="163">
        <f t="shared" si="6"/>
        <v>-1.9257816604414533E-2</v>
      </c>
      <c r="F109" s="163">
        <f t="shared" si="7"/>
        <v>-5.9435267843468177E-2</v>
      </c>
      <c r="G109" s="163">
        <f t="shared" si="8"/>
        <v>-0.10830989254543509</v>
      </c>
      <c r="H109" s="165">
        <f t="shared" si="9"/>
        <v>-9.7988468618696284E-2</v>
      </c>
      <c r="K109" s="123">
        <v>43920</v>
      </c>
      <c r="M109" s="151">
        <v>8385.9501949999994</v>
      </c>
      <c r="N109" s="152">
        <v>8678.2998050000006</v>
      </c>
      <c r="O109" s="152">
        <v>8055.7998049999997</v>
      </c>
      <c r="P109" s="152">
        <v>8083.7998049999997</v>
      </c>
      <c r="Q109" s="153">
        <v>2509300</v>
      </c>
      <c r="T109" s="12">
        <v>500</v>
      </c>
      <c r="U109" s="12">
        <v>575.25</v>
      </c>
      <c r="V109" s="12">
        <v>485.65</v>
      </c>
      <c r="W109" s="12">
        <v>520.9</v>
      </c>
      <c r="X109" s="12">
        <v>18360000</v>
      </c>
      <c r="AA109" s="12">
        <v>180</v>
      </c>
      <c r="AB109" s="12">
        <v>199.8</v>
      </c>
      <c r="AC109" s="12">
        <v>177.75</v>
      </c>
      <c r="AD109" s="12">
        <v>180</v>
      </c>
      <c r="AE109" s="12">
        <v>21330000</v>
      </c>
      <c r="AH109" s="12">
        <v>429</v>
      </c>
      <c r="AI109" s="12">
        <v>449.4</v>
      </c>
      <c r="AJ109" s="12">
        <v>399.3</v>
      </c>
      <c r="AK109" s="12">
        <v>405.8</v>
      </c>
      <c r="AL109" s="12">
        <v>30990000</v>
      </c>
      <c r="AO109" s="12">
        <v>634</v>
      </c>
      <c r="AP109" s="12">
        <v>664</v>
      </c>
      <c r="AQ109" s="12">
        <v>582.15</v>
      </c>
      <c r="AR109" s="12">
        <v>585.70000000000005</v>
      </c>
      <c r="AS109" s="12">
        <v>57090000</v>
      </c>
      <c r="AV109" s="12">
        <v>1769</v>
      </c>
      <c r="AW109" s="12">
        <v>1907</v>
      </c>
      <c r="AX109" s="12">
        <v>1650</v>
      </c>
      <c r="AY109" s="12">
        <v>1654.2</v>
      </c>
      <c r="AZ109" s="12">
        <v>24960000</v>
      </c>
    </row>
    <row r="110" spans="2:52" ht="15" thickBot="1" x14ac:dyDescent="0.35">
      <c r="B110" s="123">
        <v>43927</v>
      </c>
      <c r="C110" s="164">
        <v>0.1197192595711076</v>
      </c>
      <c r="D110" s="163">
        <f t="shared" si="5"/>
        <v>4.5686320330592591E-2</v>
      </c>
      <c r="E110" s="163">
        <f t="shared" si="6"/>
        <v>8.8722874504802873E-2</v>
      </c>
      <c r="F110" s="163">
        <f t="shared" si="7"/>
        <v>0.14484894518024558</v>
      </c>
      <c r="G110" s="163">
        <f t="shared" si="8"/>
        <v>8.2783854768995774E-2</v>
      </c>
      <c r="H110" s="165">
        <f t="shared" si="9"/>
        <v>6.5484528011440321E-2</v>
      </c>
      <c r="K110" s="123">
        <v>43927</v>
      </c>
      <c r="M110" s="151">
        <v>8446.2998050000006</v>
      </c>
      <c r="N110" s="152">
        <v>9131.7001949999994</v>
      </c>
      <c r="O110" s="152">
        <v>8360.9501949999994</v>
      </c>
      <c r="P110" s="152">
        <v>9111.9003909999992</v>
      </c>
      <c r="Q110" s="153">
        <v>2452800</v>
      </c>
      <c r="T110" s="12">
        <v>535</v>
      </c>
      <c r="U110" s="12">
        <v>582.70000000000005</v>
      </c>
      <c r="V110" s="12">
        <v>535</v>
      </c>
      <c r="W110" s="12">
        <v>545.25</v>
      </c>
      <c r="X110" s="12">
        <v>13900000</v>
      </c>
      <c r="AA110" s="12">
        <v>184.1</v>
      </c>
      <c r="AB110" s="12">
        <v>202.95</v>
      </c>
      <c r="AC110" s="12">
        <v>183.05</v>
      </c>
      <c r="AD110" s="12">
        <v>196.7</v>
      </c>
      <c r="AE110" s="12">
        <v>13980000</v>
      </c>
      <c r="AH110" s="12">
        <v>428</v>
      </c>
      <c r="AI110" s="12">
        <v>481</v>
      </c>
      <c r="AJ110" s="12">
        <v>425</v>
      </c>
      <c r="AK110" s="12">
        <v>469.05</v>
      </c>
      <c r="AL110" s="12">
        <v>19580000</v>
      </c>
      <c r="AO110" s="12">
        <v>611.9</v>
      </c>
      <c r="AP110" s="12">
        <v>655.65</v>
      </c>
      <c r="AQ110" s="12">
        <v>611.9</v>
      </c>
      <c r="AR110" s="12">
        <v>636.25</v>
      </c>
      <c r="AS110" s="12">
        <v>40440000</v>
      </c>
      <c r="AV110" s="12">
        <v>1703.3</v>
      </c>
      <c r="AW110" s="12">
        <v>1806</v>
      </c>
      <c r="AX110" s="12">
        <v>1701</v>
      </c>
      <c r="AY110" s="12">
        <v>1766.15</v>
      </c>
      <c r="AZ110" s="12">
        <v>17480000</v>
      </c>
    </row>
    <row r="111" spans="2:52" ht="15" thickBot="1" x14ac:dyDescent="0.35">
      <c r="B111" s="123">
        <v>43934</v>
      </c>
      <c r="C111" s="164">
        <v>1.6851430337293364E-2</v>
      </c>
      <c r="D111" s="163">
        <f t="shared" si="5"/>
        <v>-6.7127840271503744E-2</v>
      </c>
      <c r="E111" s="163">
        <f t="shared" si="6"/>
        <v>-5.0571108540426762E-2</v>
      </c>
      <c r="F111" s="163">
        <f t="shared" si="7"/>
        <v>-2.9862653964242647E-2</v>
      </c>
      <c r="G111" s="163">
        <f t="shared" si="8"/>
        <v>-1.1857846450783503E-2</v>
      </c>
      <c r="H111" s="165">
        <f t="shared" si="9"/>
        <v>2.2423154547451897E-2</v>
      </c>
      <c r="K111" s="123">
        <v>43934</v>
      </c>
      <c r="M111" s="151">
        <v>9103.9501949999994</v>
      </c>
      <c r="N111" s="152">
        <v>9324</v>
      </c>
      <c r="O111" s="152">
        <v>8821.9003909999992</v>
      </c>
      <c r="P111" s="152">
        <v>9266.75</v>
      </c>
      <c r="Q111" s="153">
        <v>2926700</v>
      </c>
      <c r="T111" s="12">
        <v>555</v>
      </c>
      <c r="U111" s="12">
        <v>555</v>
      </c>
      <c r="V111" s="12">
        <v>500</v>
      </c>
      <c r="W111" s="12">
        <v>509.85</v>
      </c>
      <c r="X111" s="12">
        <v>30380000</v>
      </c>
      <c r="AA111" s="12">
        <v>198</v>
      </c>
      <c r="AB111" s="12">
        <v>198.6</v>
      </c>
      <c r="AC111" s="12">
        <v>175.3</v>
      </c>
      <c r="AD111" s="12">
        <v>187</v>
      </c>
      <c r="AE111" s="12">
        <v>48200000</v>
      </c>
      <c r="AH111" s="12">
        <v>471.95</v>
      </c>
      <c r="AI111" s="12">
        <v>482</v>
      </c>
      <c r="AJ111" s="12">
        <v>453.65</v>
      </c>
      <c r="AK111" s="12">
        <v>455.25</v>
      </c>
      <c r="AL111" s="12">
        <v>24350000</v>
      </c>
      <c r="AO111" s="12">
        <v>630</v>
      </c>
      <c r="AP111" s="12">
        <v>653.29999999999995</v>
      </c>
      <c r="AQ111" s="12">
        <v>603.5</v>
      </c>
      <c r="AR111" s="12">
        <v>628.75</v>
      </c>
      <c r="AS111" s="12">
        <v>48650000</v>
      </c>
      <c r="AV111" s="12">
        <v>1769.8</v>
      </c>
      <c r="AW111" s="12">
        <v>1851.95</v>
      </c>
      <c r="AX111" s="12">
        <v>1675.05</v>
      </c>
      <c r="AY111" s="12">
        <v>1806.2</v>
      </c>
      <c r="AZ111" s="12">
        <v>24670000</v>
      </c>
    </row>
    <row r="112" spans="2:52" ht="15" thickBot="1" x14ac:dyDescent="0.35">
      <c r="B112" s="123">
        <v>43941</v>
      </c>
      <c r="C112" s="164">
        <v>-1.219804406073364E-2</v>
      </c>
      <c r="D112" s="163">
        <f t="shared" si="5"/>
        <v>-1.2632162448610916E-2</v>
      </c>
      <c r="E112" s="163">
        <f t="shared" si="6"/>
        <v>-5.0730548171236338E-2</v>
      </c>
      <c r="F112" s="163">
        <f t="shared" si="7"/>
        <v>2.7835229698307679E-2</v>
      </c>
      <c r="G112" s="163">
        <f t="shared" si="8"/>
        <v>4.547120991136832E-2</v>
      </c>
      <c r="H112" s="165">
        <f t="shared" si="9"/>
        <v>6.8142894207014601E-3</v>
      </c>
      <c r="K112" s="123">
        <v>43941</v>
      </c>
      <c r="M112" s="151">
        <v>9390.2001949999994</v>
      </c>
      <c r="N112" s="152">
        <v>9390.8496090000008</v>
      </c>
      <c r="O112" s="152">
        <v>8909.4003909999992</v>
      </c>
      <c r="P112" s="152">
        <v>9154.4003909999992</v>
      </c>
      <c r="Q112" s="153">
        <v>3442000</v>
      </c>
      <c r="T112" s="12">
        <v>519.79999999999995</v>
      </c>
      <c r="U112" s="12">
        <v>532.79999999999995</v>
      </c>
      <c r="V112" s="12">
        <v>502</v>
      </c>
      <c r="W112" s="12">
        <v>503.45</v>
      </c>
      <c r="X112" s="12">
        <v>21220000</v>
      </c>
      <c r="AA112" s="12">
        <v>188</v>
      </c>
      <c r="AB112" s="12">
        <v>189</v>
      </c>
      <c r="AC112" s="12">
        <v>173.8</v>
      </c>
      <c r="AD112" s="12">
        <v>177.75</v>
      </c>
      <c r="AE112" s="12">
        <v>33940000</v>
      </c>
      <c r="AH112" s="12">
        <v>472</v>
      </c>
      <c r="AI112" s="12">
        <v>497.05</v>
      </c>
      <c r="AJ112" s="12">
        <v>447.85</v>
      </c>
      <c r="AK112" s="12">
        <v>468.1</v>
      </c>
      <c r="AL112" s="12">
        <v>22510000</v>
      </c>
      <c r="AO112" s="12">
        <v>640</v>
      </c>
      <c r="AP112" s="12">
        <v>683.65</v>
      </c>
      <c r="AQ112" s="12">
        <v>627.70000000000005</v>
      </c>
      <c r="AR112" s="12">
        <v>658</v>
      </c>
      <c r="AS112" s="12">
        <v>57710000</v>
      </c>
      <c r="AV112" s="12">
        <v>1827</v>
      </c>
      <c r="AW112" s="12">
        <v>1900</v>
      </c>
      <c r="AX112" s="12">
        <v>1719.15</v>
      </c>
      <c r="AY112" s="12">
        <v>1818.55</v>
      </c>
      <c r="AZ112" s="12">
        <v>22020000</v>
      </c>
    </row>
    <row r="113" spans="2:52" ht="15" thickBot="1" x14ac:dyDescent="0.35">
      <c r="B113" s="123">
        <v>43948</v>
      </c>
      <c r="C113" s="164">
        <v>7.4241385497789497E-2</v>
      </c>
      <c r="D113" s="163">
        <f t="shared" si="5"/>
        <v>8.1592344048176113E-2</v>
      </c>
      <c r="E113" s="163">
        <f t="shared" si="6"/>
        <v>7.163354498817498E-2</v>
      </c>
      <c r="F113" s="163">
        <f t="shared" si="7"/>
        <v>0.14943975034398438</v>
      </c>
      <c r="G113" s="163">
        <f t="shared" si="8"/>
        <v>8.3776667671188368E-2</v>
      </c>
      <c r="H113" s="165">
        <f t="shared" si="9"/>
        <v>0.10230672503137528</v>
      </c>
      <c r="K113" s="123">
        <v>43948</v>
      </c>
      <c r="M113" s="151">
        <v>9259.7001949999994</v>
      </c>
      <c r="N113" s="152">
        <v>9889.0498050000006</v>
      </c>
      <c r="O113" s="152">
        <v>9250.3496090000008</v>
      </c>
      <c r="P113" s="152">
        <v>9859.9003909999992</v>
      </c>
      <c r="Q113" s="153">
        <v>2711500</v>
      </c>
      <c r="T113" s="12">
        <v>510</v>
      </c>
      <c r="U113" s="12">
        <v>552.9</v>
      </c>
      <c r="V113" s="12">
        <v>506.4</v>
      </c>
      <c r="W113" s="12">
        <v>546.25</v>
      </c>
      <c r="X113" s="12">
        <v>24830000</v>
      </c>
      <c r="AA113" s="12">
        <v>179.5</v>
      </c>
      <c r="AB113" s="12">
        <v>192.6</v>
      </c>
      <c r="AC113" s="12">
        <v>175.5</v>
      </c>
      <c r="AD113" s="12">
        <v>190.95</v>
      </c>
      <c r="AE113" s="12">
        <v>30380000</v>
      </c>
      <c r="AH113" s="12">
        <v>469.05</v>
      </c>
      <c r="AI113" s="12">
        <v>565.5</v>
      </c>
      <c r="AJ113" s="12">
        <v>467.25</v>
      </c>
      <c r="AK113" s="12">
        <v>543.54999999999995</v>
      </c>
      <c r="AL113" s="12">
        <v>19950000</v>
      </c>
      <c r="AO113" s="12">
        <v>660</v>
      </c>
      <c r="AP113" s="12">
        <v>720</v>
      </c>
      <c r="AQ113" s="12">
        <v>653.04999999999995</v>
      </c>
      <c r="AR113" s="12">
        <v>715.5</v>
      </c>
      <c r="AS113" s="12">
        <v>40340000</v>
      </c>
      <c r="AV113" s="12">
        <v>1830.1</v>
      </c>
      <c r="AW113" s="12">
        <v>2032</v>
      </c>
      <c r="AX113" s="12">
        <v>1825</v>
      </c>
      <c r="AY113" s="12">
        <v>2014.45</v>
      </c>
      <c r="AZ113" s="12">
        <v>16630000</v>
      </c>
    </row>
    <row r="114" spans="2:52" ht="15" thickBot="1" x14ac:dyDescent="0.35">
      <c r="B114" s="123">
        <v>43955</v>
      </c>
      <c r="C114" s="164">
        <v>-6.3690365691224035E-2</v>
      </c>
      <c r="D114" s="163">
        <f t="shared" si="5"/>
        <v>-1.8569520607940929E-2</v>
      </c>
      <c r="E114" s="163">
        <f t="shared" si="6"/>
        <v>-3.7075856062539485E-2</v>
      </c>
      <c r="F114" s="163">
        <f t="shared" si="7"/>
        <v>-4.737455361194437E-2</v>
      </c>
      <c r="G114" s="163">
        <f t="shared" si="8"/>
        <v>-5.9454796196545132E-2</v>
      </c>
      <c r="H114" s="165">
        <f t="shared" si="9"/>
        <v>-6.1972050573984284E-2</v>
      </c>
      <c r="K114" s="123">
        <v>43955</v>
      </c>
      <c r="M114" s="151">
        <v>9533.5</v>
      </c>
      <c r="N114" s="152">
        <v>9533.5</v>
      </c>
      <c r="O114" s="152">
        <v>9116.5</v>
      </c>
      <c r="P114" s="152">
        <v>9251.5</v>
      </c>
      <c r="Q114" s="153">
        <v>3452700</v>
      </c>
      <c r="T114" s="12">
        <v>516.79999999999995</v>
      </c>
      <c r="U114" s="12">
        <v>538.6</v>
      </c>
      <c r="V114" s="12">
        <v>490</v>
      </c>
      <c r="W114" s="12">
        <v>536.20000000000005</v>
      </c>
      <c r="X114" s="12">
        <v>38000000</v>
      </c>
      <c r="AA114" s="12">
        <v>185</v>
      </c>
      <c r="AB114" s="12">
        <v>194</v>
      </c>
      <c r="AC114" s="12">
        <v>181</v>
      </c>
      <c r="AD114" s="12">
        <v>184</v>
      </c>
      <c r="AE114" s="12">
        <v>31620000</v>
      </c>
      <c r="AH114" s="12">
        <v>536</v>
      </c>
      <c r="AI114" s="12">
        <v>542.4</v>
      </c>
      <c r="AJ114" s="12">
        <v>502.4</v>
      </c>
      <c r="AK114" s="12">
        <v>518.4</v>
      </c>
      <c r="AL114" s="12">
        <v>50010000</v>
      </c>
      <c r="AO114" s="12">
        <v>694.55</v>
      </c>
      <c r="AP114" s="12">
        <v>701.2</v>
      </c>
      <c r="AQ114" s="12">
        <v>662.45</v>
      </c>
      <c r="AR114" s="12">
        <v>674.2</v>
      </c>
      <c r="AS114" s="12">
        <v>37370000</v>
      </c>
      <c r="AV114" s="12">
        <v>1960</v>
      </c>
      <c r="AW114" s="12">
        <v>1977</v>
      </c>
      <c r="AX114" s="12">
        <v>1883.35</v>
      </c>
      <c r="AY114" s="12">
        <v>1893.4</v>
      </c>
      <c r="AZ114" s="12">
        <v>16430000</v>
      </c>
    </row>
    <row r="115" spans="2:52" ht="15" thickBot="1" x14ac:dyDescent="0.35">
      <c r="B115" s="123">
        <v>43962</v>
      </c>
      <c r="C115" s="164">
        <v>-1.2470056218640878E-2</v>
      </c>
      <c r="D115" s="163">
        <f t="shared" si="5"/>
        <v>-4.901864980031205E-2</v>
      </c>
      <c r="E115" s="163">
        <f t="shared" si="6"/>
        <v>-1.0875476873988823E-3</v>
      </c>
      <c r="F115" s="163">
        <f t="shared" si="7"/>
        <v>-1.3888437681053422E-2</v>
      </c>
      <c r="G115" s="163">
        <f t="shared" si="8"/>
        <v>-3.3022223997910195E-2</v>
      </c>
      <c r="H115" s="165">
        <f t="shared" si="9"/>
        <v>-2.6411008261698521E-4</v>
      </c>
      <c r="K115" s="123">
        <v>43962</v>
      </c>
      <c r="M115" s="151">
        <v>9348.1503909999992</v>
      </c>
      <c r="N115" s="152">
        <v>9584.5</v>
      </c>
      <c r="O115" s="152">
        <v>9043.9501949999994</v>
      </c>
      <c r="P115" s="152">
        <v>9136.8496090000008</v>
      </c>
      <c r="Q115" s="153">
        <v>3535000</v>
      </c>
      <c r="T115" s="12">
        <v>541.5</v>
      </c>
      <c r="U115" s="12">
        <v>549.75</v>
      </c>
      <c r="V115" s="12">
        <v>507.4</v>
      </c>
      <c r="W115" s="12">
        <v>510.55</v>
      </c>
      <c r="X115" s="12">
        <v>23590000</v>
      </c>
      <c r="AA115" s="12">
        <v>185</v>
      </c>
      <c r="AB115" s="12">
        <v>192</v>
      </c>
      <c r="AC115" s="12">
        <v>182.6</v>
      </c>
      <c r="AD115" s="12">
        <v>183.8</v>
      </c>
      <c r="AE115" s="12">
        <v>22280000</v>
      </c>
      <c r="AH115" s="12">
        <v>526</v>
      </c>
      <c r="AI115" s="12">
        <v>563.79999999999995</v>
      </c>
      <c r="AJ115" s="12">
        <v>505.25</v>
      </c>
      <c r="AK115" s="12">
        <v>511.25</v>
      </c>
      <c r="AL115" s="12">
        <v>23680000</v>
      </c>
      <c r="AO115" s="12">
        <v>682.5</v>
      </c>
      <c r="AP115" s="12">
        <v>700</v>
      </c>
      <c r="AQ115" s="12">
        <v>646.70000000000005</v>
      </c>
      <c r="AR115" s="12">
        <v>652.29999999999995</v>
      </c>
      <c r="AS115" s="12">
        <v>50440000</v>
      </c>
      <c r="AV115" s="12">
        <v>1930</v>
      </c>
      <c r="AW115" s="12">
        <v>1999</v>
      </c>
      <c r="AX115" s="12">
        <v>1865.2</v>
      </c>
      <c r="AY115" s="12">
        <v>1892.9</v>
      </c>
      <c r="AZ115" s="12">
        <v>14310000</v>
      </c>
    </row>
    <row r="116" spans="2:52" ht="15" thickBot="1" x14ac:dyDescent="0.35">
      <c r="B116" s="123">
        <v>43969</v>
      </c>
      <c r="C116" s="164">
        <v>-1.0739437960430606E-2</v>
      </c>
      <c r="D116" s="163">
        <f t="shared" si="5"/>
        <v>3.6727835040958168E-2</v>
      </c>
      <c r="E116" s="163">
        <f t="shared" si="6"/>
        <v>2.7898805138055718E-2</v>
      </c>
      <c r="F116" s="163">
        <f t="shared" si="7"/>
        <v>3.6772731514641138E-2</v>
      </c>
      <c r="G116" s="163">
        <f t="shared" si="8"/>
        <v>5.9587029298672718E-2</v>
      </c>
      <c r="H116" s="165">
        <f t="shared" si="9"/>
        <v>6.5160719100759615E-2</v>
      </c>
      <c r="K116" s="123">
        <v>43969</v>
      </c>
      <c r="M116" s="151">
        <v>9158.2998050000006</v>
      </c>
      <c r="N116" s="152">
        <v>9178.5498050000006</v>
      </c>
      <c r="O116" s="152">
        <v>8806.75</v>
      </c>
      <c r="P116" s="152">
        <v>9039.25</v>
      </c>
      <c r="Q116" s="153">
        <v>3464800</v>
      </c>
      <c r="T116" s="12">
        <v>511.5</v>
      </c>
      <c r="U116" s="12">
        <v>531</v>
      </c>
      <c r="V116" s="12">
        <v>501.5</v>
      </c>
      <c r="W116" s="12">
        <v>529.65</v>
      </c>
      <c r="X116" s="12">
        <v>16450000</v>
      </c>
      <c r="AA116" s="12">
        <v>182.05</v>
      </c>
      <c r="AB116" s="12">
        <v>191.7</v>
      </c>
      <c r="AC116" s="12">
        <v>178</v>
      </c>
      <c r="AD116" s="12">
        <v>189</v>
      </c>
      <c r="AE116" s="12">
        <v>33280000</v>
      </c>
      <c r="AH116" s="12">
        <v>514.70000000000005</v>
      </c>
      <c r="AI116" s="12">
        <v>537.5</v>
      </c>
      <c r="AJ116" s="12">
        <v>502.1</v>
      </c>
      <c r="AK116" s="12">
        <v>530.4</v>
      </c>
      <c r="AL116" s="12">
        <v>23800000</v>
      </c>
      <c r="AO116" s="12">
        <v>659.85</v>
      </c>
      <c r="AP116" s="12">
        <v>695.85</v>
      </c>
      <c r="AQ116" s="12">
        <v>653</v>
      </c>
      <c r="AR116" s="12">
        <v>692.35</v>
      </c>
      <c r="AS116" s="12">
        <v>42470000</v>
      </c>
      <c r="AV116" s="12">
        <v>1907</v>
      </c>
      <c r="AW116" s="12">
        <v>2032</v>
      </c>
      <c r="AX116" s="12">
        <v>1869.5</v>
      </c>
      <c r="AY116" s="12">
        <v>2020.35</v>
      </c>
      <c r="AZ116" s="12">
        <v>17640000</v>
      </c>
    </row>
    <row r="117" spans="2:52" ht="15" thickBot="1" x14ac:dyDescent="0.35">
      <c r="B117" s="123">
        <v>43976</v>
      </c>
      <c r="C117" s="164">
        <v>5.8132680017709618E-2</v>
      </c>
      <c r="D117" s="163">
        <f t="shared" si="5"/>
        <v>1.5092918627755691E-3</v>
      </c>
      <c r="E117" s="163">
        <f t="shared" si="6"/>
        <v>0.11860574240784701</v>
      </c>
      <c r="F117" s="163">
        <f t="shared" si="7"/>
        <v>3.6741281534918381E-2</v>
      </c>
      <c r="G117" s="163">
        <f t="shared" si="8"/>
        <v>-1.9517843330530526E-3</v>
      </c>
      <c r="H117" s="165">
        <f t="shared" si="9"/>
        <v>-2.4045038511896037E-2</v>
      </c>
      <c r="K117" s="123">
        <v>43976</v>
      </c>
      <c r="M117" s="151">
        <v>9099.75</v>
      </c>
      <c r="N117" s="152">
        <v>9598.8496090000008</v>
      </c>
      <c r="O117" s="152">
        <v>8996.6503909999992</v>
      </c>
      <c r="P117" s="152">
        <v>9580.2998050000006</v>
      </c>
      <c r="Q117" s="153">
        <v>3223400</v>
      </c>
      <c r="T117" s="12">
        <v>534</v>
      </c>
      <c r="U117" s="12">
        <v>540.75</v>
      </c>
      <c r="V117" s="12">
        <v>512.04999999999995</v>
      </c>
      <c r="W117" s="12">
        <v>530.45000000000005</v>
      </c>
      <c r="X117" s="12">
        <v>14050000</v>
      </c>
      <c r="AA117" s="12">
        <v>189</v>
      </c>
      <c r="AB117" s="12">
        <v>214.9</v>
      </c>
      <c r="AC117" s="12">
        <v>185.7</v>
      </c>
      <c r="AD117" s="12">
        <v>212.8</v>
      </c>
      <c r="AE117" s="12">
        <v>70510000</v>
      </c>
      <c r="AH117" s="12">
        <v>539.95000000000005</v>
      </c>
      <c r="AI117" s="12">
        <v>555</v>
      </c>
      <c r="AJ117" s="12">
        <v>516</v>
      </c>
      <c r="AK117" s="12">
        <v>550.25</v>
      </c>
      <c r="AL117" s="12">
        <v>21630000</v>
      </c>
      <c r="AO117" s="12">
        <v>695</v>
      </c>
      <c r="AP117" s="12">
        <v>710</v>
      </c>
      <c r="AQ117" s="12">
        <v>674.95</v>
      </c>
      <c r="AR117" s="12">
        <v>691</v>
      </c>
      <c r="AS117" s="12">
        <v>56210000</v>
      </c>
      <c r="AV117" s="12">
        <v>2020</v>
      </c>
      <c r="AW117" s="12">
        <v>2024</v>
      </c>
      <c r="AX117" s="12">
        <v>1925</v>
      </c>
      <c r="AY117" s="12">
        <v>1972.35</v>
      </c>
      <c r="AZ117" s="12">
        <v>19300000</v>
      </c>
    </row>
    <row r="118" spans="2:52" ht="15" thickBot="1" x14ac:dyDescent="0.35">
      <c r="B118" s="123">
        <v>43983</v>
      </c>
      <c r="C118" s="164">
        <v>5.6991159419419291E-2</v>
      </c>
      <c r="D118" s="163">
        <f t="shared" si="5"/>
        <v>8.9043746497431672E-2</v>
      </c>
      <c r="E118" s="163">
        <f t="shared" si="6"/>
        <v>2.7576767770234399E-2</v>
      </c>
      <c r="F118" s="163">
        <f t="shared" si="7"/>
        <v>4.564813096594434E-2</v>
      </c>
      <c r="G118" s="163">
        <f t="shared" si="8"/>
        <v>1.7999123466594776E-2</v>
      </c>
      <c r="H118" s="165">
        <f t="shared" si="9"/>
        <v>3.7760044820886615E-2</v>
      </c>
      <c r="K118" s="123">
        <v>43983</v>
      </c>
      <c r="M118" s="151">
        <v>9726.8496090000008</v>
      </c>
      <c r="N118" s="152">
        <v>10177.799805000001</v>
      </c>
      <c r="O118" s="152">
        <v>9706.9501949999994</v>
      </c>
      <c r="P118" s="152">
        <v>10142.150390999999</v>
      </c>
      <c r="Q118" s="153">
        <v>4121300</v>
      </c>
      <c r="T118" s="12">
        <v>535</v>
      </c>
      <c r="U118" s="12">
        <v>593.54999999999995</v>
      </c>
      <c r="V118" s="12">
        <v>535</v>
      </c>
      <c r="W118" s="12">
        <v>579.85</v>
      </c>
      <c r="X118" s="12">
        <v>31650000</v>
      </c>
      <c r="AA118" s="12">
        <v>214</v>
      </c>
      <c r="AB118" s="12">
        <v>221</v>
      </c>
      <c r="AC118" s="12">
        <v>210.15</v>
      </c>
      <c r="AD118" s="12">
        <v>218.75</v>
      </c>
      <c r="AE118" s="12">
        <v>44340000</v>
      </c>
      <c r="AH118" s="12">
        <v>559</v>
      </c>
      <c r="AI118" s="12">
        <v>587.15</v>
      </c>
      <c r="AJ118" s="12">
        <v>550</v>
      </c>
      <c r="AK118" s="12">
        <v>575.95000000000005</v>
      </c>
      <c r="AL118" s="12">
        <v>21550000</v>
      </c>
      <c r="AO118" s="12">
        <v>696.55</v>
      </c>
      <c r="AP118" s="12">
        <v>713</v>
      </c>
      <c r="AQ118" s="12">
        <v>691.5</v>
      </c>
      <c r="AR118" s="12">
        <v>703.55</v>
      </c>
      <c r="AS118" s="12">
        <v>50920000</v>
      </c>
      <c r="AV118" s="12">
        <v>1995</v>
      </c>
      <c r="AW118" s="12">
        <v>2100</v>
      </c>
      <c r="AX118" s="12">
        <v>1981.1</v>
      </c>
      <c r="AY118" s="12">
        <v>2048.25</v>
      </c>
      <c r="AZ118" s="12">
        <v>18060000</v>
      </c>
    </row>
    <row r="119" spans="2:52" ht="15" thickBot="1" x14ac:dyDescent="0.35">
      <c r="B119" s="123">
        <v>43990</v>
      </c>
      <c r="C119" s="164">
        <v>-1.682859229508122E-2</v>
      </c>
      <c r="D119" s="163">
        <f t="shared" si="5"/>
        <v>-4.4342022341523353E-2</v>
      </c>
      <c r="E119" s="163">
        <f t="shared" si="6"/>
        <v>-5.0872330373756547E-2</v>
      </c>
      <c r="F119" s="163">
        <f t="shared" si="7"/>
        <v>-9.0695659626105398E-3</v>
      </c>
      <c r="G119" s="163">
        <f t="shared" si="8"/>
        <v>-1.648073989155378E-2</v>
      </c>
      <c r="H119" s="165">
        <f t="shared" si="9"/>
        <v>-4.2810902643109364E-3</v>
      </c>
      <c r="K119" s="123">
        <v>43990</v>
      </c>
      <c r="M119" s="151">
        <v>10326.75</v>
      </c>
      <c r="N119" s="152">
        <v>10328.5</v>
      </c>
      <c r="O119" s="152">
        <v>9544.3496090000008</v>
      </c>
      <c r="P119" s="152">
        <v>9972.9003909999992</v>
      </c>
      <c r="Q119" s="153">
        <v>3834900</v>
      </c>
      <c r="T119" s="12">
        <v>580.35</v>
      </c>
      <c r="U119" s="12">
        <v>605.35</v>
      </c>
      <c r="V119" s="12">
        <v>548.15</v>
      </c>
      <c r="W119" s="12">
        <v>554.70000000000005</v>
      </c>
      <c r="X119" s="12">
        <v>21500000</v>
      </c>
      <c r="AA119" s="12">
        <v>218.05</v>
      </c>
      <c r="AB119" s="12">
        <v>227.3</v>
      </c>
      <c r="AC119" s="12">
        <v>206.3</v>
      </c>
      <c r="AD119" s="12">
        <v>207.9</v>
      </c>
      <c r="AE119" s="12">
        <v>42980000</v>
      </c>
      <c r="AH119" s="12">
        <v>578.5</v>
      </c>
      <c r="AI119" s="12">
        <v>587.5</v>
      </c>
      <c r="AJ119" s="12">
        <v>555.20000000000005</v>
      </c>
      <c r="AK119" s="12">
        <v>570.75</v>
      </c>
      <c r="AL119" s="12">
        <v>26410000</v>
      </c>
      <c r="AO119" s="12">
        <v>708.95</v>
      </c>
      <c r="AP119" s="12">
        <v>729.6</v>
      </c>
      <c r="AQ119" s="12">
        <v>675.05</v>
      </c>
      <c r="AR119" s="12">
        <v>692.05</v>
      </c>
      <c r="AS119" s="12">
        <v>49320000</v>
      </c>
      <c r="AV119" s="12">
        <v>2073</v>
      </c>
      <c r="AW119" s="12">
        <v>2132.0500000000002</v>
      </c>
      <c r="AX119" s="12">
        <v>2009</v>
      </c>
      <c r="AY119" s="12">
        <v>2039.5</v>
      </c>
      <c r="AZ119" s="12">
        <v>16830000</v>
      </c>
    </row>
    <row r="120" spans="2:52" ht="15" thickBot="1" x14ac:dyDescent="0.35">
      <c r="B120" s="123">
        <v>43997</v>
      </c>
      <c r="C120" s="164">
        <v>2.6859799486706692E-2</v>
      </c>
      <c r="D120" s="163">
        <f t="shared" si="5"/>
        <v>-2.8990188018348208E-2</v>
      </c>
      <c r="E120" s="163">
        <f t="shared" si="6"/>
        <v>6.5845386874144124E-2</v>
      </c>
      <c r="F120" s="163">
        <f t="shared" si="7"/>
        <v>-2.0169253121388813E-3</v>
      </c>
      <c r="G120" s="163">
        <f t="shared" si="8"/>
        <v>1.9319433161058722E-2</v>
      </c>
      <c r="H120" s="165">
        <f t="shared" si="9"/>
        <v>2.4974915653003978E-3</v>
      </c>
      <c r="K120" s="123">
        <v>43997</v>
      </c>
      <c r="M120" s="151">
        <v>9919.3496090000008</v>
      </c>
      <c r="N120" s="152">
        <v>10272.400390999999</v>
      </c>
      <c r="O120" s="152">
        <v>9726.3496090000008</v>
      </c>
      <c r="P120" s="152">
        <v>10244.400390999999</v>
      </c>
      <c r="Q120" s="153">
        <v>3816400</v>
      </c>
      <c r="T120" s="12">
        <v>555.1</v>
      </c>
      <c r="U120" s="12">
        <v>560.5</v>
      </c>
      <c r="V120" s="12">
        <v>528.4</v>
      </c>
      <c r="W120" s="12">
        <v>538.85</v>
      </c>
      <c r="X120" s="12">
        <v>23150000</v>
      </c>
      <c r="AA120" s="12">
        <v>212</v>
      </c>
      <c r="AB120" s="12">
        <v>224.1</v>
      </c>
      <c r="AC120" s="12">
        <v>208.05</v>
      </c>
      <c r="AD120" s="12">
        <v>222.05</v>
      </c>
      <c r="AE120" s="12">
        <v>58360000</v>
      </c>
      <c r="AH120" s="12">
        <v>571.70000000000005</v>
      </c>
      <c r="AI120" s="12">
        <v>593.5</v>
      </c>
      <c r="AJ120" s="12">
        <v>563.70000000000005</v>
      </c>
      <c r="AK120" s="12">
        <v>569.6</v>
      </c>
      <c r="AL120" s="12">
        <v>20840000</v>
      </c>
      <c r="AO120" s="12">
        <v>695</v>
      </c>
      <c r="AP120" s="12">
        <v>716.7</v>
      </c>
      <c r="AQ120" s="12">
        <v>685.25</v>
      </c>
      <c r="AR120" s="12">
        <v>705.55</v>
      </c>
      <c r="AS120" s="12">
        <v>56570000</v>
      </c>
      <c r="AV120" s="12">
        <v>2040</v>
      </c>
      <c r="AW120" s="12">
        <v>2090</v>
      </c>
      <c r="AX120" s="12">
        <v>2000.6</v>
      </c>
      <c r="AY120" s="12">
        <v>2044.6</v>
      </c>
      <c r="AZ120" s="12">
        <v>17040000</v>
      </c>
    </row>
    <row r="121" spans="2:52" ht="15" thickBot="1" x14ac:dyDescent="0.35">
      <c r="B121" s="123">
        <v>44004</v>
      </c>
      <c r="C121" s="164">
        <v>1.3438600332000028E-2</v>
      </c>
      <c r="D121" s="163">
        <f t="shared" si="5"/>
        <v>4.0016251048391765E-2</v>
      </c>
      <c r="E121" s="163">
        <f t="shared" si="6"/>
        <v>1.5195823128981802E-2</v>
      </c>
      <c r="F121" s="163">
        <f t="shared" si="7"/>
        <v>-1.2721019601310921E-2</v>
      </c>
      <c r="G121" s="163">
        <f t="shared" si="8"/>
        <v>5.8692681410276226E-2</v>
      </c>
      <c r="H121" s="165">
        <f t="shared" si="9"/>
        <v>3.5671317332191206E-2</v>
      </c>
      <c r="K121" s="123">
        <v>44004</v>
      </c>
      <c r="M121" s="151">
        <v>10318.75</v>
      </c>
      <c r="N121" s="152">
        <v>10553.150390999999</v>
      </c>
      <c r="O121" s="152">
        <v>10194.5</v>
      </c>
      <c r="P121" s="152">
        <v>10383</v>
      </c>
      <c r="Q121" s="153">
        <v>3875500</v>
      </c>
      <c r="T121" s="12">
        <v>539.04999999999995</v>
      </c>
      <c r="U121" s="12">
        <v>574.95000000000005</v>
      </c>
      <c r="V121" s="12">
        <v>538.29999999999995</v>
      </c>
      <c r="W121" s="12">
        <v>560.85</v>
      </c>
      <c r="X121" s="12">
        <v>20670000</v>
      </c>
      <c r="AA121" s="12">
        <v>222.15</v>
      </c>
      <c r="AB121" s="12">
        <v>230</v>
      </c>
      <c r="AC121" s="12">
        <v>213</v>
      </c>
      <c r="AD121" s="12">
        <v>225.45</v>
      </c>
      <c r="AE121" s="12">
        <v>48720000</v>
      </c>
      <c r="AH121" s="12">
        <v>573</v>
      </c>
      <c r="AI121" s="12">
        <v>583.5</v>
      </c>
      <c r="AJ121" s="12">
        <v>545</v>
      </c>
      <c r="AK121" s="12">
        <v>562.4</v>
      </c>
      <c r="AL121" s="12">
        <v>26530000</v>
      </c>
      <c r="AO121" s="12">
        <v>704.5</v>
      </c>
      <c r="AP121" s="12">
        <v>751.6</v>
      </c>
      <c r="AQ121" s="12">
        <v>692.1</v>
      </c>
      <c r="AR121" s="12">
        <v>748.2</v>
      </c>
      <c r="AS121" s="12">
        <v>74180000</v>
      </c>
      <c r="AV121" s="12">
        <v>2045.05</v>
      </c>
      <c r="AW121" s="12">
        <v>2132</v>
      </c>
      <c r="AX121" s="12">
        <v>2008</v>
      </c>
      <c r="AY121" s="12">
        <v>2118.85</v>
      </c>
      <c r="AZ121" s="12">
        <v>21310000</v>
      </c>
    </row>
    <row r="122" spans="2:52" ht="15" thickBot="1" x14ac:dyDescent="0.35">
      <c r="B122" s="123">
        <v>44011</v>
      </c>
      <c r="C122" s="164">
        <v>2.1377266873792749E-2</v>
      </c>
      <c r="D122" s="163">
        <f t="shared" si="5"/>
        <v>1.1258485126685419E-2</v>
      </c>
      <c r="E122" s="163">
        <f t="shared" si="6"/>
        <v>-2.8872868475570694E-3</v>
      </c>
      <c r="F122" s="163">
        <f t="shared" si="7"/>
        <v>2.9348170881899931E-2</v>
      </c>
      <c r="G122" s="163">
        <f t="shared" si="8"/>
        <v>1.9194447256147159E-2</v>
      </c>
      <c r="H122" s="165">
        <f t="shared" si="9"/>
        <v>3.7424768125910599E-2</v>
      </c>
      <c r="K122" s="123">
        <v>44011</v>
      </c>
      <c r="M122" s="151">
        <v>10311.950194999999</v>
      </c>
      <c r="N122" s="152">
        <v>10631.299805000001</v>
      </c>
      <c r="O122" s="152">
        <v>10223.599609000001</v>
      </c>
      <c r="P122" s="152">
        <v>10607.349609000001</v>
      </c>
      <c r="Q122" s="153">
        <v>2826900</v>
      </c>
      <c r="T122" s="12">
        <v>558.9</v>
      </c>
      <c r="U122" s="12">
        <v>572.29999999999995</v>
      </c>
      <c r="V122" s="12">
        <v>536.04999999999995</v>
      </c>
      <c r="W122" s="12">
        <v>567.20000000000005</v>
      </c>
      <c r="X122" s="12">
        <v>20310000</v>
      </c>
      <c r="AA122" s="12">
        <v>224</v>
      </c>
      <c r="AB122" s="12">
        <v>228.5</v>
      </c>
      <c r="AC122" s="12">
        <v>218</v>
      </c>
      <c r="AD122" s="12">
        <v>224.8</v>
      </c>
      <c r="AE122" s="12">
        <v>29860000</v>
      </c>
      <c r="AH122" s="12">
        <v>562.5</v>
      </c>
      <c r="AI122" s="12">
        <v>580.54999999999995</v>
      </c>
      <c r="AJ122" s="12">
        <v>550.29999999999995</v>
      </c>
      <c r="AK122" s="12">
        <v>579.15</v>
      </c>
      <c r="AL122" s="12">
        <v>19510000</v>
      </c>
      <c r="AO122" s="12">
        <v>738.75</v>
      </c>
      <c r="AP122" s="12">
        <v>765.45</v>
      </c>
      <c r="AQ122" s="12">
        <v>724.25</v>
      </c>
      <c r="AR122" s="12">
        <v>762.7</v>
      </c>
      <c r="AS122" s="12">
        <v>51490000</v>
      </c>
      <c r="AV122" s="12">
        <v>2114</v>
      </c>
      <c r="AW122" s="12">
        <v>2205</v>
      </c>
      <c r="AX122" s="12">
        <v>2075.0500000000002</v>
      </c>
      <c r="AY122" s="12">
        <v>2199.65</v>
      </c>
      <c r="AZ122" s="12">
        <v>17230000</v>
      </c>
    </row>
    <row r="123" spans="2:52" ht="15" thickBot="1" x14ac:dyDescent="0.35">
      <c r="B123" s="123">
        <v>44018</v>
      </c>
      <c r="C123" s="164">
        <v>1.5036277975169165E-2</v>
      </c>
      <c r="D123" s="163">
        <f t="shared" si="5"/>
        <v>3.1684589084131172E-3</v>
      </c>
      <c r="E123" s="163">
        <f t="shared" si="6"/>
        <v>-1.2083387119154311E-2</v>
      </c>
      <c r="F123" s="163">
        <f t="shared" si="7"/>
        <v>5.3383973860952833E-3</v>
      </c>
      <c r="G123" s="163">
        <f t="shared" si="8"/>
        <v>2.4798137119326262E-2</v>
      </c>
      <c r="H123" s="165">
        <f t="shared" si="9"/>
        <v>1.0266937765831732E-2</v>
      </c>
      <c r="K123" s="123">
        <v>44018</v>
      </c>
      <c r="M123" s="151">
        <v>10723.849609000001</v>
      </c>
      <c r="N123" s="152">
        <v>10847.849609000001</v>
      </c>
      <c r="O123" s="152">
        <v>10676.549805000001</v>
      </c>
      <c r="P123" s="152">
        <v>10768.049805000001</v>
      </c>
      <c r="Q123" s="153">
        <v>3185300</v>
      </c>
      <c r="T123" s="12">
        <v>575.9</v>
      </c>
      <c r="U123" s="12">
        <v>593.9</v>
      </c>
      <c r="V123" s="12">
        <v>561.35</v>
      </c>
      <c r="W123" s="12">
        <v>569</v>
      </c>
      <c r="X123" s="12">
        <v>20680000</v>
      </c>
      <c r="AA123" s="12">
        <v>226.8</v>
      </c>
      <c r="AB123" s="12">
        <v>228.4</v>
      </c>
      <c r="AC123" s="12">
        <v>219.45</v>
      </c>
      <c r="AD123" s="12">
        <v>222.1</v>
      </c>
      <c r="AE123" s="12">
        <v>36500000</v>
      </c>
      <c r="AH123" s="12">
        <v>579</v>
      </c>
      <c r="AI123" s="12">
        <v>596</v>
      </c>
      <c r="AJ123" s="12">
        <v>573</v>
      </c>
      <c r="AK123" s="12">
        <v>582.25</v>
      </c>
      <c r="AL123" s="12">
        <v>22990000</v>
      </c>
      <c r="AO123" s="12">
        <v>765</v>
      </c>
      <c r="AP123" s="12">
        <v>796.95</v>
      </c>
      <c r="AQ123" s="12">
        <v>761.5</v>
      </c>
      <c r="AR123" s="12">
        <v>781.85</v>
      </c>
      <c r="AS123" s="12">
        <v>50340000</v>
      </c>
      <c r="AV123" s="12">
        <v>2190</v>
      </c>
      <c r="AW123" s="12">
        <v>2302.6999999999998</v>
      </c>
      <c r="AX123" s="12">
        <v>2176</v>
      </c>
      <c r="AY123" s="12">
        <v>2222.35</v>
      </c>
      <c r="AZ123" s="12">
        <v>28600000</v>
      </c>
    </row>
    <row r="124" spans="2:52" ht="15" thickBot="1" x14ac:dyDescent="0.35">
      <c r="B124" s="123">
        <v>44025</v>
      </c>
      <c r="C124" s="164">
        <v>1.2335360093678461E-2</v>
      </c>
      <c r="D124" s="163">
        <f t="shared" si="5"/>
        <v>5.2549096048133188E-2</v>
      </c>
      <c r="E124" s="163">
        <f t="shared" si="6"/>
        <v>0.16273277425854915</v>
      </c>
      <c r="F124" s="163">
        <f t="shared" si="7"/>
        <v>6.7887351507935442E-2</v>
      </c>
      <c r="G124" s="163">
        <f t="shared" si="8"/>
        <v>0.14422574628904727</v>
      </c>
      <c r="H124" s="165">
        <f t="shared" si="9"/>
        <v>-9.7669832058314716E-3</v>
      </c>
      <c r="K124" s="123">
        <v>44025</v>
      </c>
      <c r="M124" s="151">
        <v>10851.849609000001</v>
      </c>
      <c r="N124" s="152">
        <v>10933.450194999999</v>
      </c>
      <c r="O124" s="152">
        <v>10562.900390999999</v>
      </c>
      <c r="P124" s="152">
        <v>10901.700194999999</v>
      </c>
      <c r="Q124" s="153">
        <v>3173700</v>
      </c>
      <c r="T124" s="12">
        <v>570</v>
      </c>
      <c r="U124" s="12">
        <v>638.95000000000005</v>
      </c>
      <c r="V124" s="12">
        <v>570</v>
      </c>
      <c r="W124" s="12">
        <v>599.70000000000005</v>
      </c>
      <c r="X124" s="12">
        <v>46370000</v>
      </c>
      <c r="AA124" s="12">
        <v>224</v>
      </c>
      <c r="AB124" s="12">
        <v>268.7</v>
      </c>
      <c r="AC124" s="12">
        <v>222.55</v>
      </c>
      <c r="AD124" s="12">
        <v>261.35000000000002</v>
      </c>
      <c r="AE124" s="12">
        <v>238670000</v>
      </c>
      <c r="AH124" s="12">
        <v>584.9</v>
      </c>
      <c r="AI124" s="12">
        <v>652.20000000000005</v>
      </c>
      <c r="AJ124" s="12">
        <v>583.35</v>
      </c>
      <c r="AK124" s="12">
        <v>623.15</v>
      </c>
      <c r="AL124" s="12">
        <v>71290000</v>
      </c>
      <c r="AO124" s="12">
        <v>790</v>
      </c>
      <c r="AP124" s="12">
        <v>955.5</v>
      </c>
      <c r="AQ124" s="12">
        <v>781.35</v>
      </c>
      <c r="AR124" s="12">
        <v>903.15</v>
      </c>
      <c r="AS124" s="12">
        <v>178920000</v>
      </c>
      <c r="AV124" s="12">
        <v>2225</v>
      </c>
      <c r="AW124" s="12">
        <v>2333</v>
      </c>
      <c r="AX124" s="12">
        <v>2165</v>
      </c>
      <c r="AY124" s="12">
        <v>2200.75</v>
      </c>
      <c r="AZ124" s="12">
        <v>25370000</v>
      </c>
    </row>
    <row r="125" spans="2:52" ht="15" thickBot="1" x14ac:dyDescent="0.35">
      <c r="B125" s="123">
        <v>44032</v>
      </c>
      <c r="C125" s="164">
        <v>2.6472597080122166E-2</v>
      </c>
      <c r="D125" s="163">
        <f t="shared" si="5"/>
        <v>8.4534853984756173E-2</v>
      </c>
      <c r="E125" s="163">
        <f t="shared" si="6"/>
        <v>3.4596418929813369E-2</v>
      </c>
      <c r="F125" s="163">
        <f t="shared" si="7"/>
        <v>8.7232005782582195E-2</v>
      </c>
      <c r="G125" s="163">
        <f t="shared" si="8"/>
        <v>2.157805517473383E-2</v>
      </c>
      <c r="H125" s="165">
        <f t="shared" si="9"/>
        <v>-1.9894418399686819E-2</v>
      </c>
      <c r="K125" s="123">
        <v>44032</v>
      </c>
      <c r="M125" s="151">
        <v>10999.450194999999</v>
      </c>
      <c r="N125" s="152">
        <v>11239.799805000001</v>
      </c>
      <c r="O125" s="152">
        <v>10953</v>
      </c>
      <c r="P125" s="152">
        <v>11194.150390999999</v>
      </c>
      <c r="Q125" s="153">
        <v>3391900</v>
      </c>
      <c r="T125" s="12">
        <v>605</v>
      </c>
      <c r="U125" s="12">
        <v>655.4</v>
      </c>
      <c r="V125" s="12">
        <v>598.04999999999995</v>
      </c>
      <c r="W125" s="12">
        <v>652.6</v>
      </c>
      <c r="X125" s="12">
        <v>31610000</v>
      </c>
      <c r="AA125" s="12">
        <v>261.5</v>
      </c>
      <c r="AB125" s="12">
        <v>281.60000000000002</v>
      </c>
      <c r="AC125" s="12">
        <v>259</v>
      </c>
      <c r="AD125" s="12">
        <v>270.55</v>
      </c>
      <c r="AE125" s="12">
        <v>105440000</v>
      </c>
      <c r="AH125" s="12">
        <v>633.45000000000005</v>
      </c>
      <c r="AI125" s="12">
        <v>684.95</v>
      </c>
      <c r="AJ125" s="12">
        <v>626.85</v>
      </c>
      <c r="AK125" s="12">
        <v>679.95</v>
      </c>
      <c r="AL125" s="12">
        <v>40160000</v>
      </c>
      <c r="AO125" s="12">
        <v>904</v>
      </c>
      <c r="AP125" s="12">
        <v>949.7</v>
      </c>
      <c r="AQ125" s="12">
        <v>900.65</v>
      </c>
      <c r="AR125" s="12">
        <v>922.85</v>
      </c>
      <c r="AS125" s="12">
        <v>80690000</v>
      </c>
      <c r="AV125" s="12">
        <v>2200</v>
      </c>
      <c r="AW125" s="12">
        <v>2240.6999999999998</v>
      </c>
      <c r="AX125" s="12">
        <v>2125.1</v>
      </c>
      <c r="AY125" s="12">
        <v>2157.4</v>
      </c>
      <c r="AZ125" s="12">
        <v>14950000</v>
      </c>
    </row>
    <row r="126" spans="2:52" ht="15" thickBot="1" x14ac:dyDescent="0.35">
      <c r="B126" s="123">
        <v>44039</v>
      </c>
      <c r="C126" s="164">
        <v>-1.0840986451059607E-2</v>
      </c>
      <c r="D126" s="163">
        <f t="shared" si="5"/>
        <v>4.3551945472918449E-2</v>
      </c>
      <c r="E126" s="163">
        <f t="shared" si="6"/>
        <v>3.7719793469462914E-2</v>
      </c>
      <c r="F126" s="163">
        <f t="shared" si="7"/>
        <v>3.6462184468747154E-2</v>
      </c>
      <c r="G126" s="163">
        <f t="shared" si="8"/>
        <v>4.5697126459217807E-2</v>
      </c>
      <c r="H126" s="165">
        <f t="shared" si="9"/>
        <v>5.5885496652468752E-2</v>
      </c>
      <c r="K126" s="123">
        <v>44039</v>
      </c>
      <c r="M126" s="151">
        <v>11225</v>
      </c>
      <c r="N126" s="152">
        <v>11341.400390999999</v>
      </c>
      <c r="O126" s="152">
        <v>11026.650390999999</v>
      </c>
      <c r="P126" s="152">
        <v>11073.450194999999</v>
      </c>
      <c r="Q126" s="153">
        <v>3193100</v>
      </c>
      <c r="T126" s="12">
        <v>650</v>
      </c>
      <c r="U126" s="12">
        <v>702.75</v>
      </c>
      <c r="V126" s="12">
        <v>642.79999999999995</v>
      </c>
      <c r="W126" s="12">
        <v>681.65</v>
      </c>
      <c r="X126" s="12">
        <v>50260000</v>
      </c>
      <c r="AA126" s="12">
        <v>271</v>
      </c>
      <c r="AB126" s="12">
        <v>290.8</v>
      </c>
      <c r="AC126" s="12">
        <v>267.14999999999998</v>
      </c>
      <c r="AD126" s="12">
        <v>280.95</v>
      </c>
      <c r="AE126" s="12">
        <v>85340000</v>
      </c>
      <c r="AH126" s="12">
        <v>683.1</v>
      </c>
      <c r="AI126" s="12">
        <v>716.7</v>
      </c>
      <c r="AJ126" s="12">
        <v>676.5</v>
      </c>
      <c r="AK126" s="12">
        <v>705.2</v>
      </c>
      <c r="AL126" s="12">
        <v>42640000</v>
      </c>
      <c r="AO126" s="12">
        <v>922.45</v>
      </c>
      <c r="AP126" s="12">
        <v>986.45</v>
      </c>
      <c r="AQ126" s="12">
        <v>918.6</v>
      </c>
      <c r="AR126" s="12">
        <v>966</v>
      </c>
      <c r="AS126" s="12">
        <v>71970000</v>
      </c>
      <c r="AV126" s="12">
        <v>2160</v>
      </c>
      <c r="AW126" s="12">
        <v>2358</v>
      </c>
      <c r="AX126" s="12">
        <v>2160</v>
      </c>
      <c r="AY126" s="12">
        <v>2281.4</v>
      </c>
      <c r="AZ126" s="12">
        <v>31210000</v>
      </c>
    </row>
    <row r="127" spans="2:52" ht="15" thickBot="1" x14ac:dyDescent="0.35">
      <c r="B127" s="123">
        <v>44046</v>
      </c>
      <c r="C127" s="164">
        <v>1.261707012194435E-2</v>
      </c>
      <c r="D127" s="163">
        <f t="shared" si="5"/>
        <v>-2.8571246318006484E-2</v>
      </c>
      <c r="E127" s="163">
        <f t="shared" si="6"/>
        <v>-1.2716209677476078E-2</v>
      </c>
      <c r="F127" s="163">
        <f t="shared" si="7"/>
        <v>-2.1355164814285357E-2</v>
      </c>
      <c r="G127" s="163">
        <f t="shared" si="8"/>
        <v>-1.5754929667119468E-2</v>
      </c>
      <c r="H127" s="165">
        <f t="shared" si="9"/>
        <v>6.0960477196975362E-3</v>
      </c>
      <c r="K127" s="123">
        <v>44046</v>
      </c>
      <c r="M127" s="151">
        <v>11057.549805000001</v>
      </c>
      <c r="N127" s="152">
        <v>11256.799805000001</v>
      </c>
      <c r="O127" s="152">
        <v>10882.25</v>
      </c>
      <c r="P127" s="152">
        <v>11214.049805000001</v>
      </c>
      <c r="Q127" s="153">
        <v>3027200</v>
      </c>
      <c r="T127" s="12">
        <v>685</v>
      </c>
      <c r="U127" s="12">
        <v>686.95</v>
      </c>
      <c r="V127" s="12">
        <v>642.54999999999995</v>
      </c>
      <c r="W127" s="12">
        <v>662.45</v>
      </c>
      <c r="X127" s="12">
        <v>27820000</v>
      </c>
      <c r="AA127" s="12">
        <v>283</v>
      </c>
      <c r="AB127" s="12">
        <v>284.8</v>
      </c>
      <c r="AC127" s="12">
        <v>276.39999999999998</v>
      </c>
      <c r="AD127" s="12">
        <v>277.39999999999998</v>
      </c>
      <c r="AE127" s="12">
        <v>43710000</v>
      </c>
      <c r="AH127" s="12">
        <v>712</v>
      </c>
      <c r="AI127" s="12">
        <v>718</v>
      </c>
      <c r="AJ127" s="12">
        <v>681</v>
      </c>
      <c r="AK127" s="12">
        <v>690.3</v>
      </c>
      <c r="AL127" s="12">
        <v>31600000</v>
      </c>
      <c r="AO127" s="12">
        <v>962.8</v>
      </c>
      <c r="AP127" s="12">
        <v>974.55</v>
      </c>
      <c r="AQ127" s="12">
        <v>938.3</v>
      </c>
      <c r="AR127" s="12">
        <v>950.9</v>
      </c>
      <c r="AS127" s="12">
        <v>50420000</v>
      </c>
      <c r="AV127" s="12">
        <v>2290.4499999999998</v>
      </c>
      <c r="AW127" s="12">
        <v>2328</v>
      </c>
      <c r="AX127" s="12">
        <v>2225.0500000000002</v>
      </c>
      <c r="AY127" s="12">
        <v>2295.35</v>
      </c>
      <c r="AZ127" s="12">
        <v>19480000</v>
      </c>
    </row>
    <row r="128" spans="2:52" ht="15" thickBot="1" x14ac:dyDescent="0.35">
      <c r="B128" s="123">
        <v>44053</v>
      </c>
      <c r="C128" s="164">
        <v>-3.1840592526913821E-3</v>
      </c>
      <c r="D128" s="163">
        <f t="shared" si="5"/>
        <v>4.9260888536672168E-2</v>
      </c>
      <c r="E128" s="163">
        <f t="shared" si="6"/>
        <v>-3.2496869183416964E-3</v>
      </c>
      <c r="F128" s="163">
        <f t="shared" si="7"/>
        <v>2.6870274600521292E-2</v>
      </c>
      <c r="G128" s="163">
        <f t="shared" si="8"/>
        <v>2.8353917656867328E-3</v>
      </c>
      <c r="H128" s="165">
        <f t="shared" si="9"/>
        <v>-2.3450110369890111E-2</v>
      </c>
      <c r="K128" s="123">
        <v>44053</v>
      </c>
      <c r="M128" s="151">
        <v>11270.25</v>
      </c>
      <c r="N128" s="152">
        <v>11373.599609000001</v>
      </c>
      <c r="O128" s="152">
        <v>11111.450194999999</v>
      </c>
      <c r="P128" s="152">
        <v>11178.400390999999</v>
      </c>
      <c r="Q128" s="153">
        <v>2895500</v>
      </c>
      <c r="T128" s="12">
        <v>670</v>
      </c>
      <c r="U128" s="12">
        <v>711</v>
      </c>
      <c r="V128" s="12">
        <v>662.65</v>
      </c>
      <c r="W128" s="12">
        <v>695.9</v>
      </c>
      <c r="X128" s="12">
        <v>30690000</v>
      </c>
      <c r="AA128" s="12">
        <v>280.95</v>
      </c>
      <c r="AB128" s="12">
        <v>284.64999999999998</v>
      </c>
      <c r="AC128" s="12">
        <v>274.55</v>
      </c>
      <c r="AD128" s="12">
        <v>276.5</v>
      </c>
      <c r="AE128" s="12">
        <v>44430000</v>
      </c>
      <c r="AH128" s="12">
        <v>697.95</v>
      </c>
      <c r="AI128" s="12">
        <v>729</v>
      </c>
      <c r="AJ128" s="12">
        <v>677.05</v>
      </c>
      <c r="AK128" s="12">
        <v>709.1</v>
      </c>
      <c r="AL128" s="12">
        <v>34530000</v>
      </c>
      <c r="AO128" s="12">
        <v>950.75</v>
      </c>
      <c r="AP128" s="12">
        <v>968.5</v>
      </c>
      <c r="AQ128" s="12">
        <v>942.2</v>
      </c>
      <c r="AR128" s="12">
        <v>953.6</v>
      </c>
      <c r="AS128" s="12">
        <v>31260000</v>
      </c>
      <c r="AV128" s="12">
        <v>2310</v>
      </c>
      <c r="AW128" s="12">
        <v>2325</v>
      </c>
      <c r="AX128" s="12">
        <v>2233.1</v>
      </c>
      <c r="AY128" s="12">
        <v>2242.15</v>
      </c>
      <c r="AZ128" s="12">
        <v>14450000</v>
      </c>
    </row>
    <row r="129" spans="2:52" ht="15" thickBot="1" x14ac:dyDescent="0.35">
      <c r="B129" s="123">
        <v>44060</v>
      </c>
      <c r="C129" s="164">
        <v>1.71356049120992E-2</v>
      </c>
      <c r="D129" s="163">
        <f t="shared" si="5"/>
        <v>5.1393878493909612E-2</v>
      </c>
      <c r="E129" s="163">
        <f t="shared" si="6"/>
        <v>-1.1457795621381162E-2</v>
      </c>
      <c r="F129" s="163">
        <f t="shared" si="7"/>
        <v>-4.5229759085245441E-3</v>
      </c>
      <c r="G129" s="163">
        <f t="shared" si="8"/>
        <v>-5.046268067624384E-3</v>
      </c>
      <c r="H129" s="165">
        <f t="shared" si="9"/>
        <v>2.8725733720542128E-3</v>
      </c>
      <c r="K129" s="123">
        <v>44060</v>
      </c>
      <c r="M129" s="151">
        <v>11248.900390999999</v>
      </c>
      <c r="N129" s="152">
        <v>11460.349609000001</v>
      </c>
      <c r="O129" s="152">
        <v>11144.5</v>
      </c>
      <c r="P129" s="152">
        <v>11371.599609000001</v>
      </c>
      <c r="Q129" s="153">
        <v>3299700</v>
      </c>
      <c r="T129" s="12">
        <v>703.5</v>
      </c>
      <c r="U129" s="12">
        <v>736.7</v>
      </c>
      <c r="V129" s="12">
        <v>698.65</v>
      </c>
      <c r="W129" s="12">
        <v>732.6</v>
      </c>
      <c r="X129" s="12">
        <v>31250000</v>
      </c>
      <c r="AA129" s="12">
        <v>276.7</v>
      </c>
      <c r="AB129" s="12">
        <v>287.39999999999998</v>
      </c>
      <c r="AC129" s="12">
        <v>272.7</v>
      </c>
      <c r="AD129" s="12">
        <v>273.35000000000002</v>
      </c>
      <c r="AE129" s="12">
        <v>55950000</v>
      </c>
      <c r="AH129" s="12">
        <v>709.05</v>
      </c>
      <c r="AI129" s="12">
        <v>721.7</v>
      </c>
      <c r="AJ129" s="12">
        <v>702.7</v>
      </c>
      <c r="AK129" s="12">
        <v>705.9</v>
      </c>
      <c r="AL129" s="12">
        <v>19860000</v>
      </c>
      <c r="AO129" s="12">
        <v>953.5</v>
      </c>
      <c r="AP129" s="12">
        <v>972.45</v>
      </c>
      <c r="AQ129" s="12">
        <v>946.55</v>
      </c>
      <c r="AR129" s="12">
        <v>948.8</v>
      </c>
      <c r="AS129" s="12">
        <v>34910000</v>
      </c>
      <c r="AV129" s="12">
        <v>2255</v>
      </c>
      <c r="AW129" s="12">
        <v>2289</v>
      </c>
      <c r="AX129" s="12">
        <v>2238.25</v>
      </c>
      <c r="AY129" s="12">
        <v>2248.6</v>
      </c>
      <c r="AZ129" s="12">
        <v>14260000</v>
      </c>
    </row>
    <row r="130" spans="2:52" ht="15" thickBot="1" x14ac:dyDescent="0.35">
      <c r="B130" s="123">
        <v>44067</v>
      </c>
      <c r="C130" s="164">
        <v>2.3981131961815887E-2</v>
      </c>
      <c r="D130" s="163">
        <f t="shared" si="5"/>
        <v>2.6601790860173037E-2</v>
      </c>
      <c r="E130" s="163">
        <f t="shared" si="6"/>
        <v>-4.7671524090739407E-3</v>
      </c>
      <c r="F130" s="163">
        <f t="shared" si="7"/>
        <v>7.7884381039036092E-4</v>
      </c>
      <c r="G130" s="163">
        <f t="shared" si="8"/>
        <v>-1.4384155015205461E-2</v>
      </c>
      <c r="H130" s="165">
        <f t="shared" si="9"/>
        <v>-4.479465498119531E-3</v>
      </c>
      <c r="K130" s="123">
        <v>44067</v>
      </c>
      <c r="M130" s="151">
        <v>11412</v>
      </c>
      <c r="N130" s="152">
        <v>11686.049805000001</v>
      </c>
      <c r="O130" s="152">
        <v>11410.650390999999</v>
      </c>
      <c r="P130" s="152">
        <v>11647.599609000001</v>
      </c>
      <c r="Q130" s="153">
        <v>3441300</v>
      </c>
      <c r="T130" s="12">
        <v>734.9</v>
      </c>
      <c r="U130" s="12">
        <v>758.35</v>
      </c>
      <c r="V130" s="12">
        <v>714.35</v>
      </c>
      <c r="W130" s="12">
        <v>752.35</v>
      </c>
      <c r="X130" s="12">
        <v>18240000</v>
      </c>
      <c r="AA130" s="12">
        <v>275</v>
      </c>
      <c r="AB130" s="12">
        <v>275.5</v>
      </c>
      <c r="AC130" s="12">
        <v>268</v>
      </c>
      <c r="AD130" s="12">
        <v>272.05</v>
      </c>
      <c r="AE130" s="12">
        <v>38830000</v>
      </c>
      <c r="AH130" s="12">
        <v>706.35</v>
      </c>
      <c r="AI130" s="12">
        <v>720</v>
      </c>
      <c r="AJ130" s="12">
        <v>694.7</v>
      </c>
      <c r="AK130" s="12">
        <v>706.45</v>
      </c>
      <c r="AL130" s="12">
        <v>22860000</v>
      </c>
      <c r="AO130" s="12">
        <v>949.85</v>
      </c>
      <c r="AP130" s="12">
        <v>960.95</v>
      </c>
      <c r="AQ130" s="12">
        <v>933.05</v>
      </c>
      <c r="AR130" s="12">
        <v>935.25</v>
      </c>
      <c r="AS130" s="12">
        <v>32250000</v>
      </c>
      <c r="AV130" s="12">
        <v>2248</v>
      </c>
      <c r="AW130" s="12">
        <v>2287.35</v>
      </c>
      <c r="AX130" s="12">
        <v>2216.4499999999998</v>
      </c>
      <c r="AY130" s="12">
        <v>2238.5500000000002</v>
      </c>
      <c r="AZ130" s="12">
        <v>13370000</v>
      </c>
    </row>
    <row r="131" spans="2:52" ht="15" thickBot="1" x14ac:dyDescent="0.35">
      <c r="B131" s="123">
        <v>44074</v>
      </c>
      <c r="C131" s="164">
        <v>-2.7306327990381764E-2</v>
      </c>
      <c r="D131" s="163">
        <f t="shared" si="5"/>
        <v>-5.5313192908412875E-3</v>
      </c>
      <c r="E131" s="163">
        <f t="shared" si="6"/>
        <v>1.4414992785215516E-2</v>
      </c>
      <c r="F131" s="163">
        <f t="shared" si="7"/>
        <v>-8.0298885896353048E-3</v>
      </c>
      <c r="G131" s="163">
        <f t="shared" si="8"/>
        <v>-1.7364543299374847E-2</v>
      </c>
      <c r="H131" s="165">
        <f t="shared" si="9"/>
        <v>2.2199327918360955E-2</v>
      </c>
      <c r="K131" s="123">
        <v>44074</v>
      </c>
      <c r="M131" s="151">
        <v>11777.549805000001</v>
      </c>
      <c r="N131" s="152">
        <v>11794.25</v>
      </c>
      <c r="O131" s="152">
        <v>11303.650390999999</v>
      </c>
      <c r="P131" s="152">
        <v>11333.849609000001</v>
      </c>
      <c r="Q131" s="153">
        <v>4037500</v>
      </c>
      <c r="T131" s="12">
        <v>752.3</v>
      </c>
      <c r="U131" s="12">
        <v>774.7</v>
      </c>
      <c r="V131" s="12">
        <v>722.7</v>
      </c>
      <c r="W131" s="12">
        <v>748.2</v>
      </c>
      <c r="X131" s="12">
        <v>22520000</v>
      </c>
      <c r="AA131" s="12">
        <v>275</v>
      </c>
      <c r="AB131" s="12">
        <v>287.85000000000002</v>
      </c>
      <c r="AC131" s="12">
        <v>268</v>
      </c>
      <c r="AD131" s="12">
        <v>276</v>
      </c>
      <c r="AE131" s="12">
        <v>80440000</v>
      </c>
      <c r="AH131" s="12">
        <v>706.5</v>
      </c>
      <c r="AI131" s="12">
        <v>725</v>
      </c>
      <c r="AJ131" s="12">
        <v>682.4</v>
      </c>
      <c r="AK131" s="12">
        <v>700.8</v>
      </c>
      <c r="AL131" s="12">
        <v>28670000</v>
      </c>
      <c r="AO131" s="12">
        <v>935</v>
      </c>
      <c r="AP131" s="12">
        <v>950.5</v>
      </c>
      <c r="AQ131" s="12">
        <v>912.1</v>
      </c>
      <c r="AR131" s="12">
        <v>919.15</v>
      </c>
      <c r="AS131" s="12">
        <v>45370000</v>
      </c>
      <c r="AV131" s="12">
        <v>2241</v>
      </c>
      <c r="AW131" s="12">
        <v>2324.25</v>
      </c>
      <c r="AX131" s="12">
        <v>2228</v>
      </c>
      <c r="AY131" s="12">
        <v>2288.8000000000002</v>
      </c>
      <c r="AZ131" s="12">
        <v>22450000</v>
      </c>
    </row>
    <row r="132" spans="2:52" ht="15" thickBot="1" x14ac:dyDescent="0.35">
      <c r="B132" s="123">
        <v>44081</v>
      </c>
      <c r="C132" s="164">
        <v>1.1457171433499778E-2</v>
      </c>
      <c r="D132" s="163">
        <f t="shared" si="5"/>
        <v>2.2401571122999425E-2</v>
      </c>
      <c r="E132" s="163">
        <f t="shared" si="6"/>
        <v>6.0795110266255344E-2</v>
      </c>
      <c r="F132" s="163">
        <f t="shared" si="7"/>
        <v>2.9317717191390761E-2</v>
      </c>
      <c r="G132" s="163">
        <f t="shared" si="8"/>
        <v>2.8476064092585802E-2</v>
      </c>
      <c r="H132" s="165">
        <f t="shared" si="9"/>
        <v>3.6590755545721609E-2</v>
      </c>
      <c r="K132" s="123">
        <v>44081</v>
      </c>
      <c r="M132" s="151">
        <v>11359.599609000001</v>
      </c>
      <c r="N132" s="152">
        <v>11493.5</v>
      </c>
      <c r="O132" s="152">
        <v>11185.150390999999</v>
      </c>
      <c r="P132" s="152">
        <v>11464.450194999999</v>
      </c>
      <c r="Q132" s="153">
        <v>3095600</v>
      </c>
      <c r="T132" s="12">
        <v>748.1</v>
      </c>
      <c r="U132" s="12">
        <v>770.6</v>
      </c>
      <c r="V132" s="12">
        <v>734.05</v>
      </c>
      <c r="W132" s="12">
        <v>765.15</v>
      </c>
      <c r="X132" s="12">
        <v>20790000</v>
      </c>
      <c r="AA132" s="12">
        <v>277</v>
      </c>
      <c r="AB132" s="12">
        <v>298.45</v>
      </c>
      <c r="AC132" s="12">
        <v>271.5</v>
      </c>
      <c r="AD132" s="12">
        <v>293.3</v>
      </c>
      <c r="AE132" s="12">
        <v>107960000</v>
      </c>
      <c r="AH132" s="12">
        <v>695</v>
      </c>
      <c r="AI132" s="12">
        <v>738.9</v>
      </c>
      <c r="AJ132" s="12">
        <v>689.05</v>
      </c>
      <c r="AK132" s="12">
        <v>721.65</v>
      </c>
      <c r="AL132" s="12">
        <v>32800000</v>
      </c>
      <c r="AO132" s="12">
        <v>919.25</v>
      </c>
      <c r="AP132" s="12">
        <v>954.15</v>
      </c>
      <c r="AQ132" s="12">
        <v>913.05</v>
      </c>
      <c r="AR132" s="12">
        <v>945.7</v>
      </c>
      <c r="AS132" s="12">
        <v>38170000</v>
      </c>
      <c r="AV132" s="12">
        <v>2288</v>
      </c>
      <c r="AW132" s="12">
        <v>2390.4499999999998</v>
      </c>
      <c r="AX132" s="12">
        <v>2283</v>
      </c>
      <c r="AY132" s="12">
        <v>2374.1</v>
      </c>
      <c r="AZ132" s="12">
        <v>23190000</v>
      </c>
    </row>
    <row r="133" spans="2:52" ht="15" thickBot="1" x14ac:dyDescent="0.35">
      <c r="B133" s="123">
        <v>44088</v>
      </c>
      <c r="C133" s="164">
        <v>3.5264344112565967E-3</v>
      </c>
      <c r="D133" s="163">
        <f t="shared" si="5"/>
        <v>5.0335507227458505E-2</v>
      </c>
      <c r="E133" s="163">
        <f t="shared" si="6"/>
        <v>7.6127265600825431E-2</v>
      </c>
      <c r="F133" s="163">
        <f t="shared" si="7"/>
        <v>0.11623445738063577</v>
      </c>
      <c r="G133" s="163">
        <f t="shared" si="8"/>
        <v>5.7977577018129403E-2</v>
      </c>
      <c r="H133" s="165">
        <f t="shared" si="9"/>
        <v>3.1428789097610904E-2</v>
      </c>
      <c r="K133" s="123">
        <v>44088</v>
      </c>
      <c r="M133" s="151">
        <v>11540.150390999999</v>
      </c>
      <c r="N133" s="152">
        <v>11618.099609000001</v>
      </c>
      <c r="O133" s="152">
        <v>11383.549805000001</v>
      </c>
      <c r="P133" s="152">
        <v>11504.950194999999</v>
      </c>
      <c r="Q133" s="153">
        <v>2441000</v>
      </c>
      <c r="T133" s="12">
        <v>768</v>
      </c>
      <c r="U133" s="12">
        <v>811.45</v>
      </c>
      <c r="V133" s="12">
        <v>768</v>
      </c>
      <c r="W133" s="12">
        <v>804.65</v>
      </c>
      <c r="X133" s="12">
        <v>34210000</v>
      </c>
      <c r="AA133" s="12">
        <v>294</v>
      </c>
      <c r="AB133" s="12">
        <v>319</v>
      </c>
      <c r="AC133" s="12">
        <v>293.05</v>
      </c>
      <c r="AD133" s="12">
        <v>316.5</v>
      </c>
      <c r="AE133" s="12">
        <v>130140000</v>
      </c>
      <c r="AH133" s="12">
        <v>739</v>
      </c>
      <c r="AI133" s="12">
        <v>825.1</v>
      </c>
      <c r="AJ133" s="12">
        <v>739</v>
      </c>
      <c r="AK133" s="12">
        <v>810.6</v>
      </c>
      <c r="AL133" s="12">
        <v>84720000</v>
      </c>
      <c r="AO133" s="12">
        <v>949.5</v>
      </c>
      <c r="AP133" s="12">
        <v>1021</v>
      </c>
      <c r="AQ133" s="12">
        <v>948.3</v>
      </c>
      <c r="AR133" s="12">
        <v>1002.15</v>
      </c>
      <c r="AS133" s="12">
        <v>75090000</v>
      </c>
      <c r="AV133" s="12">
        <v>2377</v>
      </c>
      <c r="AW133" s="12">
        <v>2538</v>
      </c>
      <c r="AX133" s="12">
        <v>2377</v>
      </c>
      <c r="AY133" s="12">
        <v>2449.9</v>
      </c>
      <c r="AZ133" s="12">
        <v>27790000</v>
      </c>
    </row>
    <row r="134" spans="2:52" ht="15" thickBot="1" x14ac:dyDescent="0.35">
      <c r="B134" s="123">
        <v>44095</v>
      </c>
      <c r="C134" s="164">
        <v>-4.0324342348340023E-2</v>
      </c>
      <c r="D134" s="163">
        <f t="shared" ref="D134:D197" si="10">LN(W134/W133)</f>
        <v>-4.0969585104243797E-2</v>
      </c>
      <c r="E134" s="163">
        <f t="shared" ref="E134:E197" si="11">LN(AD134/AD133)</f>
        <v>-8.2487777363231315E-3</v>
      </c>
      <c r="F134" s="163">
        <f t="shared" ref="F134:F197" si="12">LN(AK134/AK133)</f>
        <v>2.0876055697141866E-2</v>
      </c>
      <c r="G134" s="163">
        <f t="shared" ref="G134:G197" si="13">LN(AR134/AR133)</f>
        <v>9.2372528091046388E-3</v>
      </c>
      <c r="H134" s="165">
        <f t="shared" ref="H134:H197" si="14">LN(AY134/AY133)</f>
        <v>-1.1329705362046963E-2</v>
      </c>
      <c r="K134" s="123">
        <v>44095</v>
      </c>
      <c r="M134" s="151">
        <v>11503.799805000001</v>
      </c>
      <c r="N134" s="152">
        <v>11535.25</v>
      </c>
      <c r="O134" s="152">
        <v>10790.200194999999</v>
      </c>
      <c r="P134" s="152">
        <v>11050.25</v>
      </c>
      <c r="Q134" s="153">
        <v>3255700</v>
      </c>
      <c r="T134" s="12">
        <v>805</v>
      </c>
      <c r="U134" s="12">
        <v>830</v>
      </c>
      <c r="V134" s="12">
        <v>747.35</v>
      </c>
      <c r="W134" s="12">
        <v>772.35</v>
      </c>
      <c r="X134" s="12">
        <v>39890000</v>
      </c>
      <c r="AA134" s="12">
        <v>316.45</v>
      </c>
      <c r="AB134" s="12">
        <v>324.55</v>
      </c>
      <c r="AC134" s="12">
        <v>302.14999999999998</v>
      </c>
      <c r="AD134" s="12">
        <v>313.89999999999998</v>
      </c>
      <c r="AE134" s="12">
        <v>112120000</v>
      </c>
      <c r="AH134" s="12">
        <v>822.6</v>
      </c>
      <c r="AI134" s="12">
        <v>849.9</v>
      </c>
      <c r="AJ134" s="12">
        <v>783.35</v>
      </c>
      <c r="AK134" s="12">
        <v>827.7</v>
      </c>
      <c r="AL134" s="12">
        <v>97750000</v>
      </c>
      <c r="AO134" s="12">
        <v>1000</v>
      </c>
      <c r="AP134" s="12">
        <v>1037.0999999999999</v>
      </c>
      <c r="AQ134" s="12">
        <v>970</v>
      </c>
      <c r="AR134" s="12">
        <v>1011.45</v>
      </c>
      <c r="AS134" s="12">
        <v>70010000</v>
      </c>
      <c r="AV134" s="12">
        <v>2460</v>
      </c>
      <c r="AW134" s="12">
        <v>2555</v>
      </c>
      <c r="AX134" s="12">
        <v>2302.5</v>
      </c>
      <c r="AY134" s="12">
        <v>2422.3000000000002</v>
      </c>
      <c r="AZ134" s="12">
        <v>37310000</v>
      </c>
    </row>
    <row r="135" spans="2:52" ht="15" thickBot="1" x14ac:dyDescent="0.35">
      <c r="B135" s="123">
        <v>44102</v>
      </c>
      <c r="C135" s="164">
        <v>3.2646058188068927E-2</v>
      </c>
      <c r="D135" s="163">
        <f t="shared" si="10"/>
        <v>6.2910667479266894E-2</v>
      </c>
      <c r="E135" s="163">
        <f t="shared" si="11"/>
        <v>-2.7115416565882695E-3</v>
      </c>
      <c r="F135" s="163">
        <f t="shared" si="12"/>
        <v>-1.7981162849786018E-2</v>
      </c>
      <c r="G135" s="163">
        <f t="shared" si="13"/>
        <v>6.1111027501873855E-3</v>
      </c>
      <c r="H135" s="165">
        <f t="shared" si="14"/>
        <v>4.0909510816092794E-2</v>
      </c>
      <c r="K135" s="123">
        <v>44102</v>
      </c>
      <c r="M135" s="151">
        <v>11140.849609000001</v>
      </c>
      <c r="N135" s="152">
        <v>11428.599609000001</v>
      </c>
      <c r="O135" s="152">
        <v>11099.849609000001</v>
      </c>
      <c r="P135" s="152">
        <v>11416.950194999999</v>
      </c>
      <c r="Q135" s="153">
        <v>1918100</v>
      </c>
      <c r="T135" s="12">
        <v>779.35</v>
      </c>
      <c r="U135" s="12">
        <v>825.35</v>
      </c>
      <c r="V135" s="12">
        <v>764</v>
      </c>
      <c r="W135" s="12">
        <v>822.5</v>
      </c>
      <c r="X135" s="12">
        <v>26710000</v>
      </c>
      <c r="AA135" s="12">
        <v>315</v>
      </c>
      <c r="AB135" s="12">
        <v>322.89999999999998</v>
      </c>
      <c r="AC135" s="12">
        <v>309.60000000000002</v>
      </c>
      <c r="AD135" s="12">
        <v>313.05</v>
      </c>
      <c r="AE135" s="12">
        <v>50670000</v>
      </c>
      <c r="AH135" s="12">
        <v>838.4</v>
      </c>
      <c r="AI135" s="12">
        <v>870</v>
      </c>
      <c r="AJ135" s="12">
        <v>807.1</v>
      </c>
      <c r="AK135" s="12">
        <v>812.95</v>
      </c>
      <c r="AL135" s="12">
        <v>36720000</v>
      </c>
      <c r="AO135" s="12">
        <v>1014.8</v>
      </c>
      <c r="AP135" s="12">
        <v>1028</v>
      </c>
      <c r="AQ135" s="12">
        <v>998.5</v>
      </c>
      <c r="AR135" s="12">
        <v>1017.65</v>
      </c>
      <c r="AS135" s="12">
        <v>33100000</v>
      </c>
      <c r="AV135" s="12">
        <v>2435</v>
      </c>
      <c r="AW135" s="12">
        <v>2540</v>
      </c>
      <c r="AX135" s="12">
        <v>2365.85</v>
      </c>
      <c r="AY135" s="12">
        <v>2523.4499999999998</v>
      </c>
      <c r="AZ135" s="12">
        <v>18720000</v>
      </c>
    </row>
    <row r="136" spans="2:52" ht="15" thickBot="1" x14ac:dyDescent="0.35">
      <c r="B136" s="123">
        <v>44109</v>
      </c>
      <c r="C136" s="164">
        <v>4.2631872075637546E-2</v>
      </c>
      <c r="D136" s="163">
        <f t="shared" si="10"/>
        <v>3.7758339753539656E-2</v>
      </c>
      <c r="E136" s="163">
        <f t="shared" si="11"/>
        <v>0.1778928752232124</v>
      </c>
      <c r="F136" s="163">
        <f t="shared" si="12"/>
        <v>5.1308670368730505E-2</v>
      </c>
      <c r="G136" s="163">
        <f t="shared" si="13"/>
        <v>8.3976921313882735E-2</v>
      </c>
      <c r="H136" s="165">
        <f t="shared" si="14"/>
        <v>0.10860674188076172</v>
      </c>
      <c r="K136" s="123">
        <v>44109</v>
      </c>
      <c r="M136" s="151">
        <v>11487.799805000001</v>
      </c>
      <c r="N136" s="152">
        <v>11938.599609000001</v>
      </c>
      <c r="O136" s="152">
        <v>11452.299805000001</v>
      </c>
      <c r="P136" s="152">
        <v>11914.200194999999</v>
      </c>
      <c r="Q136" s="153">
        <v>2825300</v>
      </c>
      <c r="T136" s="12">
        <v>822</v>
      </c>
      <c r="U136" s="12">
        <v>887.55</v>
      </c>
      <c r="V136" s="12">
        <v>821.85</v>
      </c>
      <c r="W136" s="12">
        <v>854.15</v>
      </c>
      <c r="X136" s="12">
        <v>34910000</v>
      </c>
      <c r="AA136" s="12">
        <v>315.75</v>
      </c>
      <c r="AB136" s="12">
        <v>376.1</v>
      </c>
      <c r="AC136" s="12">
        <v>315.2</v>
      </c>
      <c r="AD136" s="12">
        <v>374</v>
      </c>
      <c r="AE136" s="12">
        <v>255180000</v>
      </c>
      <c r="AH136" s="12">
        <v>827</v>
      </c>
      <c r="AI136" s="12">
        <v>879</v>
      </c>
      <c r="AJ136" s="12">
        <v>815.1</v>
      </c>
      <c r="AK136" s="12">
        <v>855.75</v>
      </c>
      <c r="AL136" s="12">
        <v>63350000</v>
      </c>
      <c r="AO136" s="12">
        <v>1019.45</v>
      </c>
      <c r="AP136" s="12">
        <v>1124</v>
      </c>
      <c r="AQ136" s="12">
        <v>1018.05</v>
      </c>
      <c r="AR136" s="12">
        <v>1106.8</v>
      </c>
      <c r="AS136" s="12">
        <v>67620000</v>
      </c>
      <c r="AV136" s="12">
        <v>2610</v>
      </c>
      <c r="AW136" s="12">
        <v>2885</v>
      </c>
      <c r="AX136" s="12">
        <v>2603.0500000000002</v>
      </c>
      <c r="AY136" s="12">
        <v>2812.95</v>
      </c>
      <c r="AZ136" s="12">
        <v>66450000</v>
      </c>
    </row>
    <row r="137" spans="2:52" ht="15" thickBot="1" x14ac:dyDescent="0.35">
      <c r="B137" s="123">
        <v>44116</v>
      </c>
      <c r="C137" s="164">
        <v>-1.2818711722311195E-2</v>
      </c>
      <c r="D137" s="163">
        <f t="shared" si="10"/>
        <v>-3.7454434569617216E-2</v>
      </c>
      <c r="E137" s="163">
        <f t="shared" si="11"/>
        <v>-9.6340121777221066E-2</v>
      </c>
      <c r="F137" s="163">
        <f t="shared" si="12"/>
        <v>-3.3992220357269724E-2</v>
      </c>
      <c r="G137" s="163">
        <f t="shared" si="13"/>
        <v>1.8529823464062668E-2</v>
      </c>
      <c r="H137" s="165">
        <f t="shared" si="14"/>
        <v>-1.7808137051741082E-2</v>
      </c>
      <c r="K137" s="123">
        <v>44116</v>
      </c>
      <c r="M137" s="151">
        <v>11973.549805000001</v>
      </c>
      <c r="N137" s="152">
        <v>12025.450194999999</v>
      </c>
      <c r="O137" s="152">
        <v>11661.299805000001</v>
      </c>
      <c r="P137" s="152">
        <v>11762.450194999999</v>
      </c>
      <c r="Q137" s="153">
        <v>2714800</v>
      </c>
      <c r="T137" s="12">
        <v>857.1</v>
      </c>
      <c r="U137" s="12">
        <v>879.9</v>
      </c>
      <c r="V137" s="12">
        <v>798.8</v>
      </c>
      <c r="W137" s="12">
        <v>822.75</v>
      </c>
      <c r="X137" s="12">
        <v>33960000</v>
      </c>
      <c r="AA137" s="12">
        <v>378</v>
      </c>
      <c r="AB137" s="12">
        <v>381.7</v>
      </c>
      <c r="AC137" s="12">
        <v>338.6</v>
      </c>
      <c r="AD137" s="12">
        <v>339.65</v>
      </c>
      <c r="AE137" s="12">
        <v>235550000</v>
      </c>
      <c r="AH137" s="12">
        <v>865</v>
      </c>
      <c r="AI137" s="12">
        <v>914</v>
      </c>
      <c r="AJ137" s="12">
        <v>820.6</v>
      </c>
      <c r="AK137" s="12">
        <v>827.15</v>
      </c>
      <c r="AL137" s="12">
        <v>91040000</v>
      </c>
      <c r="AO137" s="12">
        <v>1120</v>
      </c>
      <c r="AP137" s="12">
        <v>1186</v>
      </c>
      <c r="AQ137" s="12">
        <v>1092.5</v>
      </c>
      <c r="AR137" s="12">
        <v>1127.5</v>
      </c>
      <c r="AS137" s="12">
        <v>116810000</v>
      </c>
      <c r="AV137" s="12">
        <v>2818.9</v>
      </c>
      <c r="AW137" s="12">
        <v>2855</v>
      </c>
      <c r="AX137" s="12">
        <v>2727</v>
      </c>
      <c r="AY137" s="12">
        <v>2763.3</v>
      </c>
      <c r="AZ137" s="12">
        <v>26210000</v>
      </c>
    </row>
    <row r="138" spans="2:52" ht="15" thickBot="1" x14ac:dyDescent="0.35">
      <c r="B138" s="123">
        <v>44123</v>
      </c>
      <c r="C138" s="164">
        <v>1.4173270026160952E-2</v>
      </c>
      <c r="D138" s="163">
        <f t="shared" si="10"/>
        <v>3.0523015840890236E-2</v>
      </c>
      <c r="E138" s="163">
        <f t="shared" si="11"/>
        <v>8.0639686302760184E-3</v>
      </c>
      <c r="F138" s="163">
        <f t="shared" si="12"/>
        <v>3.0128499358215266E-2</v>
      </c>
      <c r="G138" s="163">
        <f t="shared" si="13"/>
        <v>-4.4444517604240183E-3</v>
      </c>
      <c r="H138" s="165">
        <f t="shared" si="14"/>
        <v>-2.8074723269590086E-2</v>
      </c>
      <c r="K138" s="123">
        <v>44123</v>
      </c>
      <c r="M138" s="151">
        <v>11879.200194999999</v>
      </c>
      <c r="N138" s="152">
        <v>12018.650390999999</v>
      </c>
      <c r="O138" s="152">
        <v>11775.75</v>
      </c>
      <c r="P138" s="152">
        <v>11930.349609000001</v>
      </c>
      <c r="Q138" s="153">
        <v>2665900</v>
      </c>
      <c r="T138" s="12">
        <v>829.9</v>
      </c>
      <c r="U138" s="12">
        <v>857.45</v>
      </c>
      <c r="V138" s="12">
        <v>817.4</v>
      </c>
      <c r="W138" s="12">
        <v>848.25</v>
      </c>
      <c r="X138" s="12">
        <v>28830000</v>
      </c>
      <c r="AA138" s="12">
        <v>343</v>
      </c>
      <c r="AB138" s="12">
        <v>350.15</v>
      </c>
      <c r="AC138" s="12">
        <v>338.65</v>
      </c>
      <c r="AD138" s="12">
        <v>342.4</v>
      </c>
      <c r="AE138" s="12">
        <v>59950000</v>
      </c>
      <c r="AH138" s="12">
        <v>839</v>
      </c>
      <c r="AI138" s="12">
        <v>891.95</v>
      </c>
      <c r="AJ138" s="12">
        <v>833</v>
      </c>
      <c r="AK138" s="12">
        <v>852.45</v>
      </c>
      <c r="AL138" s="12">
        <v>65690000</v>
      </c>
      <c r="AO138" s="12">
        <v>1133.5999999999999</v>
      </c>
      <c r="AP138" s="12">
        <v>1158</v>
      </c>
      <c r="AQ138" s="12">
        <v>1110</v>
      </c>
      <c r="AR138" s="12">
        <v>1122.5</v>
      </c>
      <c r="AS138" s="12">
        <v>65590000</v>
      </c>
      <c r="AV138" s="12">
        <v>2777</v>
      </c>
      <c r="AW138" s="12">
        <v>2777</v>
      </c>
      <c r="AX138" s="12">
        <v>2638.1</v>
      </c>
      <c r="AY138" s="12">
        <v>2686.8</v>
      </c>
      <c r="AZ138" s="12">
        <v>20550000</v>
      </c>
    </row>
    <row r="139" spans="2:52" ht="15" thickBot="1" x14ac:dyDescent="0.35">
      <c r="B139" s="123">
        <v>44130</v>
      </c>
      <c r="C139" s="164">
        <v>-2.4431900508659118E-2</v>
      </c>
      <c r="D139" s="163">
        <f t="shared" si="10"/>
        <v>-4.2075358491610079E-2</v>
      </c>
      <c r="E139" s="163">
        <f t="shared" si="11"/>
        <v>-4.9773196006660889E-3</v>
      </c>
      <c r="F139" s="163">
        <f t="shared" si="12"/>
        <v>-1.2393926354922183E-2</v>
      </c>
      <c r="G139" s="163">
        <f t="shared" si="13"/>
        <v>-5.6723554913379798E-2</v>
      </c>
      <c r="H139" s="165">
        <f t="shared" si="14"/>
        <v>-8.2031235550711016E-3</v>
      </c>
      <c r="K139" s="123">
        <v>44130</v>
      </c>
      <c r="M139" s="151">
        <v>11937.400390999999</v>
      </c>
      <c r="N139" s="152">
        <v>11942.849609000001</v>
      </c>
      <c r="O139" s="152">
        <v>11535.450194999999</v>
      </c>
      <c r="P139" s="152">
        <v>11642.400390999999</v>
      </c>
      <c r="Q139" s="153">
        <v>2948800</v>
      </c>
      <c r="T139" s="12">
        <v>834</v>
      </c>
      <c r="U139" s="12">
        <v>854.7</v>
      </c>
      <c r="V139" s="12">
        <v>781.85</v>
      </c>
      <c r="W139" s="12">
        <v>813.3</v>
      </c>
      <c r="X139" s="12">
        <v>35880000</v>
      </c>
      <c r="AA139" s="12">
        <v>343.3</v>
      </c>
      <c r="AB139" s="12">
        <v>345</v>
      </c>
      <c r="AC139" s="12">
        <v>331.05</v>
      </c>
      <c r="AD139" s="12">
        <v>340.7</v>
      </c>
      <c r="AE139" s="12">
        <v>48270000</v>
      </c>
      <c r="AH139" s="12">
        <v>854.1</v>
      </c>
      <c r="AI139" s="12">
        <v>873.8</v>
      </c>
      <c r="AJ139" s="12">
        <v>818.95</v>
      </c>
      <c r="AK139" s="12">
        <v>841.95</v>
      </c>
      <c r="AL139" s="12">
        <v>36380000</v>
      </c>
      <c r="AO139" s="12">
        <v>1121</v>
      </c>
      <c r="AP139" s="12">
        <v>1129.5999999999999</v>
      </c>
      <c r="AQ139" s="12">
        <v>1052.3499999999999</v>
      </c>
      <c r="AR139" s="12">
        <v>1060.5999999999999</v>
      </c>
      <c r="AS139" s="12">
        <v>42790000</v>
      </c>
      <c r="AV139" s="12">
        <v>2695</v>
      </c>
      <c r="AW139" s="12">
        <v>2718.15</v>
      </c>
      <c r="AX139" s="12">
        <v>2600.25</v>
      </c>
      <c r="AY139" s="12">
        <v>2664.85</v>
      </c>
      <c r="AZ139" s="12">
        <v>17110000</v>
      </c>
    </row>
    <row r="140" spans="2:52" ht="15" thickBot="1" x14ac:dyDescent="0.35">
      <c r="B140" s="123">
        <v>44137</v>
      </c>
      <c r="C140" s="164">
        <v>5.1977792035122962E-2</v>
      </c>
      <c r="D140" s="163">
        <f t="shared" si="10"/>
        <v>4.5488331087849984E-2</v>
      </c>
      <c r="E140" s="163">
        <f t="shared" si="11"/>
        <v>1.4713645877946815E-2</v>
      </c>
      <c r="F140" s="163">
        <f t="shared" si="12"/>
        <v>9.6333595669951637E-3</v>
      </c>
      <c r="G140" s="163">
        <f t="shared" si="13"/>
        <v>4.7999643192934274E-2</v>
      </c>
      <c r="H140" s="165">
        <f t="shared" si="14"/>
        <v>1.5859461646302749E-2</v>
      </c>
      <c r="K140" s="123">
        <v>44137</v>
      </c>
      <c r="M140" s="151">
        <v>11697.349609000001</v>
      </c>
      <c r="N140" s="152">
        <v>12280.400390999999</v>
      </c>
      <c r="O140" s="152">
        <v>11557.400390999999</v>
      </c>
      <c r="P140" s="152">
        <v>12263.549805000001</v>
      </c>
      <c r="Q140" s="153">
        <v>3119300</v>
      </c>
      <c r="T140" s="12">
        <v>821.4</v>
      </c>
      <c r="U140" s="12">
        <v>854</v>
      </c>
      <c r="V140" s="12">
        <v>803.9</v>
      </c>
      <c r="W140" s="12">
        <v>851.15</v>
      </c>
      <c r="X140" s="12">
        <v>23160000</v>
      </c>
      <c r="AA140" s="12">
        <v>341.75</v>
      </c>
      <c r="AB140" s="12">
        <v>351.55</v>
      </c>
      <c r="AC140" s="12">
        <v>332.65</v>
      </c>
      <c r="AD140" s="12">
        <v>345.75</v>
      </c>
      <c r="AE140" s="12">
        <v>37140000</v>
      </c>
      <c r="AH140" s="12">
        <v>841.95</v>
      </c>
      <c r="AI140" s="12">
        <v>855.8</v>
      </c>
      <c r="AJ140" s="12">
        <v>810.55</v>
      </c>
      <c r="AK140" s="12">
        <v>850.1</v>
      </c>
      <c r="AL140" s="12">
        <v>39330000</v>
      </c>
      <c r="AO140" s="12">
        <v>1065</v>
      </c>
      <c r="AP140" s="12">
        <v>1123.3499999999999</v>
      </c>
      <c r="AQ140" s="12">
        <v>1051</v>
      </c>
      <c r="AR140" s="12">
        <v>1112.75</v>
      </c>
      <c r="AS140" s="12">
        <v>50560000</v>
      </c>
      <c r="AV140" s="12">
        <v>2660</v>
      </c>
      <c r="AW140" s="12">
        <v>2721.85</v>
      </c>
      <c r="AX140" s="12">
        <v>2600</v>
      </c>
      <c r="AY140" s="12">
        <v>2707.45</v>
      </c>
      <c r="AZ140" s="12">
        <v>17550000</v>
      </c>
    </row>
    <row r="141" spans="2:52" ht="15" thickBot="1" x14ac:dyDescent="0.35">
      <c r="B141" s="123">
        <v>44144</v>
      </c>
      <c r="C141" s="164">
        <v>3.6540210180646494E-2</v>
      </c>
      <c r="D141" s="163">
        <f t="shared" si="10"/>
        <v>-1.3007928936628513E-2</v>
      </c>
      <c r="E141" s="163">
        <f t="shared" si="11"/>
        <v>-8.6805561006370274E-4</v>
      </c>
      <c r="F141" s="163">
        <f t="shared" si="12"/>
        <v>-2.3326060569963617E-2</v>
      </c>
      <c r="G141" s="163">
        <f t="shared" si="13"/>
        <v>1.8431649918570762E-2</v>
      </c>
      <c r="H141" s="165">
        <f t="shared" si="14"/>
        <v>-1.3797682538361448E-2</v>
      </c>
      <c r="K141" s="123">
        <v>44144</v>
      </c>
      <c r="M141" s="151">
        <v>12399.400390999999</v>
      </c>
      <c r="N141" s="152">
        <v>12769.75</v>
      </c>
      <c r="O141" s="152">
        <v>12367.349609000001</v>
      </c>
      <c r="P141" s="152">
        <v>12719.950194999999</v>
      </c>
      <c r="Q141" s="153">
        <v>3417300</v>
      </c>
      <c r="T141" s="12">
        <v>856</v>
      </c>
      <c r="U141" s="12">
        <v>877</v>
      </c>
      <c r="V141" s="12">
        <v>812.45</v>
      </c>
      <c r="W141" s="12">
        <v>840.15</v>
      </c>
      <c r="X141" s="12">
        <v>23880000</v>
      </c>
      <c r="AA141" s="12">
        <v>349.35</v>
      </c>
      <c r="AB141" s="12">
        <v>352.8</v>
      </c>
      <c r="AC141" s="12">
        <v>341.15</v>
      </c>
      <c r="AD141" s="12">
        <v>345.45</v>
      </c>
      <c r="AE141" s="12">
        <v>36240000</v>
      </c>
      <c r="AH141" s="12">
        <v>863</v>
      </c>
      <c r="AI141" s="12">
        <v>872.8</v>
      </c>
      <c r="AJ141" s="12">
        <v>805.25</v>
      </c>
      <c r="AK141" s="12">
        <v>830.5</v>
      </c>
      <c r="AL141" s="12">
        <v>43320000</v>
      </c>
      <c r="AO141" s="12">
        <v>1125</v>
      </c>
      <c r="AP141" s="12">
        <v>1162.3</v>
      </c>
      <c r="AQ141" s="12">
        <v>1078</v>
      </c>
      <c r="AR141" s="12">
        <v>1133.45</v>
      </c>
      <c r="AS141" s="12">
        <v>59230000</v>
      </c>
      <c r="AV141" s="12">
        <v>2738.25</v>
      </c>
      <c r="AW141" s="12">
        <v>2825</v>
      </c>
      <c r="AX141" s="12">
        <v>2636</v>
      </c>
      <c r="AY141" s="12">
        <v>2670.35</v>
      </c>
      <c r="AZ141" s="12">
        <v>17950000</v>
      </c>
    </row>
    <row r="142" spans="2:52" ht="15" thickBot="1" x14ac:dyDescent="0.35">
      <c r="B142" s="123">
        <v>44151</v>
      </c>
      <c r="C142" s="164">
        <v>1.0876186026677568E-2</v>
      </c>
      <c r="D142" s="163">
        <f t="shared" si="10"/>
        <v>-3.0994839142554514E-3</v>
      </c>
      <c r="E142" s="163">
        <f t="shared" si="11"/>
        <v>2.4575364735724609E-3</v>
      </c>
      <c r="F142" s="163">
        <f t="shared" si="12"/>
        <v>-1.3638641474425636E-2</v>
      </c>
      <c r="G142" s="163">
        <f t="shared" si="13"/>
        <v>-2.6915072485444821E-2</v>
      </c>
      <c r="H142" s="165">
        <f t="shared" si="14"/>
        <v>-3.7894466237387366E-3</v>
      </c>
      <c r="K142" s="123">
        <v>44151</v>
      </c>
      <c r="M142" s="151">
        <v>12932.5</v>
      </c>
      <c r="N142" s="152">
        <v>12963</v>
      </c>
      <c r="O142" s="152">
        <v>12730.25</v>
      </c>
      <c r="P142" s="152">
        <v>12859.049805000001</v>
      </c>
      <c r="Q142" s="153">
        <v>2871800</v>
      </c>
      <c r="T142" s="12">
        <v>848.55</v>
      </c>
      <c r="U142" s="12">
        <v>856.5</v>
      </c>
      <c r="V142" s="12">
        <v>819.95</v>
      </c>
      <c r="W142" s="12">
        <v>837.55</v>
      </c>
      <c r="X142" s="12">
        <v>18550000</v>
      </c>
      <c r="AA142" s="12">
        <v>347</v>
      </c>
      <c r="AB142" s="12">
        <v>352.35</v>
      </c>
      <c r="AC142" s="12">
        <v>341.6</v>
      </c>
      <c r="AD142" s="12">
        <v>346.3</v>
      </c>
      <c r="AE142" s="12">
        <v>32770000</v>
      </c>
      <c r="AH142" s="12">
        <v>837.95</v>
      </c>
      <c r="AI142" s="12">
        <v>837.95</v>
      </c>
      <c r="AJ142" s="12">
        <v>800.25</v>
      </c>
      <c r="AK142" s="12">
        <v>819.25</v>
      </c>
      <c r="AL142" s="12">
        <v>27320000</v>
      </c>
      <c r="AO142" s="12">
        <v>1144.75</v>
      </c>
      <c r="AP142" s="12">
        <v>1145</v>
      </c>
      <c r="AQ142" s="12">
        <v>1091.0999999999999</v>
      </c>
      <c r="AR142" s="12">
        <v>1103.3499999999999</v>
      </c>
      <c r="AS142" s="12">
        <v>42650000</v>
      </c>
      <c r="AV142" s="12">
        <v>2695</v>
      </c>
      <c r="AW142" s="12">
        <v>2695</v>
      </c>
      <c r="AX142" s="12">
        <v>2607.0500000000002</v>
      </c>
      <c r="AY142" s="12">
        <v>2660.25</v>
      </c>
      <c r="AZ142" s="12">
        <v>13090000</v>
      </c>
    </row>
    <row r="143" spans="2:52" ht="15" thickBot="1" x14ac:dyDescent="0.35">
      <c r="B143" s="123">
        <v>44158</v>
      </c>
      <c r="C143" s="164">
        <v>8.5102255911517505E-3</v>
      </c>
      <c r="D143" s="163">
        <f t="shared" si="10"/>
        <v>4.5854976705606162E-2</v>
      </c>
      <c r="E143" s="163">
        <f t="shared" si="11"/>
        <v>1.2055255066268413E-2</v>
      </c>
      <c r="F143" s="163">
        <f t="shared" si="12"/>
        <v>3.4727545791638755E-3</v>
      </c>
      <c r="G143" s="163">
        <f t="shared" si="13"/>
        <v>-3.0408265426276277E-3</v>
      </c>
      <c r="H143" s="165">
        <f t="shared" si="14"/>
        <v>7.2660856396033922E-3</v>
      </c>
      <c r="K143" s="123">
        <v>44158</v>
      </c>
      <c r="M143" s="151">
        <v>12960.299805000001</v>
      </c>
      <c r="N143" s="152">
        <v>13145.849609000001</v>
      </c>
      <c r="O143" s="152">
        <v>12790.400390999999</v>
      </c>
      <c r="P143" s="152">
        <v>12968.950194999999</v>
      </c>
      <c r="Q143" s="153">
        <v>3596200</v>
      </c>
      <c r="T143" s="12">
        <v>838</v>
      </c>
      <c r="U143" s="12">
        <v>890</v>
      </c>
      <c r="V143" s="12">
        <v>836.75</v>
      </c>
      <c r="W143" s="12">
        <v>876.85</v>
      </c>
      <c r="X143" s="12">
        <v>40280000</v>
      </c>
      <c r="AA143" s="12">
        <v>348</v>
      </c>
      <c r="AB143" s="12">
        <v>361.4</v>
      </c>
      <c r="AC143" s="12">
        <v>346</v>
      </c>
      <c r="AD143" s="12">
        <v>350.5</v>
      </c>
      <c r="AE143" s="12">
        <v>49450000</v>
      </c>
      <c r="AH143" s="12">
        <v>825</v>
      </c>
      <c r="AI143" s="12">
        <v>857.4</v>
      </c>
      <c r="AJ143" s="12">
        <v>814.35</v>
      </c>
      <c r="AK143" s="12">
        <v>822.1</v>
      </c>
      <c r="AL143" s="12">
        <v>42980000</v>
      </c>
      <c r="AO143" s="12">
        <v>1105</v>
      </c>
      <c r="AP143" s="12">
        <v>1154.9000000000001</v>
      </c>
      <c r="AQ143" s="12">
        <v>1091</v>
      </c>
      <c r="AR143" s="12">
        <v>1100</v>
      </c>
      <c r="AS143" s="12">
        <v>66720000</v>
      </c>
      <c r="AV143" s="12">
        <v>2690</v>
      </c>
      <c r="AW143" s="12">
        <v>2743</v>
      </c>
      <c r="AX143" s="12">
        <v>2665</v>
      </c>
      <c r="AY143" s="12">
        <v>2679.65</v>
      </c>
      <c r="AZ143" s="12">
        <v>19160000</v>
      </c>
    </row>
    <row r="144" spans="2:52" ht="15" thickBot="1" x14ac:dyDescent="0.35">
      <c r="B144" s="123">
        <v>44165</v>
      </c>
      <c r="C144" s="164">
        <v>2.2084558603322705E-2</v>
      </c>
      <c r="D144" s="163">
        <f t="shared" si="10"/>
        <v>5.140163088080428E-2</v>
      </c>
      <c r="E144" s="163">
        <f t="shared" si="11"/>
        <v>2.8963081713823759E-2</v>
      </c>
      <c r="F144" s="163">
        <f t="shared" si="12"/>
        <v>4.332463817944246E-2</v>
      </c>
      <c r="G144" s="163">
        <f t="shared" si="13"/>
        <v>3.1014053529169541E-2</v>
      </c>
      <c r="H144" s="165">
        <f t="shared" si="14"/>
        <v>1.7717581383439086E-2</v>
      </c>
      <c r="K144" s="123">
        <v>44165</v>
      </c>
      <c r="M144" s="151">
        <v>13062.200194999999</v>
      </c>
      <c r="N144" s="152">
        <v>13280.049805000001</v>
      </c>
      <c r="O144" s="152">
        <v>12962.799805000001</v>
      </c>
      <c r="P144" s="152">
        <v>13258.549805000001</v>
      </c>
      <c r="Q144" s="153">
        <v>2655500</v>
      </c>
      <c r="T144" s="12">
        <v>895</v>
      </c>
      <c r="U144" s="12">
        <v>929.3</v>
      </c>
      <c r="V144" s="12">
        <v>871.65</v>
      </c>
      <c r="W144" s="12">
        <v>923.1</v>
      </c>
      <c r="X144" s="12">
        <v>22170000</v>
      </c>
      <c r="AA144" s="12">
        <v>353</v>
      </c>
      <c r="AB144" s="12">
        <v>394.9</v>
      </c>
      <c r="AC144" s="12">
        <v>346.25</v>
      </c>
      <c r="AD144" s="12">
        <v>360.8</v>
      </c>
      <c r="AE144" s="12">
        <v>40530000</v>
      </c>
      <c r="AH144" s="12">
        <v>828.1</v>
      </c>
      <c r="AI144" s="12">
        <v>867.85</v>
      </c>
      <c r="AJ144" s="12">
        <v>815.05</v>
      </c>
      <c r="AK144" s="12">
        <v>858.5</v>
      </c>
      <c r="AL144" s="12">
        <v>31930000</v>
      </c>
      <c r="AO144" s="12">
        <v>1105.55</v>
      </c>
      <c r="AP144" s="12">
        <v>1152.1500000000001</v>
      </c>
      <c r="AQ144" s="12">
        <v>1105.05</v>
      </c>
      <c r="AR144" s="12">
        <v>1134.6500000000001</v>
      </c>
      <c r="AS144" s="12">
        <v>46050000</v>
      </c>
      <c r="AV144" s="12">
        <v>2680</v>
      </c>
      <c r="AW144" s="12">
        <v>2773.9</v>
      </c>
      <c r="AX144" s="12">
        <v>2624.45</v>
      </c>
      <c r="AY144" s="12">
        <v>2727.55</v>
      </c>
      <c r="AZ144" s="12">
        <v>12310000</v>
      </c>
    </row>
    <row r="145" spans="2:52" ht="15" thickBot="1" x14ac:dyDescent="0.35">
      <c r="B145" s="123">
        <v>44172</v>
      </c>
      <c r="C145" s="164">
        <v>1.907244389664637E-2</v>
      </c>
      <c r="D145" s="163">
        <f t="shared" si="10"/>
        <v>-4.0162876239782722E-3</v>
      </c>
      <c r="E145" s="163">
        <f t="shared" si="11"/>
        <v>-2.0440302851841174E-2</v>
      </c>
      <c r="F145" s="163">
        <f t="shared" si="12"/>
        <v>4.3585714794200309E-3</v>
      </c>
      <c r="G145" s="163">
        <f t="shared" si="13"/>
        <v>2.4850594463623608E-2</v>
      </c>
      <c r="H145" s="165">
        <f t="shared" si="14"/>
        <v>2.0341283625811737E-2</v>
      </c>
      <c r="K145" s="123">
        <v>44172</v>
      </c>
      <c r="M145" s="151">
        <v>13264.849609000001</v>
      </c>
      <c r="N145" s="152">
        <v>13579.349609000001</v>
      </c>
      <c r="O145" s="152">
        <v>13241.950194999999</v>
      </c>
      <c r="P145" s="152">
        <v>13513.849609000001</v>
      </c>
      <c r="Q145" s="153">
        <v>2978600</v>
      </c>
      <c r="T145" s="12">
        <v>919</v>
      </c>
      <c r="U145" s="12">
        <v>950.85</v>
      </c>
      <c r="V145" s="12">
        <v>914</v>
      </c>
      <c r="W145" s="12">
        <v>919.4</v>
      </c>
      <c r="X145" s="12">
        <v>17960000</v>
      </c>
      <c r="AA145" s="12">
        <v>362.8</v>
      </c>
      <c r="AB145" s="12">
        <v>367.75</v>
      </c>
      <c r="AC145" s="12">
        <v>352.6</v>
      </c>
      <c r="AD145" s="12">
        <v>353.5</v>
      </c>
      <c r="AE145" s="12">
        <v>53600000</v>
      </c>
      <c r="AH145" s="12">
        <v>858.9</v>
      </c>
      <c r="AI145" s="12">
        <v>881.8</v>
      </c>
      <c r="AJ145" s="12">
        <v>850.4</v>
      </c>
      <c r="AK145" s="12">
        <v>862.25</v>
      </c>
      <c r="AL145" s="12">
        <v>31490000</v>
      </c>
      <c r="AO145" s="12">
        <v>1144</v>
      </c>
      <c r="AP145" s="12">
        <v>1179.5</v>
      </c>
      <c r="AQ145" s="12">
        <v>1136</v>
      </c>
      <c r="AR145" s="12">
        <v>1163.2</v>
      </c>
      <c r="AS145" s="12">
        <v>52790000</v>
      </c>
      <c r="AV145" s="12">
        <v>2719</v>
      </c>
      <c r="AW145" s="12">
        <v>2840</v>
      </c>
      <c r="AX145" s="12">
        <v>2706.15</v>
      </c>
      <c r="AY145" s="12">
        <v>2783.6</v>
      </c>
      <c r="AZ145" s="12">
        <v>14210000</v>
      </c>
    </row>
    <row r="146" spans="2:52" ht="15" thickBot="1" x14ac:dyDescent="0.35">
      <c r="B146" s="123">
        <v>44179</v>
      </c>
      <c r="C146" s="164">
        <v>1.8090731930981024E-2</v>
      </c>
      <c r="D146" s="163">
        <f t="shared" si="10"/>
        <v>1.5540999164709001E-2</v>
      </c>
      <c r="E146" s="163">
        <f t="shared" si="11"/>
        <v>2.8033353759438384E-2</v>
      </c>
      <c r="F146" s="163">
        <f t="shared" si="12"/>
        <v>3.2406281421543594E-2</v>
      </c>
      <c r="G146" s="163">
        <f t="shared" si="13"/>
        <v>2.2610397974550261E-2</v>
      </c>
      <c r="H146" s="165">
        <f t="shared" si="14"/>
        <v>2.7426160079415236E-2</v>
      </c>
      <c r="K146" s="123">
        <v>44179</v>
      </c>
      <c r="M146" s="151">
        <v>13571.450194999999</v>
      </c>
      <c r="N146" s="152">
        <v>13773.25</v>
      </c>
      <c r="O146" s="152">
        <v>13447.049805000001</v>
      </c>
      <c r="P146" s="152">
        <v>13760.549805000001</v>
      </c>
      <c r="Q146" s="153">
        <v>2453600</v>
      </c>
      <c r="T146" s="12">
        <v>924</v>
      </c>
      <c r="U146" s="12">
        <v>947</v>
      </c>
      <c r="V146" s="12">
        <v>898.45</v>
      </c>
      <c r="W146" s="12">
        <v>933.8</v>
      </c>
      <c r="X146" s="12">
        <v>18350000</v>
      </c>
      <c r="AA146" s="12">
        <v>353</v>
      </c>
      <c r="AB146" s="12">
        <v>365.8</v>
      </c>
      <c r="AC146" s="12">
        <v>347.1</v>
      </c>
      <c r="AD146" s="12">
        <v>363.55</v>
      </c>
      <c r="AE146" s="12">
        <v>48350000</v>
      </c>
      <c r="AH146" s="12">
        <v>869.95</v>
      </c>
      <c r="AI146" s="12">
        <v>905</v>
      </c>
      <c r="AJ146" s="12">
        <v>858.1</v>
      </c>
      <c r="AK146" s="12">
        <v>890.65</v>
      </c>
      <c r="AL146" s="12">
        <v>35280000</v>
      </c>
      <c r="AO146" s="12">
        <v>1167.95</v>
      </c>
      <c r="AP146" s="12">
        <v>1195</v>
      </c>
      <c r="AQ146" s="12">
        <v>1148.2</v>
      </c>
      <c r="AR146" s="12">
        <v>1189.8</v>
      </c>
      <c r="AS146" s="12">
        <v>45890000</v>
      </c>
      <c r="AV146" s="12">
        <v>2800.1</v>
      </c>
      <c r="AW146" s="12">
        <v>2898</v>
      </c>
      <c r="AX146" s="12">
        <v>2755</v>
      </c>
      <c r="AY146" s="12">
        <v>2861</v>
      </c>
      <c r="AZ146" s="12">
        <v>16820000</v>
      </c>
    </row>
    <row r="147" spans="2:52" ht="15" thickBot="1" x14ac:dyDescent="0.35">
      <c r="B147" s="123">
        <v>44186</v>
      </c>
      <c r="C147" s="164">
        <v>-8.2151129529107721E-4</v>
      </c>
      <c r="D147" s="163">
        <f t="shared" si="10"/>
        <v>1.4300767361873683E-2</v>
      </c>
      <c r="E147" s="163">
        <f t="shared" si="11"/>
        <v>5.0027192710106749E-2</v>
      </c>
      <c r="F147" s="163">
        <f t="shared" si="12"/>
        <v>3.171536536135651E-2</v>
      </c>
      <c r="G147" s="163">
        <f t="shared" si="13"/>
        <v>3.8135585520060904E-2</v>
      </c>
      <c r="H147" s="165">
        <f t="shared" si="14"/>
        <v>1.6758474467553696E-2</v>
      </c>
      <c r="K147" s="123">
        <v>44186</v>
      </c>
      <c r="M147" s="151">
        <v>13741.900390999999</v>
      </c>
      <c r="N147" s="152">
        <v>13777.5</v>
      </c>
      <c r="O147" s="152">
        <v>13131.450194999999</v>
      </c>
      <c r="P147" s="152">
        <v>13749.25</v>
      </c>
      <c r="Q147" s="153">
        <v>2313600</v>
      </c>
      <c r="T147" s="12">
        <v>933.35</v>
      </c>
      <c r="U147" s="12">
        <v>960</v>
      </c>
      <c r="V147" s="12">
        <v>890</v>
      </c>
      <c r="W147" s="12">
        <v>947.25</v>
      </c>
      <c r="X147" s="12">
        <v>18230000</v>
      </c>
      <c r="AA147" s="12">
        <v>362.5</v>
      </c>
      <c r="AB147" s="12">
        <v>387.6</v>
      </c>
      <c r="AC147" s="12">
        <v>348.3</v>
      </c>
      <c r="AD147" s="12">
        <v>382.2</v>
      </c>
      <c r="AE147" s="12">
        <v>77590000</v>
      </c>
      <c r="AH147" s="12">
        <v>886.5</v>
      </c>
      <c r="AI147" s="12">
        <v>935</v>
      </c>
      <c r="AJ147" s="12">
        <v>850</v>
      </c>
      <c r="AK147" s="12">
        <v>919.35</v>
      </c>
      <c r="AL147" s="12">
        <v>37650000</v>
      </c>
      <c r="AO147" s="12">
        <v>1189.9000000000001</v>
      </c>
      <c r="AP147" s="12">
        <v>1265</v>
      </c>
      <c r="AQ147" s="12">
        <v>1152.05</v>
      </c>
      <c r="AR147" s="12">
        <v>1236.05</v>
      </c>
      <c r="AS147" s="12">
        <v>47690000</v>
      </c>
      <c r="AV147" s="12">
        <v>2865</v>
      </c>
      <c r="AW147" s="12">
        <v>2921.95</v>
      </c>
      <c r="AX147" s="12">
        <v>2782.9</v>
      </c>
      <c r="AY147" s="12">
        <v>2909.35</v>
      </c>
      <c r="AZ147" s="12">
        <v>10600000</v>
      </c>
    </row>
    <row r="148" spans="2:52" ht="15" thickBot="1" x14ac:dyDescent="0.35">
      <c r="B148" s="123">
        <v>44193</v>
      </c>
      <c r="C148" s="164">
        <v>1.9393608697961411E-2</v>
      </c>
      <c r="D148" s="163">
        <f t="shared" si="10"/>
        <v>3.1895494084816622E-2</v>
      </c>
      <c r="E148" s="163">
        <f t="shared" si="11"/>
        <v>1.5319006568687966E-2</v>
      </c>
      <c r="F148" s="163">
        <f t="shared" si="12"/>
        <v>3.3321263328633478E-2</v>
      </c>
      <c r="G148" s="163">
        <f t="shared" si="13"/>
        <v>1.9547988768470886E-2</v>
      </c>
      <c r="H148" s="165">
        <f t="shared" si="14"/>
        <v>6.475286432319911E-3</v>
      </c>
      <c r="K148" s="123">
        <v>44193</v>
      </c>
      <c r="M148" s="151">
        <v>13815.150390999999</v>
      </c>
      <c r="N148" s="152">
        <v>14049.849609000001</v>
      </c>
      <c r="O148" s="152">
        <v>13811.549805000001</v>
      </c>
      <c r="P148" s="152">
        <v>14018.5</v>
      </c>
      <c r="Q148" s="153">
        <v>2034400</v>
      </c>
      <c r="T148" s="12">
        <v>946</v>
      </c>
      <c r="U148" s="12">
        <v>987</v>
      </c>
      <c r="V148" s="12">
        <v>943.85</v>
      </c>
      <c r="W148" s="12">
        <v>977.95</v>
      </c>
      <c r="X148" s="12">
        <v>17280000</v>
      </c>
      <c r="AA148" s="12">
        <v>383.3</v>
      </c>
      <c r="AB148" s="12">
        <v>390.75</v>
      </c>
      <c r="AC148" s="12">
        <v>381.2</v>
      </c>
      <c r="AD148" s="12">
        <v>388.1</v>
      </c>
      <c r="AE148" s="12">
        <v>37690000</v>
      </c>
      <c r="AH148" s="12">
        <v>925.1</v>
      </c>
      <c r="AI148" s="12">
        <v>955.5</v>
      </c>
      <c r="AJ148" s="12">
        <v>913.35</v>
      </c>
      <c r="AK148" s="12">
        <v>950.5</v>
      </c>
      <c r="AL148" s="12">
        <v>24690000</v>
      </c>
      <c r="AO148" s="12">
        <v>1237.3499999999999</v>
      </c>
      <c r="AP148" s="12">
        <v>1265.5</v>
      </c>
      <c r="AQ148" s="12">
        <v>1235</v>
      </c>
      <c r="AR148" s="12">
        <v>1260.45</v>
      </c>
      <c r="AS148" s="12">
        <v>29400000</v>
      </c>
      <c r="AV148" s="12">
        <v>2912.85</v>
      </c>
      <c r="AW148" s="12">
        <v>2952</v>
      </c>
      <c r="AX148" s="12">
        <v>2845</v>
      </c>
      <c r="AY148" s="12">
        <v>2928.25</v>
      </c>
      <c r="AZ148" s="12">
        <v>14750000</v>
      </c>
    </row>
    <row r="149" spans="2:52" ht="15" thickBot="1" x14ac:dyDescent="0.35">
      <c r="B149" s="123">
        <v>44200</v>
      </c>
      <c r="C149" s="164">
        <v>2.3180400341792275E-2</v>
      </c>
      <c r="D149" s="163">
        <f t="shared" si="10"/>
        <v>7.213396984578184E-2</v>
      </c>
      <c r="E149" s="163">
        <f t="shared" si="11"/>
        <v>0.10298717845876904</v>
      </c>
      <c r="F149" s="163">
        <f t="shared" si="12"/>
        <v>4.5402754554502538E-2</v>
      </c>
      <c r="G149" s="163">
        <f t="shared" si="13"/>
        <v>4.016010706933297E-2</v>
      </c>
      <c r="H149" s="165">
        <f t="shared" si="14"/>
        <v>6.3716446794975304E-2</v>
      </c>
      <c r="K149" s="123">
        <v>44200</v>
      </c>
      <c r="M149" s="151">
        <v>14104.349609000001</v>
      </c>
      <c r="N149" s="152">
        <v>14367.299805000001</v>
      </c>
      <c r="O149" s="152">
        <v>13953.75</v>
      </c>
      <c r="P149" s="152">
        <v>14347.25</v>
      </c>
      <c r="Q149" s="153">
        <v>2792500</v>
      </c>
      <c r="T149" s="12">
        <v>984.9</v>
      </c>
      <c r="U149" s="12">
        <v>1060</v>
      </c>
      <c r="V149" s="12">
        <v>975</v>
      </c>
      <c r="W149" s="12">
        <v>1051.0999999999999</v>
      </c>
      <c r="X149" s="12">
        <v>25640000</v>
      </c>
      <c r="AA149" s="12">
        <v>390</v>
      </c>
      <c r="AB149" s="12">
        <v>432.65</v>
      </c>
      <c r="AC149" s="12">
        <v>387.75</v>
      </c>
      <c r="AD149" s="12">
        <v>430.2</v>
      </c>
      <c r="AE149" s="12">
        <v>117340000</v>
      </c>
      <c r="AH149" s="12">
        <v>956.6</v>
      </c>
      <c r="AI149" s="12">
        <v>1003.5</v>
      </c>
      <c r="AJ149" s="12">
        <v>952.35</v>
      </c>
      <c r="AK149" s="12">
        <v>994.65</v>
      </c>
      <c r="AL149" s="12">
        <v>32990000</v>
      </c>
      <c r="AO149" s="12">
        <v>1271.75</v>
      </c>
      <c r="AP149" s="12">
        <v>1316.8</v>
      </c>
      <c r="AQ149" s="12">
        <v>1255.5</v>
      </c>
      <c r="AR149" s="12">
        <v>1312.1</v>
      </c>
      <c r="AS149" s="12">
        <v>51070000</v>
      </c>
      <c r="AV149" s="12">
        <v>2950</v>
      </c>
      <c r="AW149" s="12">
        <v>3128</v>
      </c>
      <c r="AX149" s="12">
        <v>2940.95</v>
      </c>
      <c r="AY149" s="12">
        <v>3120.9</v>
      </c>
      <c r="AZ149" s="12">
        <v>25120000</v>
      </c>
    </row>
    <row r="150" spans="2:52" ht="15" thickBot="1" x14ac:dyDescent="0.35">
      <c r="B150" s="123">
        <v>44207</v>
      </c>
      <c r="C150" s="164">
        <v>6.0074774746163269E-3</v>
      </c>
      <c r="D150" s="163">
        <f t="shared" si="10"/>
        <v>-4.2563750880673282E-2</v>
      </c>
      <c r="E150" s="163">
        <f t="shared" si="11"/>
        <v>1.9223613563760927E-2</v>
      </c>
      <c r="F150" s="163">
        <f t="shared" si="12"/>
        <v>-4.8880139652007094E-3</v>
      </c>
      <c r="G150" s="163">
        <f t="shared" si="13"/>
        <v>2.4727930512082965E-2</v>
      </c>
      <c r="H150" s="165">
        <f t="shared" si="14"/>
        <v>3.5397329704295467E-2</v>
      </c>
      <c r="K150" s="123">
        <v>44207</v>
      </c>
      <c r="M150" s="151">
        <v>14474.049805000001</v>
      </c>
      <c r="N150" s="152">
        <v>14653.349609000001</v>
      </c>
      <c r="O150" s="152">
        <v>14357.849609000001</v>
      </c>
      <c r="P150" s="152">
        <v>14433.700194999999</v>
      </c>
      <c r="Q150" s="153">
        <v>3886300</v>
      </c>
      <c r="T150" s="12">
        <v>1062.0999999999999</v>
      </c>
      <c r="U150" s="12">
        <v>1096.5999999999999</v>
      </c>
      <c r="V150" s="12">
        <v>1002.65</v>
      </c>
      <c r="W150" s="12">
        <v>1007.3</v>
      </c>
      <c r="X150" s="12">
        <v>27340000</v>
      </c>
      <c r="AA150" s="12">
        <v>436</v>
      </c>
      <c r="AB150" s="12">
        <v>504.6</v>
      </c>
      <c r="AC150" s="12">
        <v>430</v>
      </c>
      <c r="AD150" s="12">
        <v>438.55</v>
      </c>
      <c r="AE150" s="12">
        <v>204270000</v>
      </c>
      <c r="AH150" s="12">
        <v>1015</v>
      </c>
      <c r="AI150" s="12">
        <v>1099</v>
      </c>
      <c r="AJ150" s="12">
        <v>984</v>
      </c>
      <c r="AK150" s="12">
        <v>989.8</v>
      </c>
      <c r="AL150" s="12">
        <v>68070000</v>
      </c>
      <c r="AO150" s="12">
        <v>1342.1</v>
      </c>
      <c r="AP150" s="12">
        <v>1526.45</v>
      </c>
      <c r="AQ150" s="12">
        <v>1318.05</v>
      </c>
      <c r="AR150" s="12">
        <v>1344.95</v>
      </c>
      <c r="AS150" s="12">
        <v>92210000</v>
      </c>
      <c r="AV150" s="12">
        <v>3230</v>
      </c>
      <c r="AW150" s="12">
        <v>3274</v>
      </c>
      <c r="AX150" s="12">
        <v>3120</v>
      </c>
      <c r="AY150" s="12">
        <v>3233.35</v>
      </c>
      <c r="AZ150" s="12">
        <v>29490000</v>
      </c>
    </row>
    <row r="151" spans="2:52" ht="15" thickBot="1" x14ac:dyDescent="0.35">
      <c r="B151" s="123">
        <v>44214</v>
      </c>
      <c r="C151" s="164">
        <v>-4.2908252256534532E-3</v>
      </c>
      <c r="D151" s="163">
        <f t="shared" si="10"/>
        <v>-2.6609220273240693E-2</v>
      </c>
      <c r="E151" s="163">
        <f t="shared" si="11"/>
        <v>1.4038496148553787E-2</v>
      </c>
      <c r="F151" s="163">
        <f t="shared" si="12"/>
        <v>-4.049408246508286E-3</v>
      </c>
      <c r="G151" s="163">
        <f t="shared" si="13"/>
        <v>-3.0530964217816798E-3</v>
      </c>
      <c r="H151" s="165">
        <f t="shared" si="14"/>
        <v>2.13426699903559E-2</v>
      </c>
      <c r="K151" s="123">
        <v>44214</v>
      </c>
      <c r="M151" s="151">
        <v>14453.299805000001</v>
      </c>
      <c r="N151" s="152">
        <v>14753.549805000001</v>
      </c>
      <c r="O151" s="152">
        <v>14222.799805000001</v>
      </c>
      <c r="P151" s="152">
        <v>14371.900390999999</v>
      </c>
      <c r="Q151" s="153">
        <v>3412600</v>
      </c>
      <c r="T151" s="12">
        <v>1005</v>
      </c>
      <c r="U151" s="12">
        <v>1033.3499999999999</v>
      </c>
      <c r="V151" s="12">
        <v>975</v>
      </c>
      <c r="W151" s="12">
        <v>980.85</v>
      </c>
      <c r="X151" s="12">
        <v>22250000</v>
      </c>
      <c r="AA151" s="12">
        <v>440.2</v>
      </c>
      <c r="AB151" s="12">
        <v>453.45</v>
      </c>
      <c r="AC151" s="12">
        <v>427.7</v>
      </c>
      <c r="AD151" s="12">
        <v>444.75</v>
      </c>
      <c r="AE151" s="12">
        <v>93570000</v>
      </c>
      <c r="AH151" s="12">
        <v>998</v>
      </c>
      <c r="AI151" s="12">
        <v>1020.45</v>
      </c>
      <c r="AJ151" s="12">
        <v>976.9</v>
      </c>
      <c r="AK151" s="12">
        <v>985.8</v>
      </c>
      <c r="AL151" s="12">
        <v>42310000</v>
      </c>
      <c r="AO151" s="12">
        <v>1340</v>
      </c>
      <c r="AP151" s="12">
        <v>1361.05</v>
      </c>
      <c r="AQ151" s="12">
        <v>1306</v>
      </c>
      <c r="AR151" s="12">
        <v>1340.85</v>
      </c>
      <c r="AS151" s="12">
        <v>40340000</v>
      </c>
      <c r="AV151" s="12">
        <v>3249</v>
      </c>
      <c r="AW151" s="12">
        <v>3327.95</v>
      </c>
      <c r="AX151" s="12">
        <v>3186.6</v>
      </c>
      <c r="AY151" s="12">
        <v>3303.1</v>
      </c>
      <c r="AZ151" s="12">
        <v>18660000</v>
      </c>
    </row>
    <row r="152" spans="2:52" ht="15" thickBot="1" x14ac:dyDescent="0.35">
      <c r="B152" s="123">
        <v>44221</v>
      </c>
      <c r="C152" s="164">
        <v>-5.2664287535861519E-2</v>
      </c>
      <c r="D152" s="163">
        <f t="shared" si="10"/>
        <v>-2.0028987215534387E-2</v>
      </c>
      <c r="E152" s="163">
        <f t="shared" si="11"/>
        <v>-6.2270157092074827E-2</v>
      </c>
      <c r="F152" s="163">
        <f t="shared" si="12"/>
        <v>-7.5622922817127389E-2</v>
      </c>
      <c r="G152" s="163">
        <f t="shared" si="13"/>
        <v>-7.8958784261974085E-2</v>
      </c>
      <c r="H152" s="165">
        <f t="shared" si="14"/>
        <v>-5.9804705852075292E-2</v>
      </c>
      <c r="K152" s="123">
        <v>44221</v>
      </c>
      <c r="M152" s="151">
        <v>14477.799805000001</v>
      </c>
      <c r="N152" s="152">
        <v>14491.099609000001</v>
      </c>
      <c r="O152" s="152">
        <v>13596.75</v>
      </c>
      <c r="P152" s="152">
        <v>13634.599609000001</v>
      </c>
      <c r="Q152" s="153">
        <v>2670400</v>
      </c>
      <c r="T152" s="12">
        <v>987.75</v>
      </c>
      <c r="U152" s="12">
        <v>1008</v>
      </c>
      <c r="V152" s="12">
        <v>954.9</v>
      </c>
      <c r="W152" s="12">
        <v>961.4</v>
      </c>
      <c r="X152" s="12">
        <v>19540000</v>
      </c>
      <c r="AA152" s="12">
        <v>445.4</v>
      </c>
      <c r="AB152" s="12">
        <v>454.8</v>
      </c>
      <c r="AC152" s="12">
        <v>415.55</v>
      </c>
      <c r="AD152" s="12">
        <v>417.9</v>
      </c>
      <c r="AE152" s="12">
        <v>70060000</v>
      </c>
      <c r="AH152" s="12">
        <v>1000</v>
      </c>
      <c r="AI152" s="12">
        <v>1000</v>
      </c>
      <c r="AJ152" s="12">
        <v>909.45</v>
      </c>
      <c r="AK152" s="12">
        <v>914</v>
      </c>
      <c r="AL152" s="12">
        <v>31650000</v>
      </c>
      <c r="AO152" s="12">
        <v>1340.45</v>
      </c>
      <c r="AP152" s="12">
        <v>1347.9</v>
      </c>
      <c r="AQ152" s="12">
        <v>1231</v>
      </c>
      <c r="AR152" s="12">
        <v>1239.05</v>
      </c>
      <c r="AS152" s="12">
        <v>35050000</v>
      </c>
      <c r="AV152" s="12">
        <v>3295</v>
      </c>
      <c r="AW152" s="12">
        <v>3345.25</v>
      </c>
      <c r="AX152" s="12">
        <v>3100</v>
      </c>
      <c r="AY152" s="12">
        <v>3111.35</v>
      </c>
      <c r="AZ152" s="12">
        <v>14940000</v>
      </c>
    </row>
    <row r="153" spans="2:52" ht="15" thickBot="1" x14ac:dyDescent="0.35">
      <c r="B153" s="123">
        <v>44228</v>
      </c>
      <c r="C153" s="164">
        <v>9.0376755836515221E-2</v>
      </c>
      <c r="D153" s="163">
        <f t="shared" si="10"/>
        <v>-2.082466391896725E-3</v>
      </c>
      <c r="E153" s="163">
        <f t="shared" si="11"/>
        <v>1.8140280469100392E-2</v>
      </c>
      <c r="F153" s="163">
        <f t="shared" si="12"/>
        <v>3.4570547395909479E-2</v>
      </c>
      <c r="G153" s="163">
        <f t="shared" si="13"/>
        <v>2.632412122216796E-2</v>
      </c>
      <c r="H153" s="165">
        <f t="shared" si="14"/>
        <v>1.4866367297138708E-2</v>
      </c>
      <c r="K153" s="123">
        <v>44228</v>
      </c>
      <c r="M153" s="151">
        <v>13758.599609000001</v>
      </c>
      <c r="N153" s="152">
        <v>15014.650390999999</v>
      </c>
      <c r="O153" s="152">
        <v>13661.75</v>
      </c>
      <c r="P153" s="152">
        <v>14924.25</v>
      </c>
      <c r="Q153" s="153">
        <v>4475300</v>
      </c>
      <c r="T153" s="12">
        <v>965.65</v>
      </c>
      <c r="U153" s="12">
        <v>1000</v>
      </c>
      <c r="V153" s="12">
        <v>921.15</v>
      </c>
      <c r="W153" s="12">
        <v>959.4</v>
      </c>
      <c r="X153" s="12">
        <v>25320000</v>
      </c>
      <c r="AA153" s="12">
        <v>416.7</v>
      </c>
      <c r="AB153" s="12">
        <v>439.95</v>
      </c>
      <c r="AC153" s="12">
        <v>408.2</v>
      </c>
      <c r="AD153" s="12">
        <v>425.55</v>
      </c>
      <c r="AE153" s="12">
        <v>57460000</v>
      </c>
      <c r="AH153" s="12">
        <v>916</v>
      </c>
      <c r="AI153" s="12">
        <v>973.55</v>
      </c>
      <c r="AJ153" s="12">
        <v>896.1</v>
      </c>
      <c r="AK153" s="12">
        <v>946.15</v>
      </c>
      <c r="AL153" s="12">
        <v>33860000</v>
      </c>
      <c r="AO153" s="12">
        <v>1246</v>
      </c>
      <c r="AP153" s="12">
        <v>1304</v>
      </c>
      <c r="AQ153" s="12">
        <v>1157.5</v>
      </c>
      <c r="AR153" s="12">
        <v>1272.0999999999999</v>
      </c>
      <c r="AS153" s="12">
        <v>37200000</v>
      </c>
      <c r="AV153" s="12">
        <v>3104</v>
      </c>
      <c r="AW153" s="12">
        <v>3237.85</v>
      </c>
      <c r="AX153" s="12">
        <v>2900.05</v>
      </c>
      <c r="AY153" s="12">
        <v>3157.95</v>
      </c>
      <c r="AZ153" s="12">
        <v>14680000</v>
      </c>
    </row>
    <row r="154" spans="2:52" ht="15" thickBot="1" x14ac:dyDescent="0.35">
      <c r="B154" s="123">
        <v>44235</v>
      </c>
      <c r="C154" s="164">
        <v>1.5890615006304194E-2</v>
      </c>
      <c r="D154" s="163">
        <f t="shared" si="10"/>
        <v>3.2608241246969261E-2</v>
      </c>
      <c r="E154" s="163">
        <f t="shared" si="11"/>
        <v>3.7927432154728158E-2</v>
      </c>
      <c r="F154" s="163">
        <f t="shared" si="12"/>
        <v>1.4948745497038814E-2</v>
      </c>
      <c r="G154" s="163">
        <f t="shared" si="13"/>
        <v>2.9205375621788075E-2</v>
      </c>
      <c r="H154" s="165">
        <f t="shared" si="14"/>
        <v>1.0348586152300578E-2</v>
      </c>
      <c r="K154" s="123">
        <v>44235</v>
      </c>
      <c r="M154" s="151">
        <v>15064.299805000001</v>
      </c>
      <c r="N154" s="152">
        <v>15257.099609000001</v>
      </c>
      <c r="O154" s="152">
        <v>14977.200194999999</v>
      </c>
      <c r="P154" s="152">
        <v>15163.299805000001</v>
      </c>
      <c r="Q154" s="153">
        <v>3081200</v>
      </c>
      <c r="T154" s="12">
        <v>969.8</v>
      </c>
      <c r="U154" s="12">
        <v>1009</v>
      </c>
      <c r="V154" s="12">
        <v>957.6</v>
      </c>
      <c r="W154" s="12">
        <v>991.2</v>
      </c>
      <c r="X154" s="12">
        <v>18460000</v>
      </c>
      <c r="AA154" s="12">
        <v>430.35</v>
      </c>
      <c r="AB154" s="12">
        <v>451.75</v>
      </c>
      <c r="AC154" s="12">
        <v>426.3</v>
      </c>
      <c r="AD154" s="12">
        <v>442</v>
      </c>
      <c r="AE154" s="12">
        <v>84090000</v>
      </c>
      <c r="AH154" s="12">
        <v>955</v>
      </c>
      <c r="AI154" s="12">
        <v>986.5</v>
      </c>
      <c r="AJ154" s="12">
        <v>941.35</v>
      </c>
      <c r="AK154" s="12">
        <v>960.4</v>
      </c>
      <c r="AL154" s="12">
        <v>32720000</v>
      </c>
      <c r="AO154" s="12">
        <v>1277</v>
      </c>
      <c r="AP154" s="12">
        <v>1332</v>
      </c>
      <c r="AQ154" s="12">
        <v>1275.5</v>
      </c>
      <c r="AR154" s="12">
        <v>1309.8</v>
      </c>
      <c r="AS154" s="12">
        <v>32940000</v>
      </c>
      <c r="AV154" s="12">
        <v>3185.2</v>
      </c>
      <c r="AW154" s="12">
        <v>3245.8</v>
      </c>
      <c r="AX154" s="12">
        <v>3155.15</v>
      </c>
      <c r="AY154" s="12">
        <v>3190.8</v>
      </c>
      <c r="AZ154" s="12">
        <v>11680000</v>
      </c>
    </row>
    <row r="155" spans="2:52" ht="15" thickBot="1" x14ac:dyDescent="0.35">
      <c r="B155" s="123">
        <v>44242</v>
      </c>
      <c r="C155" s="164">
        <v>-1.2045228070280561E-2</v>
      </c>
      <c r="D155" s="163">
        <f t="shared" si="10"/>
        <v>2.7705732655976807E-3</v>
      </c>
      <c r="E155" s="163">
        <f t="shared" si="11"/>
        <v>-2.7640959220792616E-2</v>
      </c>
      <c r="F155" s="163">
        <f t="shared" si="12"/>
        <v>-1.072999747973153E-2</v>
      </c>
      <c r="G155" s="163">
        <f t="shared" si="13"/>
        <v>-1.4224990931347326E-2</v>
      </c>
      <c r="H155" s="165">
        <f t="shared" si="14"/>
        <v>-3.7991683086543382E-2</v>
      </c>
      <c r="K155" s="123">
        <v>44242</v>
      </c>
      <c r="M155" s="151">
        <v>15270.299805000001</v>
      </c>
      <c r="N155" s="152">
        <v>15431.75</v>
      </c>
      <c r="O155" s="152">
        <v>14898.200194999999</v>
      </c>
      <c r="P155" s="152">
        <v>14981.75</v>
      </c>
      <c r="Q155" s="153">
        <v>3092100</v>
      </c>
      <c r="T155" s="12">
        <v>996</v>
      </c>
      <c r="U155" s="12">
        <v>1019.2</v>
      </c>
      <c r="V155" s="12">
        <v>971.4</v>
      </c>
      <c r="W155" s="12">
        <v>993.95</v>
      </c>
      <c r="X155" s="12">
        <v>20810000</v>
      </c>
      <c r="AA155" s="12">
        <v>444.6</v>
      </c>
      <c r="AB155" s="12">
        <v>447.8</v>
      </c>
      <c r="AC155" s="12">
        <v>426.1</v>
      </c>
      <c r="AD155" s="12">
        <v>429.95</v>
      </c>
      <c r="AE155" s="12">
        <v>46350000</v>
      </c>
      <c r="AH155" s="12">
        <v>970</v>
      </c>
      <c r="AI155" s="12">
        <v>972</v>
      </c>
      <c r="AJ155" s="12">
        <v>938.35</v>
      </c>
      <c r="AK155" s="12">
        <v>950.15</v>
      </c>
      <c r="AL155" s="12">
        <v>23220000</v>
      </c>
      <c r="AO155" s="12">
        <v>1320</v>
      </c>
      <c r="AP155" s="12">
        <v>1328.5</v>
      </c>
      <c r="AQ155" s="12">
        <v>1275</v>
      </c>
      <c r="AR155" s="12">
        <v>1291.3</v>
      </c>
      <c r="AS155" s="12">
        <v>28640000</v>
      </c>
      <c r="AV155" s="12">
        <v>3209</v>
      </c>
      <c r="AW155" s="12">
        <v>3209</v>
      </c>
      <c r="AX155" s="12">
        <v>3016.15</v>
      </c>
      <c r="AY155" s="12">
        <v>3071.85</v>
      </c>
      <c r="AZ155" s="12">
        <v>18350000</v>
      </c>
    </row>
    <row r="156" spans="2:52" ht="15" thickBot="1" x14ac:dyDescent="0.35">
      <c r="B156" s="123">
        <v>44249</v>
      </c>
      <c r="C156" s="164">
        <v>-3.0675790569220172E-2</v>
      </c>
      <c r="D156" s="163">
        <f t="shared" si="10"/>
        <v>-7.8564015439096982E-2</v>
      </c>
      <c r="E156" s="163">
        <f t="shared" si="11"/>
        <v>-4.678032340876509E-2</v>
      </c>
      <c r="F156" s="163">
        <f t="shared" si="12"/>
        <v>-4.3779845681517174E-2</v>
      </c>
      <c r="G156" s="163">
        <f t="shared" si="13"/>
        <v>-2.9869390235129408E-2</v>
      </c>
      <c r="H156" s="165">
        <f t="shared" si="14"/>
        <v>-5.9536700381095112E-2</v>
      </c>
      <c r="K156" s="123">
        <v>44249</v>
      </c>
      <c r="M156" s="151">
        <v>14999.049805000001</v>
      </c>
      <c r="N156" s="152">
        <v>15176.5</v>
      </c>
      <c r="O156" s="152">
        <v>14467.75</v>
      </c>
      <c r="P156" s="152">
        <v>14529.150390999999</v>
      </c>
      <c r="Q156" s="153">
        <v>3665300</v>
      </c>
      <c r="T156" s="12">
        <v>1002.9</v>
      </c>
      <c r="U156" s="12">
        <v>1011</v>
      </c>
      <c r="V156" s="12">
        <v>915</v>
      </c>
      <c r="W156" s="12">
        <v>918.85</v>
      </c>
      <c r="X156" s="12">
        <v>22070000</v>
      </c>
      <c r="AA156" s="12">
        <v>430.2</v>
      </c>
      <c r="AB156" s="12">
        <v>457.05</v>
      </c>
      <c r="AC156" s="12">
        <v>408</v>
      </c>
      <c r="AD156" s="12">
        <v>410.3</v>
      </c>
      <c r="AE156" s="12">
        <v>48950000</v>
      </c>
      <c r="AH156" s="12">
        <v>952</v>
      </c>
      <c r="AI156" s="12">
        <v>965</v>
      </c>
      <c r="AJ156" s="12">
        <v>890</v>
      </c>
      <c r="AK156" s="12">
        <v>909.45</v>
      </c>
      <c r="AL156" s="12">
        <v>31820000</v>
      </c>
      <c r="AO156" s="12">
        <v>1293</v>
      </c>
      <c r="AP156" s="12">
        <v>1319</v>
      </c>
      <c r="AQ156" s="12">
        <v>1230</v>
      </c>
      <c r="AR156" s="12">
        <v>1253.3</v>
      </c>
      <c r="AS156" s="12">
        <v>46830000</v>
      </c>
      <c r="AV156" s="12">
        <v>3090</v>
      </c>
      <c r="AW156" s="12">
        <v>3096</v>
      </c>
      <c r="AX156" s="12">
        <v>2701</v>
      </c>
      <c r="AY156" s="12">
        <v>2894.3</v>
      </c>
      <c r="AZ156" s="12">
        <v>24550000</v>
      </c>
    </row>
    <row r="157" spans="2:52" ht="15" thickBot="1" x14ac:dyDescent="0.35">
      <c r="B157" s="123">
        <v>44256</v>
      </c>
      <c r="C157" s="164">
        <v>2.7757966947826982E-2</v>
      </c>
      <c r="D157" s="163">
        <f t="shared" si="10"/>
        <v>4.3497847482148591E-2</v>
      </c>
      <c r="E157" s="163">
        <f t="shared" si="11"/>
        <v>2.538787620944475E-2</v>
      </c>
      <c r="F157" s="163">
        <f t="shared" si="12"/>
        <v>3.4634326911357677E-2</v>
      </c>
      <c r="G157" s="163">
        <f t="shared" si="13"/>
        <v>4.9348533744821434E-2</v>
      </c>
      <c r="H157" s="165">
        <f t="shared" si="14"/>
        <v>3.8548742702670648E-2</v>
      </c>
      <c r="K157" s="123">
        <v>44256</v>
      </c>
      <c r="M157" s="151">
        <v>14702.5</v>
      </c>
      <c r="N157" s="152">
        <v>15273.150390999999</v>
      </c>
      <c r="O157" s="152">
        <v>14638.549805000001</v>
      </c>
      <c r="P157" s="152">
        <v>14938.099609000001</v>
      </c>
      <c r="Q157" s="153">
        <v>2848800</v>
      </c>
      <c r="T157" s="12">
        <v>935.45</v>
      </c>
      <c r="U157" s="12">
        <v>994.8</v>
      </c>
      <c r="V157" s="12">
        <v>926.35</v>
      </c>
      <c r="W157" s="12">
        <v>959.7</v>
      </c>
      <c r="X157" s="12">
        <v>18920000</v>
      </c>
      <c r="AA157" s="12">
        <v>411</v>
      </c>
      <c r="AB157" s="12">
        <v>444.3</v>
      </c>
      <c r="AC157" s="12">
        <v>409.2</v>
      </c>
      <c r="AD157" s="12">
        <v>420.85</v>
      </c>
      <c r="AE157" s="12">
        <v>92290000</v>
      </c>
      <c r="AH157" s="12">
        <v>916</v>
      </c>
      <c r="AI157" s="12">
        <v>972</v>
      </c>
      <c r="AJ157" s="12">
        <v>915.65</v>
      </c>
      <c r="AK157" s="12">
        <v>941.5</v>
      </c>
      <c r="AL157" s="12">
        <v>31680000</v>
      </c>
      <c r="AO157" s="12">
        <v>1263.3</v>
      </c>
      <c r="AP157" s="12">
        <v>1365</v>
      </c>
      <c r="AQ157" s="12">
        <v>1259</v>
      </c>
      <c r="AR157" s="12">
        <v>1316.7</v>
      </c>
      <c r="AS157" s="12">
        <v>46680000</v>
      </c>
      <c r="AV157" s="12">
        <v>2926</v>
      </c>
      <c r="AW157" s="12">
        <v>3081.55</v>
      </c>
      <c r="AX157" s="12">
        <v>2900</v>
      </c>
      <c r="AY157" s="12">
        <v>3008.05</v>
      </c>
      <c r="AZ157" s="12">
        <v>18220000</v>
      </c>
    </row>
    <row r="158" spans="2:52" ht="15" thickBot="1" x14ac:dyDescent="0.35">
      <c r="B158" s="123">
        <v>44263</v>
      </c>
      <c r="C158" s="164">
        <v>6.1964515857579755E-3</v>
      </c>
      <c r="D158" s="163">
        <f t="shared" si="10"/>
        <v>4.4379273523443973E-2</v>
      </c>
      <c r="E158" s="163">
        <f t="shared" si="11"/>
        <v>1.0283170810207676E-2</v>
      </c>
      <c r="F158" s="163">
        <f t="shared" si="12"/>
        <v>3.9312624448733534E-2</v>
      </c>
      <c r="G158" s="163">
        <f t="shared" si="13"/>
        <v>4.3216027878436689E-2</v>
      </c>
      <c r="H158" s="165">
        <f t="shared" si="14"/>
        <v>1.6452728527410278E-2</v>
      </c>
      <c r="K158" s="123">
        <v>44263</v>
      </c>
      <c r="M158" s="151">
        <v>15002.450194999999</v>
      </c>
      <c r="N158" s="152">
        <v>15336.299805000001</v>
      </c>
      <c r="O158" s="152">
        <v>14919.900390999999</v>
      </c>
      <c r="P158" s="152">
        <v>15030.950194999999</v>
      </c>
      <c r="Q158" s="153">
        <v>1573100</v>
      </c>
      <c r="T158" s="12">
        <v>975</v>
      </c>
      <c r="U158" s="12">
        <v>1024.5999999999999</v>
      </c>
      <c r="V158" s="12">
        <v>961.55</v>
      </c>
      <c r="W158" s="12">
        <v>1003.25</v>
      </c>
      <c r="X158" s="12">
        <v>16350000</v>
      </c>
      <c r="AA158" s="12">
        <v>425.8</v>
      </c>
      <c r="AB158" s="12">
        <v>432.8</v>
      </c>
      <c r="AC158" s="12">
        <v>410.05</v>
      </c>
      <c r="AD158" s="12">
        <v>425.2</v>
      </c>
      <c r="AE158" s="12">
        <v>52020000</v>
      </c>
      <c r="AH158" s="12">
        <v>951.15</v>
      </c>
      <c r="AI158" s="12">
        <v>1002.8</v>
      </c>
      <c r="AJ158" s="12">
        <v>944</v>
      </c>
      <c r="AK158" s="12">
        <v>979.25</v>
      </c>
      <c r="AL158" s="12">
        <v>26610000</v>
      </c>
      <c r="AO158" s="12">
        <v>1324.6</v>
      </c>
      <c r="AP158" s="12">
        <v>1391.7</v>
      </c>
      <c r="AQ158" s="12">
        <v>1317.2</v>
      </c>
      <c r="AR158" s="12">
        <v>1374.85</v>
      </c>
      <c r="AS158" s="12">
        <v>30430000</v>
      </c>
      <c r="AV158" s="12">
        <v>3039</v>
      </c>
      <c r="AW158" s="12">
        <v>3117</v>
      </c>
      <c r="AX158" s="12">
        <v>2992.1</v>
      </c>
      <c r="AY158" s="12">
        <v>3057.95</v>
      </c>
      <c r="AZ158" s="12">
        <v>10280000</v>
      </c>
    </row>
    <row r="159" spans="2:52" ht="15" thickBot="1" x14ac:dyDescent="0.35">
      <c r="B159" s="123">
        <v>44270</v>
      </c>
      <c r="C159" s="164">
        <v>-1.9275201292613956E-2</v>
      </c>
      <c r="D159" s="163">
        <f t="shared" si="10"/>
        <v>-1.385077595211345E-2</v>
      </c>
      <c r="E159" s="163">
        <f t="shared" si="11"/>
        <v>-3.5183717575309907E-2</v>
      </c>
      <c r="F159" s="163">
        <f t="shared" si="12"/>
        <v>-1.9385047913019763E-2</v>
      </c>
      <c r="G159" s="163">
        <f t="shared" si="13"/>
        <v>-2.2359626769254258E-2</v>
      </c>
      <c r="H159" s="165">
        <f t="shared" si="14"/>
        <v>-2.5375945773335137E-3</v>
      </c>
      <c r="K159" s="123">
        <v>44270</v>
      </c>
      <c r="M159" s="151">
        <v>15048.400390999999</v>
      </c>
      <c r="N159" s="152">
        <v>15051.599609000001</v>
      </c>
      <c r="O159" s="152">
        <v>14350.099609000001</v>
      </c>
      <c r="P159" s="152">
        <v>14744</v>
      </c>
      <c r="Q159" s="153">
        <v>1929100</v>
      </c>
      <c r="T159" s="12">
        <v>1007</v>
      </c>
      <c r="U159" s="12">
        <v>1045</v>
      </c>
      <c r="V159" s="12">
        <v>975.15</v>
      </c>
      <c r="W159" s="12">
        <v>989.45</v>
      </c>
      <c r="X159" s="12">
        <v>24400000</v>
      </c>
      <c r="AA159" s="12">
        <v>425</v>
      </c>
      <c r="AB159" s="12">
        <v>435.5</v>
      </c>
      <c r="AC159" s="12">
        <v>399.45</v>
      </c>
      <c r="AD159" s="12">
        <v>410.5</v>
      </c>
      <c r="AE159" s="12">
        <v>59930000</v>
      </c>
      <c r="AH159" s="12">
        <v>951.15</v>
      </c>
      <c r="AI159" s="12">
        <v>1023.9</v>
      </c>
      <c r="AJ159" s="12">
        <v>932.3</v>
      </c>
      <c r="AK159" s="12">
        <v>960.45</v>
      </c>
      <c r="AL159" s="12">
        <v>40110000</v>
      </c>
      <c r="AO159" s="12">
        <v>1370</v>
      </c>
      <c r="AP159" s="12">
        <v>1406.25</v>
      </c>
      <c r="AQ159" s="12">
        <v>1313.5</v>
      </c>
      <c r="AR159" s="12">
        <v>1344.45</v>
      </c>
      <c r="AS159" s="12">
        <v>48980000</v>
      </c>
      <c r="AV159" s="12">
        <v>3054</v>
      </c>
      <c r="AW159" s="12">
        <v>3156.75</v>
      </c>
      <c r="AX159" s="12">
        <v>2986.3</v>
      </c>
      <c r="AY159" s="12">
        <v>3050.2</v>
      </c>
      <c r="AZ159" s="12">
        <v>22170000</v>
      </c>
    </row>
    <row r="160" spans="2:52" ht="15" thickBot="1" x14ac:dyDescent="0.35">
      <c r="B160" s="123">
        <v>44277</v>
      </c>
      <c r="C160" s="164">
        <v>-1.6184262794204766E-2</v>
      </c>
      <c r="D160" s="163">
        <f t="shared" si="10"/>
        <v>1.5653011350752497E-3</v>
      </c>
      <c r="E160" s="163">
        <f t="shared" si="11"/>
        <v>-1.6208606323115774E-2</v>
      </c>
      <c r="F160" s="163">
        <f t="shared" si="12"/>
        <v>-1.980198666862565E-3</v>
      </c>
      <c r="G160" s="163">
        <f t="shared" si="13"/>
        <v>-6.1552429801034828E-3</v>
      </c>
      <c r="H160" s="165">
        <f t="shared" si="14"/>
        <v>5.4275104626560359E-3</v>
      </c>
      <c r="K160" s="123">
        <v>44277</v>
      </c>
      <c r="M160" s="151">
        <v>14736.299805000001</v>
      </c>
      <c r="N160" s="152">
        <v>14878.599609000001</v>
      </c>
      <c r="O160" s="152">
        <v>14264.400390999999</v>
      </c>
      <c r="P160" s="152">
        <v>14507.299805000001</v>
      </c>
      <c r="Q160" s="153">
        <v>2477400</v>
      </c>
      <c r="T160" s="12">
        <v>992</v>
      </c>
      <c r="U160" s="12">
        <v>1021.5</v>
      </c>
      <c r="V160" s="12">
        <v>964.05</v>
      </c>
      <c r="W160" s="12">
        <v>991</v>
      </c>
      <c r="X160" s="12">
        <v>18040000</v>
      </c>
      <c r="AA160" s="12">
        <v>410.6</v>
      </c>
      <c r="AB160" s="12">
        <v>423.4</v>
      </c>
      <c r="AC160" s="12">
        <v>397.75</v>
      </c>
      <c r="AD160" s="12">
        <v>403.9</v>
      </c>
      <c r="AE160" s="12">
        <v>46690000</v>
      </c>
      <c r="AH160" s="12">
        <v>961</v>
      </c>
      <c r="AI160" s="12">
        <v>993</v>
      </c>
      <c r="AJ160" s="12">
        <v>941.4</v>
      </c>
      <c r="AK160" s="12">
        <v>958.55</v>
      </c>
      <c r="AL160" s="12">
        <v>24270000</v>
      </c>
      <c r="AO160" s="12">
        <v>1350</v>
      </c>
      <c r="AP160" s="12">
        <v>1383.3</v>
      </c>
      <c r="AQ160" s="12">
        <v>1327.6</v>
      </c>
      <c r="AR160" s="12">
        <v>1336.2</v>
      </c>
      <c r="AS160" s="12">
        <v>32720000</v>
      </c>
      <c r="AV160" s="12">
        <v>3060</v>
      </c>
      <c r="AW160" s="12">
        <v>3169</v>
      </c>
      <c r="AX160" s="12">
        <v>3018.05</v>
      </c>
      <c r="AY160" s="12">
        <v>3066.8</v>
      </c>
      <c r="AZ160" s="12">
        <v>15630000</v>
      </c>
    </row>
    <row r="161" spans="2:52" ht="15" thickBot="1" x14ac:dyDescent="0.35">
      <c r="B161" s="123">
        <v>44284</v>
      </c>
      <c r="C161" s="164">
        <v>2.4515549554593962E-2</v>
      </c>
      <c r="D161" s="163">
        <f t="shared" si="10"/>
        <v>1.1597712012731199E-3</v>
      </c>
      <c r="E161" s="163">
        <f t="shared" si="11"/>
        <v>3.0479014171446661E-2</v>
      </c>
      <c r="F161" s="163">
        <f t="shared" si="12"/>
        <v>4.4930178863344661E-2</v>
      </c>
      <c r="G161" s="163">
        <f t="shared" si="13"/>
        <v>3.6014769036889854E-2</v>
      </c>
      <c r="H161" s="165">
        <f t="shared" si="14"/>
        <v>3.1518382893537165E-2</v>
      </c>
      <c r="K161" s="123">
        <v>44284</v>
      </c>
      <c r="M161" s="151">
        <v>14628.5</v>
      </c>
      <c r="N161" s="152">
        <v>14883.200194999999</v>
      </c>
      <c r="O161" s="152">
        <v>14617.599609000001</v>
      </c>
      <c r="P161" s="152">
        <v>14867.349609000001</v>
      </c>
      <c r="Q161" s="153">
        <v>1503400</v>
      </c>
      <c r="T161" s="12">
        <v>1000</v>
      </c>
      <c r="U161" s="12">
        <v>1024.45</v>
      </c>
      <c r="V161" s="12">
        <v>986</v>
      </c>
      <c r="W161" s="12">
        <v>992.15</v>
      </c>
      <c r="X161" s="12">
        <v>12280000</v>
      </c>
      <c r="AA161" s="12">
        <v>405</v>
      </c>
      <c r="AB161" s="12">
        <v>422.85</v>
      </c>
      <c r="AC161" s="12">
        <v>405</v>
      </c>
      <c r="AD161" s="12">
        <v>416.4</v>
      </c>
      <c r="AE161" s="12">
        <v>29170000</v>
      </c>
      <c r="AH161" s="12">
        <v>964</v>
      </c>
      <c r="AI161" s="12">
        <v>1013.5</v>
      </c>
      <c r="AJ161" s="12">
        <v>963.2</v>
      </c>
      <c r="AK161" s="12">
        <v>1002.6</v>
      </c>
      <c r="AL161" s="12">
        <v>16170000</v>
      </c>
      <c r="AO161" s="12">
        <v>1340</v>
      </c>
      <c r="AP161" s="12">
        <v>1400</v>
      </c>
      <c r="AQ161" s="12">
        <v>1336</v>
      </c>
      <c r="AR161" s="12">
        <v>1385.2</v>
      </c>
      <c r="AS161" s="12">
        <v>25400000</v>
      </c>
      <c r="AV161" s="12">
        <v>3080</v>
      </c>
      <c r="AW161" s="12">
        <v>3215.7</v>
      </c>
      <c r="AX161" s="12">
        <v>3059.85</v>
      </c>
      <c r="AY161" s="12">
        <v>3165</v>
      </c>
      <c r="AZ161" s="12">
        <v>13020000</v>
      </c>
    </row>
    <row r="162" spans="2:52" ht="15" thickBot="1" x14ac:dyDescent="0.35">
      <c r="B162" s="123">
        <v>44291</v>
      </c>
      <c r="C162" s="164">
        <v>-2.188391016558865E-3</v>
      </c>
      <c r="D162" s="163">
        <f t="shared" si="10"/>
        <v>5.9524206602714409E-2</v>
      </c>
      <c r="E162" s="163">
        <f t="shared" si="11"/>
        <v>7.782344355807326E-2</v>
      </c>
      <c r="F162" s="163">
        <f t="shared" si="12"/>
        <v>4.180296144941853E-2</v>
      </c>
      <c r="G162" s="163">
        <f t="shared" si="13"/>
        <v>3.9527480995590253E-2</v>
      </c>
      <c r="H162" s="165">
        <f t="shared" si="14"/>
        <v>4.8489208633340629E-2</v>
      </c>
      <c r="K162" s="123">
        <v>44291</v>
      </c>
      <c r="M162" s="151">
        <v>14837.700194999999</v>
      </c>
      <c r="N162" s="152">
        <v>14984.150390999999</v>
      </c>
      <c r="O162" s="152">
        <v>14459.5</v>
      </c>
      <c r="P162" s="152">
        <v>14834.849609000001</v>
      </c>
      <c r="Q162" s="153">
        <v>2003900</v>
      </c>
      <c r="T162" s="12">
        <v>991.75</v>
      </c>
      <c r="U162" s="12">
        <v>1057.05</v>
      </c>
      <c r="V162" s="12">
        <v>978.2</v>
      </c>
      <c r="W162" s="12">
        <v>1053</v>
      </c>
      <c r="X162" s="12">
        <v>24550000</v>
      </c>
      <c r="AA162" s="12">
        <v>418.8</v>
      </c>
      <c r="AB162" s="12">
        <v>452</v>
      </c>
      <c r="AC162" s="12">
        <v>416.2</v>
      </c>
      <c r="AD162" s="12">
        <v>450.1</v>
      </c>
      <c r="AE162" s="12">
        <v>71270000</v>
      </c>
      <c r="AH162" s="12">
        <v>1005</v>
      </c>
      <c r="AI162" s="12">
        <v>1054.9000000000001</v>
      </c>
      <c r="AJ162" s="12">
        <v>1002.6</v>
      </c>
      <c r="AK162" s="12">
        <v>1045.4000000000001</v>
      </c>
      <c r="AL162" s="12">
        <v>27430000</v>
      </c>
      <c r="AO162" s="12">
        <v>1389.8</v>
      </c>
      <c r="AP162" s="12">
        <v>1455</v>
      </c>
      <c r="AQ162" s="12">
        <v>1385</v>
      </c>
      <c r="AR162" s="12">
        <v>1441.05</v>
      </c>
      <c r="AS162" s="12">
        <v>36300000</v>
      </c>
      <c r="AV162" s="12">
        <v>3171</v>
      </c>
      <c r="AW162" s="12">
        <v>3358.8</v>
      </c>
      <c r="AX162" s="12">
        <v>3151</v>
      </c>
      <c r="AY162" s="12">
        <v>3322.25</v>
      </c>
      <c r="AZ162" s="12">
        <v>16940000</v>
      </c>
    </row>
    <row r="163" spans="2:52" ht="15" thickBot="1" x14ac:dyDescent="0.35">
      <c r="B163" s="123">
        <v>44298</v>
      </c>
      <c r="C163" s="164">
        <v>-1.4735758175578291E-2</v>
      </c>
      <c r="D163" s="163">
        <f t="shared" si="10"/>
        <v>-4.1395916700288998E-2</v>
      </c>
      <c r="E163" s="163">
        <f t="shared" si="11"/>
        <v>4.1559336480433209E-2</v>
      </c>
      <c r="F163" s="163">
        <f t="shared" si="12"/>
        <v>-3.1730184196021576E-2</v>
      </c>
      <c r="G163" s="163">
        <f t="shared" si="13"/>
        <v>-6.2493495208656866E-2</v>
      </c>
      <c r="H163" s="165">
        <f t="shared" si="14"/>
        <v>-3.900822914521395E-2</v>
      </c>
      <c r="K163" s="123">
        <v>44298</v>
      </c>
      <c r="M163" s="151">
        <v>14644.650390999999</v>
      </c>
      <c r="N163" s="152">
        <v>14697.700194999999</v>
      </c>
      <c r="O163" s="152">
        <v>14248.700194999999</v>
      </c>
      <c r="P163" s="152">
        <v>14617.849609000001</v>
      </c>
      <c r="Q163" s="153">
        <v>2400500</v>
      </c>
      <c r="T163" s="12">
        <v>1054</v>
      </c>
      <c r="U163" s="12">
        <v>1059.05</v>
      </c>
      <c r="V163" s="12">
        <v>970.3</v>
      </c>
      <c r="W163" s="12">
        <v>1010.3</v>
      </c>
      <c r="X163" s="12">
        <v>22180000</v>
      </c>
      <c r="AA163" s="12">
        <v>450</v>
      </c>
      <c r="AB163" s="12">
        <v>473.65</v>
      </c>
      <c r="AC163" s="12">
        <v>412.6</v>
      </c>
      <c r="AD163" s="12">
        <v>469.2</v>
      </c>
      <c r="AE163" s="12">
        <v>178840000</v>
      </c>
      <c r="AH163" s="12">
        <v>1043</v>
      </c>
      <c r="AI163" s="12">
        <v>1043</v>
      </c>
      <c r="AJ163" s="12">
        <v>958.75</v>
      </c>
      <c r="AK163" s="12">
        <v>1012.75</v>
      </c>
      <c r="AL163" s="12">
        <v>26740000</v>
      </c>
      <c r="AO163" s="12">
        <v>1480</v>
      </c>
      <c r="AP163" s="12">
        <v>1480</v>
      </c>
      <c r="AQ163" s="12">
        <v>1320</v>
      </c>
      <c r="AR163" s="12">
        <v>1353.75</v>
      </c>
      <c r="AS163" s="12">
        <v>75670000</v>
      </c>
      <c r="AV163" s="12">
        <v>3330</v>
      </c>
      <c r="AW163" s="12">
        <v>3343.9</v>
      </c>
      <c r="AX163" s="12">
        <v>3073.05</v>
      </c>
      <c r="AY163" s="12">
        <v>3195.15</v>
      </c>
      <c r="AZ163" s="12">
        <v>22910000</v>
      </c>
    </row>
    <row r="164" spans="2:52" ht="15" thickBot="1" x14ac:dyDescent="0.35">
      <c r="B164" s="123">
        <v>44305</v>
      </c>
      <c r="C164" s="164">
        <v>-1.9096412199811372E-2</v>
      </c>
      <c r="D164" s="163">
        <f t="shared" si="10"/>
        <v>-6.1330106680865554E-2</v>
      </c>
      <c r="E164" s="163">
        <f t="shared" si="11"/>
        <v>1.375828665891537E-2</v>
      </c>
      <c r="F164" s="163">
        <f t="shared" si="12"/>
        <v>-5.8032944852193041E-2</v>
      </c>
      <c r="G164" s="163">
        <f t="shared" si="13"/>
        <v>-1.4846508116994473E-2</v>
      </c>
      <c r="H164" s="165">
        <f t="shared" si="14"/>
        <v>-2.7172093522459147E-2</v>
      </c>
      <c r="K164" s="123">
        <v>44305</v>
      </c>
      <c r="M164" s="151">
        <v>14306.599609000001</v>
      </c>
      <c r="N164" s="152">
        <v>14526.950194999999</v>
      </c>
      <c r="O164" s="152">
        <v>14151.400390999999</v>
      </c>
      <c r="P164" s="152">
        <v>14341.349609000001</v>
      </c>
      <c r="Q164" s="153">
        <v>2002400</v>
      </c>
      <c r="T164" s="12">
        <v>1001.6</v>
      </c>
      <c r="U164" s="12">
        <v>1009.45</v>
      </c>
      <c r="V164" s="12">
        <v>945.4</v>
      </c>
      <c r="W164" s="12">
        <v>950.2</v>
      </c>
      <c r="X164" s="12">
        <v>17090000</v>
      </c>
      <c r="AA164" s="12">
        <v>463.2</v>
      </c>
      <c r="AB164" s="12">
        <v>494.5</v>
      </c>
      <c r="AC164" s="12">
        <v>460.8</v>
      </c>
      <c r="AD164" s="12">
        <v>475.7</v>
      </c>
      <c r="AE164" s="12">
        <v>122640000</v>
      </c>
      <c r="AH164" s="12">
        <v>984.6</v>
      </c>
      <c r="AI164" s="12">
        <v>1028.45</v>
      </c>
      <c r="AJ164" s="12">
        <v>950.15</v>
      </c>
      <c r="AK164" s="12">
        <v>955.65</v>
      </c>
      <c r="AL164" s="12">
        <v>28410000</v>
      </c>
      <c r="AO164" s="12">
        <v>1344</v>
      </c>
      <c r="AP164" s="12">
        <v>1379.7</v>
      </c>
      <c r="AQ164" s="12">
        <v>1331</v>
      </c>
      <c r="AR164" s="12">
        <v>1333.8</v>
      </c>
      <c r="AS164" s="12">
        <v>36680000</v>
      </c>
      <c r="AV164" s="12">
        <v>3193.3</v>
      </c>
      <c r="AW164" s="12">
        <v>3225.35</v>
      </c>
      <c r="AX164" s="12">
        <v>3091.05</v>
      </c>
      <c r="AY164" s="12">
        <v>3109.5</v>
      </c>
      <c r="AZ164" s="12">
        <v>9860000</v>
      </c>
    </row>
    <row r="165" spans="2:52" ht="15" thickBot="1" x14ac:dyDescent="0.35">
      <c r="B165" s="123">
        <v>44312</v>
      </c>
      <c r="C165" s="164">
        <v>2.0002427715624632E-2</v>
      </c>
      <c r="D165" s="163">
        <f t="shared" si="10"/>
        <v>1.0677375594277047E-2</v>
      </c>
      <c r="E165" s="163">
        <f t="shared" si="11"/>
        <v>3.5214542594593841E-2</v>
      </c>
      <c r="F165" s="163">
        <f t="shared" si="12"/>
        <v>-6.1164321658302857E-2</v>
      </c>
      <c r="G165" s="163">
        <f t="shared" si="13"/>
        <v>1.5289623223392043E-2</v>
      </c>
      <c r="H165" s="165">
        <f t="shared" si="14"/>
        <v>-2.4036371941507158E-2</v>
      </c>
      <c r="K165" s="123">
        <v>44312</v>
      </c>
      <c r="M165" s="151">
        <v>14449.450194999999</v>
      </c>
      <c r="N165" s="152">
        <v>15044.349609000001</v>
      </c>
      <c r="O165" s="152">
        <v>14421.299805000001</v>
      </c>
      <c r="P165" s="152">
        <v>14631.099609000001</v>
      </c>
      <c r="Q165" s="153">
        <v>2492900</v>
      </c>
      <c r="T165" s="12">
        <v>951</v>
      </c>
      <c r="U165" s="12">
        <v>987.6</v>
      </c>
      <c r="V165" s="12">
        <v>936.85</v>
      </c>
      <c r="W165" s="12">
        <v>960.4</v>
      </c>
      <c r="X165" s="12">
        <v>25400000</v>
      </c>
      <c r="AA165" s="12">
        <v>478.1</v>
      </c>
      <c r="AB165" s="12">
        <v>511.95</v>
      </c>
      <c r="AC165" s="12">
        <v>477</v>
      </c>
      <c r="AD165" s="12">
        <v>492.75</v>
      </c>
      <c r="AE165" s="12">
        <v>65730000</v>
      </c>
      <c r="AH165" s="12">
        <v>940</v>
      </c>
      <c r="AI165" s="12">
        <v>954.5</v>
      </c>
      <c r="AJ165" s="12">
        <v>895.4</v>
      </c>
      <c r="AK165" s="12">
        <v>898.95</v>
      </c>
      <c r="AL165" s="12">
        <v>54710000</v>
      </c>
      <c r="AO165" s="12">
        <v>1332.25</v>
      </c>
      <c r="AP165" s="12">
        <v>1373.9</v>
      </c>
      <c r="AQ165" s="12">
        <v>1321</v>
      </c>
      <c r="AR165" s="12">
        <v>1354.35</v>
      </c>
      <c r="AS165" s="12">
        <v>30280000</v>
      </c>
      <c r="AV165" s="12">
        <v>3102.05</v>
      </c>
      <c r="AW165" s="12">
        <v>3157.35</v>
      </c>
      <c r="AX165" s="12">
        <v>3020</v>
      </c>
      <c r="AY165" s="12">
        <v>3035.65</v>
      </c>
      <c r="AZ165" s="12">
        <v>10610000</v>
      </c>
    </row>
    <row r="166" spans="2:52" ht="15" thickBot="1" x14ac:dyDescent="0.35">
      <c r="B166" s="123">
        <v>44319</v>
      </c>
      <c r="C166" s="164">
        <v>1.3040800815619745E-2</v>
      </c>
      <c r="D166" s="163">
        <f t="shared" si="10"/>
        <v>2.1171625519739716E-2</v>
      </c>
      <c r="E166" s="163">
        <f t="shared" si="11"/>
        <v>4.465027373773893E-2</v>
      </c>
      <c r="F166" s="163">
        <f t="shared" si="12"/>
        <v>1.922553500703636E-2</v>
      </c>
      <c r="G166" s="163">
        <f t="shared" si="13"/>
        <v>-1.3299348075725022E-3</v>
      </c>
      <c r="H166" s="165">
        <f t="shared" si="14"/>
        <v>3.1533523551175786E-2</v>
      </c>
      <c r="K166" s="123">
        <v>44319</v>
      </c>
      <c r="M166" s="151">
        <v>14481.049805000001</v>
      </c>
      <c r="N166" s="152">
        <v>14863.049805000001</v>
      </c>
      <c r="O166" s="152">
        <v>14416.25</v>
      </c>
      <c r="P166" s="152">
        <v>14823.150390999999</v>
      </c>
      <c r="Q166" s="153">
        <v>2364000</v>
      </c>
      <c r="T166" s="12">
        <v>960</v>
      </c>
      <c r="U166" s="12">
        <v>984.7</v>
      </c>
      <c r="V166" s="12">
        <v>953.75</v>
      </c>
      <c r="W166" s="12">
        <v>980.95</v>
      </c>
      <c r="X166" s="12">
        <v>17950000</v>
      </c>
      <c r="AA166" s="12">
        <v>492.4</v>
      </c>
      <c r="AB166" s="12">
        <v>516.54999999999995</v>
      </c>
      <c r="AC166" s="12">
        <v>477.8</v>
      </c>
      <c r="AD166" s="12">
        <v>515.25</v>
      </c>
      <c r="AE166" s="12">
        <v>70840000</v>
      </c>
      <c r="AH166" s="12">
        <v>899.5</v>
      </c>
      <c r="AI166" s="12">
        <v>923.9</v>
      </c>
      <c r="AJ166" s="12">
        <v>891</v>
      </c>
      <c r="AK166" s="12">
        <v>916.4</v>
      </c>
      <c r="AL166" s="12">
        <v>26960000</v>
      </c>
      <c r="AO166" s="12">
        <v>1342</v>
      </c>
      <c r="AP166" s="12">
        <v>1373.05</v>
      </c>
      <c r="AQ166" s="12">
        <v>1324.1</v>
      </c>
      <c r="AR166" s="12">
        <v>1352.55</v>
      </c>
      <c r="AS166" s="12">
        <v>23990000</v>
      </c>
      <c r="AV166" s="12">
        <v>3034.7</v>
      </c>
      <c r="AW166" s="12">
        <v>3160</v>
      </c>
      <c r="AX166" s="12">
        <v>3004</v>
      </c>
      <c r="AY166" s="12">
        <v>3132.9</v>
      </c>
      <c r="AZ166" s="12">
        <v>9690000</v>
      </c>
    </row>
    <row r="167" spans="2:52" ht="15" thickBot="1" x14ac:dyDescent="0.35">
      <c r="B167" s="123">
        <v>44326</v>
      </c>
      <c r="C167" s="164">
        <v>-9.8540393571207672E-3</v>
      </c>
      <c r="D167" s="163">
        <f t="shared" si="10"/>
        <v>-2.9746393106419404E-2</v>
      </c>
      <c r="E167" s="163">
        <f t="shared" si="11"/>
        <v>-3.3148936301855406E-2</v>
      </c>
      <c r="F167" s="163">
        <f t="shared" si="12"/>
        <v>-6.623809629366509E-3</v>
      </c>
      <c r="G167" s="163">
        <f t="shared" si="13"/>
        <v>-2.7090961544840361E-2</v>
      </c>
      <c r="H167" s="165">
        <f t="shared" si="14"/>
        <v>-2.6325820169063006E-2</v>
      </c>
      <c r="K167" s="123">
        <v>44326</v>
      </c>
      <c r="M167" s="151">
        <v>14928.25</v>
      </c>
      <c r="N167" s="152">
        <v>14966.900390999999</v>
      </c>
      <c r="O167" s="152">
        <v>14591.900390999999</v>
      </c>
      <c r="P167" s="152">
        <v>14677.799805000001</v>
      </c>
      <c r="Q167" s="153">
        <v>2433900</v>
      </c>
      <c r="T167" s="12">
        <v>985</v>
      </c>
      <c r="U167" s="12">
        <v>993.25</v>
      </c>
      <c r="V167" s="12">
        <v>941.4</v>
      </c>
      <c r="W167" s="12">
        <v>952.2</v>
      </c>
      <c r="X167" s="12">
        <v>9600000</v>
      </c>
      <c r="AA167" s="12">
        <v>517.6</v>
      </c>
      <c r="AB167" s="12">
        <v>528.5</v>
      </c>
      <c r="AC167" s="12">
        <v>492.75</v>
      </c>
      <c r="AD167" s="12">
        <v>498.45</v>
      </c>
      <c r="AE167" s="12">
        <v>36460000</v>
      </c>
      <c r="AH167" s="12">
        <v>918.05</v>
      </c>
      <c r="AI167" s="12">
        <v>921.6</v>
      </c>
      <c r="AJ167" s="12">
        <v>895</v>
      </c>
      <c r="AK167" s="12">
        <v>910.35</v>
      </c>
      <c r="AL167" s="12">
        <v>18110000</v>
      </c>
      <c r="AO167" s="12">
        <v>1349.85</v>
      </c>
      <c r="AP167" s="12">
        <v>1355</v>
      </c>
      <c r="AQ167" s="12">
        <v>1311.3</v>
      </c>
      <c r="AR167" s="12">
        <v>1316.4</v>
      </c>
      <c r="AS167" s="12">
        <v>25580000</v>
      </c>
      <c r="AV167" s="12">
        <v>3145.95</v>
      </c>
      <c r="AW167" s="12">
        <v>3164.2</v>
      </c>
      <c r="AX167" s="12">
        <v>3040</v>
      </c>
      <c r="AY167" s="12">
        <v>3051.5</v>
      </c>
      <c r="AZ167" s="12">
        <v>8800000</v>
      </c>
    </row>
    <row r="168" spans="2:52" ht="15" thickBot="1" x14ac:dyDescent="0.35">
      <c r="B168" s="123">
        <v>44333</v>
      </c>
      <c r="C168" s="164">
        <v>3.333295834773195E-2</v>
      </c>
      <c r="D168" s="163">
        <f t="shared" si="10"/>
        <v>2.9287548875982436E-2</v>
      </c>
      <c r="E168" s="163">
        <f t="shared" si="11"/>
        <v>2.8187595320941974E-2</v>
      </c>
      <c r="F168" s="163">
        <f t="shared" si="12"/>
        <v>2.2054125794368218E-2</v>
      </c>
      <c r="G168" s="163">
        <f t="shared" si="13"/>
        <v>2.8531644455964962E-2</v>
      </c>
      <c r="H168" s="165">
        <f t="shared" si="14"/>
        <v>9.4586484700757596E-3</v>
      </c>
      <c r="K168" s="123">
        <v>44333</v>
      </c>
      <c r="M168" s="151">
        <v>14756.25</v>
      </c>
      <c r="N168" s="152">
        <v>15190</v>
      </c>
      <c r="O168" s="152">
        <v>14725.349609000001</v>
      </c>
      <c r="P168" s="152">
        <v>15175.299805000001</v>
      </c>
      <c r="Q168" s="153">
        <v>2752600</v>
      </c>
      <c r="T168" s="12">
        <v>954</v>
      </c>
      <c r="U168" s="12">
        <v>986.3</v>
      </c>
      <c r="V168" s="12">
        <v>943</v>
      </c>
      <c r="W168" s="12">
        <v>980.5</v>
      </c>
      <c r="X168" s="12">
        <v>10330000</v>
      </c>
      <c r="AA168" s="12">
        <v>498.45</v>
      </c>
      <c r="AB168" s="12">
        <v>517.79999999999995</v>
      </c>
      <c r="AC168" s="12">
        <v>495</v>
      </c>
      <c r="AD168" s="12">
        <v>512.70000000000005</v>
      </c>
      <c r="AE168" s="12">
        <v>35320000</v>
      </c>
      <c r="AH168" s="12">
        <v>914.6</v>
      </c>
      <c r="AI168" s="12">
        <v>941.4</v>
      </c>
      <c r="AJ168" s="12">
        <v>910.1</v>
      </c>
      <c r="AK168" s="12">
        <v>930.65</v>
      </c>
      <c r="AL168" s="12">
        <v>28370000</v>
      </c>
      <c r="AO168" s="12">
        <v>1320.3</v>
      </c>
      <c r="AP168" s="12">
        <v>1357.5</v>
      </c>
      <c r="AQ168" s="12">
        <v>1319.7</v>
      </c>
      <c r="AR168" s="12">
        <v>1354.5</v>
      </c>
      <c r="AS168" s="12">
        <v>26770000</v>
      </c>
      <c r="AV168" s="12">
        <v>3055</v>
      </c>
      <c r="AW168" s="12">
        <v>3124</v>
      </c>
      <c r="AX168" s="12">
        <v>3035.65</v>
      </c>
      <c r="AY168" s="12">
        <v>3080.5</v>
      </c>
      <c r="AZ168" s="12">
        <v>11300000</v>
      </c>
    </row>
    <row r="169" spans="2:52" ht="15" thickBot="1" x14ac:dyDescent="0.35">
      <c r="B169" s="123">
        <v>44340</v>
      </c>
      <c r="C169" s="164">
        <v>1.7010701223514245E-2</v>
      </c>
      <c r="D169" s="163">
        <f t="shared" si="10"/>
        <v>4.5604015130236999E-2</v>
      </c>
      <c r="E169" s="163">
        <f t="shared" si="11"/>
        <v>4.9467950896833215E-2</v>
      </c>
      <c r="F169" s="163">
        <f t="shared" si="12"/>
        <v>1.2705701568578972E-2</v>
      </c>
      <c r="G169" s="163">
        <f t="shared" si="13"/>
        <v>3.6640506798099458E-2</v>
      </c>
      <c r="H169" s="165">
        <f t="shared" si="14"/>
        <v>2.0276718537394531E-2</v>
      </c>
      <c r="K169" s="123">
        <v>44340</v>
      </c>
      <c r="M169" s="151">
        <v>15211.349609000001</v>
      </c>
      <c r="N169" s="152">
        <v>15469.650390999999</v>
      </c>
      <c r="O169" s="152">
        <v>15145.450194999999</v>
      </c>
      <c r="P169" s="152">
        <v>15435.650390999999</v>
      </c>
      <c r="Q169" s="153">
        <v>1873400</v>
      </c>
      <c r="T169" s="12">
        <v>981.55</v>
      </c>
      <c r="U169" s="12">
        <v>1033</v>
      </c>
      <c r="V169" s="12">
        <v>975.1</v>
      </c>
      <c r="W169" s="12">
        <v>1026.25</v>
      </c>
      <c r="X169" s="12">
        <v>15450000</v>
      </c>
      <c r="AA169" s="12">
        <v>512.9</v>
      </c>
      <c r="AB169" s="12">
        <v>545</v>
      </c>
      <c r="AC169" s="12">
        <v>509.65</v>
      </c>
      <c r="AD169" s="12">
        <v>538.70000000000005</v>
      </c>
      <c r="AE169" s="12">
        <v>61160000</v>
      </c>
      <c r="AH169" s="12">
        <v>933</v>
      </c>
      <c r="AI169" s="12">
        <v>956.9</v>
      </c>
      <c r="AJ169" s="12">
        <v>927.7</v>
      </c>
      <c r="AK169" s="12">
        <v>942.55</v>
      </c>
      <c r="AL169" s="12">
        <v>28580000</v>
      </c>
      <c r="AO169" s="12">
        <v>1400</v>
      </c>
      <c r="AP169" s="12">
        <v>1476.95</v>
      </c>
      <c r="AQ169" s="12">
        <v>1345.1</v>
      </c>
      <c r="AR169" s="12">
        <v>1405.05</v>
      </c>
      <c r="AS169" s="12">
        <v>38570000</v>
      </c>
      <c r="AV169" s="12">
        <v>3080.55</v>
      </c>
      <c r="AW169" s="12">
        <v>3218</v>
      </c>
      <c r="AX169" s="12">
        <v>3072</v>
      </c>
      <c r="AY169" s="12">
        <v>3143.6</v>
      </c>
      <c r="AZ169" s="12">
        <v>13510000</v>
      </c>
    </row>
    <row r="170" spans="2:52" ht="15" thickBot="1" x14ac:dyDescent="0.35">
      <c r="B170" s="123">
        <v>44347</v>
      </c>
      <c r="C170" s="164">
        <v>1.5084215811661588E-2</v>
      </c>
      <c r="D170" s="163">
        <f t="shared" si="10"/>
        <v>-6.8933759487390884E-3</v>
      </c>
      <c r="E170" s="163">
        <f t="shared" si="11"/>
        <v>4.6300666101450009E-3</v>
      </c>
      <c r="F170" s="163">
        <f t="shared" si="12"/>
        <v>-6.3860575710199124E-3</v>
      </c>
      <c r="G170" s="163">
        <f t="shared" si="13"/>
        <v>-1.3903545715796285E-2</v>
      </c>
      <c r="H170" s="165">
        <f t="shared" si="14"/>
        <v>4.7714856029605156E-5</v>
      </c>
      <c r="K170" s="123">
        <v>44347</v>
      </c>
      <c r="M170" s="151">
        <v>15437.75</v>
      </c>
      <c r="N170" s="152">
        <v>15733.599609000001</v>
      </c>
      <c r="O170" s="152">
        <v>15374</v>
      </c>
      <c r="P170" s="152">
        <v>15670.25</v>
      </c>
      <c r="Q170" s="153">
        <v>2098600</v>
      </c>
      <c r="T170" s="12">
        <v>1022</v>
      </c>
      <c r="U170" s="12">
        <v>1032</v>
      </c>
      <c r="V170" s="12">
        <v>994</v>
      </c>
      <c r="W170" s="12">
        <v>1019.2</v>
      </c>
      <c r="X170" s="12">
        <v>13030000</v>
      </c>
      <c r="AA170" s="12">
        <v>539.45000000000005</v>
      </c>
      <c r="AB170" s="12">
        <v>550</v>
      </c>
      <c r="AC170" s="12">
        <v>531.04999999999995</v>
      </c>
      <c r="AD170" s="12">
        <v>541.20000000000005</v>
      </c>
      <c r="AE170" s="12">
        <v>27560000</v>
      </c>
      <c r="AH170" s="12">
        <v>940.5</v>
      </c>
      <c r="AI170" s="12">
        <v>952.3</v>
      </c>
      <c r="AJ170" s="12">
        <v>925.95</v>
      </c>
      <c r="AK170" s="12">
        <v>936.55</v>
      </c>
      <c r="AL170" s="12">
        <v>19640000</v>
      </c>
      <c r="AO170" s="12">
        <v>1397</v>
      </c>
      <c r="AP170" s="12">
        <v>1405</v>
      </c>
      <c r="AQ170" s="12">
        <v>1362.2</v>
      </c>
      <c r="AR170" s="12">
        <v>1385.65</v>
      </c>
      <c r="AS170" s="12">
        <v>31260000</v>
      </c>
      <c r="AV170" s="12">
        <v>3150</v>
      </c>
      <c r="AW170" s="12">
        <v>3170.35</v>
      </c>
      <c r="AX170" s="12">
        <v>3115</v>
      </c>
      <c r="AY170" s="12">
        <v>3143.75</v>
      </c>
      <c r="AZ170" s="12">
        <v>8680000</v>
      </c>
    </row>
    <row r="171" spans="2:52" ht="15" thickBot="1" x14ac:dyDescent="0.35">
      <c r="B171" s="123">
        <v>44354</v>
      </c>
      <c r="C171" s="164">
        <v>8.2047649053249069E-3</v>
      </c>
      <c r="D171" s="163">
        <f t="shared" si="10"/>
        <v>5.1440457812799545E-2</v>
      </c>
      <c r="E171" s="163">
        <f t="shared" si="11"/>
        <v>2.3917160129125779E-2</v>
      </c>
      <c r="F171" s="163">
        <f t="shared" si="12"/>
        <v>4.8762198932761687E-2</v>
      </c>
      <c r="G171" s="163">
        <f t="shared" si="13"/>
        <v>4.3253993135582876E-2</v>
      </c>
      <c r="H171" s="165">
        <f t="shared" si="14"/>
        <v>4.0535034862204951E-2</v>
      </c>
      <c r="K171" s="123">
        <v>44354</v>
      </c>
      <c r="M171" s="151">
        <v>15725.099609000001</v>
      </c>
      <c r="N171" s="152">
        <v>15835.549805000001</v>
      </c>
      <c r="O171" s="152">
        <v>15566.900390999999</v>
      </c>
      <c r="P171" s="152">
        <v>15799.349609000001</v>
      </c>
      <c r="Q171" s="153">
        <v>1891400</v>
      </c>
      <c r="T171" s="12">
        <v>1020.05</v>
      </c>
      <c r="U171" s="12">
        <v>1082.4000000000001</v>
      </c>
      <c r="V171" s="12">
        <v>1019.45</v>
      </c>
      <c r="W171" s="12">
        <v>1073</v>
      </c>
      <c r="X171" s="12">
        <v>18290000</v>
      </c>
      <c r="AA171" s="12">
        <v>544</v>
      </c>
      <c r="AB171" s="12">
        <v>558.95000000000005</v>
      </c>
      <c r="AC171" s="12">
        <v>542.20000000000005</v>
      </c>
      <c r="AD171" s="12">
        <v>554.29999999999995</v>
      </c>
      <c r="AE171" s="12">
        <v>28630000</v>
      </c>
      <c r="AH171" s="12">
        <v>936.95</v>
      </c>
      <c r="AI171" s="12">
        <v>990</v>
      </c>
      <c r="AJ171" s="12">
        <v>936.95</v>
      </c>
      <c r="AK171" s="12">
        <v>983.35</v>
      </c>
      <c r="AL171" s="12">
        <v>26220000</v>
      </c>
      <c r="AO171" s="12">
        <v>1388</v>
      </c>
      <c r="AP171" s="12">
        <v>1451.6</v>
      </c>
      <c r="AQ171" s="12">
        <v>1377.3</v>
      </c>
      <c r="AR171" s="12">
        <v>1446.9</v>
      </c>
      <c r="AS171" s="12">
        <v>29410000</v>
      </c>
      <c r="AV171" s="12">
        <v>3155</v>
      </c>
      <c r="AW171" s="12">
        <v>3309</v>
      </c>
      <c r="AX171" s="12">
        <v>3133.6</v>
      </c>
      <c r="AY171" s="12">
        <v>3273.8</v>
      </c>
      <c r="AZ171" s="12">
        <v>12520000</v>
      </c>
    </row>
    <row r="172" spans="2:52" ht="15" thickBot="1" x14ac:dyDescent="0.35">
      <c r="B172" s="123">
        <v>44361</v>
      </c>
      <c r="C172" s="164">
        <v>-7.3691600672471007E-3</v>
      </c>
      <c r="D172" s="163">
        <f t="shared" si="10"/>
        <v>-2.1458234664740914E-3</v>
      </c>
      <c r="E172" s="163">
        <f t="shared" si="11"/>
        <v>-8.1514806946136643E-3</v>
      </c>
      <c r="F172" s="163">
        <f t="shared" si="12"/>
        <v>-8.2712612878971126E-3</v>
      </c>
      <c r="G172" s="163">
        <f t="shared" si="13"/>
        <v>3.8239354890752739E-2</v>
      </c>
      <c r="H172" s="165">
        <f t="shared" si="14"/>
        <v>7.1525620327101856E-3</v>
      </c>
      <c r="K172" s="123">
        <v>44361</v>
      </c>
      <c r="M172" s="151">
        <v>15791.400390999999</v>
      </c>
      <c r="N172" s="152">
        <v>15901.599609000001</v>
      </c>
      <c r="O172" s="152">
        <v>15450.900390999999</v>
      </c>
      <c r="P172" s="152">
        <v>15683.349609000001</v>
      </c>
      <c r="Q172" s="153">
        <v>2054800</v>
      </c>
      <c r="T172" s="12">
        <v>1070</v>
      </c>
      <c r="U172" s="12">
        <v>1093</v>
      </c>
      <c r="V172" s="12">
        <v>1054.4000000000001</v>
      </c>
      <c r="W172" s="12">
        <v>1070.7</v>
      </c>
      <c r="X172" s="12">
        <v>17070000</v>
      </c>
      <c r="AA172" s="12">
        <v>555</v>
      </c>
      <c r="AB172" s="12">
        <v>565</v>
      </c>
      <c r="AC172" s="12">
        <v>546</v>
      </c>
      <c r="AD172" s="12">
        <v>549.79999999999995</v>
      </c>
      <c r="AE172" s="12">
        <v>33670000</v>
      </c>
      <c r="AH172" s="12">
        <v>980</v>
      </c>
      <c r="AI172" s="12">
        <v>997.15</v>
      </c>
      <c r="AJ172" s="12">
        <v>970.1</v>
      </c>
      <c r="AK172" s="12">
        <v>975.25</v>
      </c>
      <c r="AL172" s="12">
        <v>19160000</v>
      </c>
      <c r="AO172" s="12">
        <v>1455</v>
      </c>
      <c r="AP172" s="12">
        <v>1515.95</v>
      </c>
      <c r="AQ172" s="12">
        <v>1453.45</v>
      </c>
      <c r="AR172" s="12">
        <v>1503.3</v>
      </c>
      <c r="AS172" s="12">
        <v>45360000</v>
      </c>
      <c r="AV172" s="12">
        <v>3290</v>
      </c>
      <c r="AW172" s="12">
        <v>3358</v>
      </c>
      <c r="AX172" s="12">
        <v>3251.55</v>
      </c>
      <c r="AY172" s="12">
        <v>3297.3</v>
      </c>
      <c r="AZ172" s="12">
        <v>11480000</v>
      </c>
    </row>
    <row r="173" spans="2:52" ht="15" thickBot="1" x14ac:dyDescent="0.35">
      <c r="B173" s="123">
        <v>44368</v>
      </c>
      <c r="C173" s="164">
        <v>1.1222644275299678E-2</v>
      </c>
      <c r="D173" s="163">
        <f t="shared" si="10"/>
        <v>1.7406235220450133E-2</v>
      </c>
      <c r="E173" s="163">
        <f t="shared" si="11"/>
        <v>-4.1921140404894142E-3</v>
      </c>
      <c r="F173" s="163">
        <f t="shared" si="12"/>
        <v>2.0701941817918304E-2</v>
      </c>
      <c r="G173" s="163">
        <f t="shared" si="13"/>
        <v>4.6084515074561232E-2</v>
      </c>
      <c r="H173" s="165">
        <f t="shared" si="14"/>
        <v>2.5008416118827977E-2</v>
      </c>
      <c r="K173" s="123">
        <v>44368</v>
      </c>
      <c r="M173" s="151">
        <v>15525.849609000001</v>
      </c>
      <c r="N173" s="152">
        <v>15895.75</v>
      </c>
      <c r="O173" s="152">
        <v>15505.650390999999</v>
      </c>
      <c r="P173" s="152">
        <v>15860.349609000001</v>
      </c>
      <c r="Q173" s="153">
        <v>1592500</v>
      </c>
      <c r="T173" s="12">
        <v>1055</v>
      </c>
      <c r="U173" s="12">
        <v>1103.2</v>
      </c>
      <c r="V173" s="12">
        <v>1038.45</v>
      </c>
      <c r="W173" s="12">
        <v>1089.5</v>
      </c>
      <c r="X173" s="12">
        <v>15530000</v>
      </c>
      <c r="AA173" s="12">
        <v>546.5</v>
      </c>
      <c r="AB173" s="12">
        <v>564</v>
      </c>
      <c r="AC173" s="12">
        <v>535.20000000000005</v>
      </c>
      <c r="AD173" s="12">
        <v>547.5</v>
      </c>
      <c r="AE173" s="12">
        <v>40520000</v>
      </c>
      <c r="AH173" s="12">
        <v>972</v>
      </c>
      <c r="AI173" s="12">
        <v>1010</v>
      </c>
      <c r="AJ173" s="12">
        <v>961.25</v>
      </c>
      <c r="AK173" s="12">
        <v>995.65</v>
      </c>
      <c r="AL173" s="12">
        <v>18560000</v>
      </c>
      <c r="AO173" s="12">
        <v>1489</v>
      </c>
      <c r="AP173" s="12">
        <v>1578.2</v>
      </c>
      <c r="AQ173" s="12">
        <v>1484.1</v>
      </c>
      <c r="AR173" s="12">
        <v>1574.2</v>
      </c>
      <c r="AS173" s="12">
        <v>40980000</v>
      </c>
      <c r="AV173" s="12">
        <v>3300</v>
      </c>
      <c r="AW173" s="12">
        <v>3399.65</v>
      </c>
      <c r="AX173" s="12">
        <v>3251.7</v>
      </c>
      <c r="AY173" s="12">
        <v>3380.8</v>
      </c>
      <c r="AZ173" s="12">
        <v>13610000</v>
      </c>
    </row>
    <row r="174" spans="2:52" ht="15" thickBot="1" x14ac:dyDescent="0.35">
      <c r="B174" s="123">
        <v>44375</v>
      </c>
      <c r="C174" s="164">
        <v>-8.7485206850153215E-3</v>
      </c>
      <c r="D174" s="163">
        <f t="shared" si="10"/>
        <v>-9.1789435100441406E-5</v>
      </c>
      <c r="E174" s="163">
        <f t="shared" si="11"/>
        <v>-1.6389281313157297E-2</v>
      </c>
      <c r="F174" s="163">
        <f t="shared" si="12"/>
        <v>-1.1109542126478867E-2</v>
      </c>
      <c r="G174" s="163">
        <f t="shared" si="13"/>
        <v>-4.073843953728E-3</v>
      </c>
      <c r="H174" s="165">
        <f t="shared" si="14"/>
        <v>-1.6507364583380854E-2</v>
      </c>
      <c r="K174" s="123">
        <v>44375</v>
      </c>
      <c r="M174" s="151">
        <v>15915.349609000001</v>
      </c>
      <c r="N174" s="152">
        <v>15915.650390999999</v>
      </c>
      <c r="O174" s="152">
        <v>15635.950194999999</v>
      </c>
      <c r="P174" s="152">
        <v>15722.200194999999</v>
      </c>
      <c r="Q174" s="153">
        <v>1357500</v>
      </c>
      <c r="T174" s="12">
        <v>1099.45</v>
      </c>
      <c r="U174" s="12">
        <v>1110</v>
      </c>
      <c r="V174" s="12">
        <v>1075</v>
      </c>
      <c r="W174" s="12">
        <v>1089.4000000000001</v>
      </c>
      <c r="X174" s="12">
        <v>10420000</v>
      </c>
      <c r="AA174" s="12">
        <v>550.5</v>
      </c>
      <c r="AB174" s="12">
        <v>553.75</v>
      </c>
      <c r="AC174" s="12">
        <v>533.6</v>
      </c>
      <c r="AD174" s="12">
        <v>538.6</v>
      </c>
      <c r="AE174" s="12">
        <v>25110000</v>
      </c>
      <c r="AH174" s="12">
        <v>995.5</v>
      </c>
      <c r="AI174" s="12">
        <v>1000</v>
      </c>
      <c r="AJ174" s="12">
        <v>975.15</v>
      </c>
      <c r="AK174" s="12">
        <v>984.65</v>
      </c>
      <c r="AL174" s="12">
        <v>11720000</v>
      </c>
      <c r="AO174" s="12">
        <v>1572</v>
      </c>
      <c r="AP174" s="12">
        <v>1591</v>
      </c>
      <c r="AQ174" s="12">
        <v>1542.3</v>
      </c>
      <c r="AR174" s="12">
        <v>1567.8</v>
      </c>
      <c r="AS174" s="12">
        <v>28110000</v>
      </c>
      <c r="AV174" s="12">
        <v>3396</v>
      </c>
      <c r="AW174" s="12">
        <v>3396</v>
      </c>
      <c r="AX174" s="12">
        <v>3295.2</v>
      </c>
      <c r="AY174" s="12">
        <v>3325.45</v>
      </c>
      <c r="AZ174" s="12">
        <v>7430000</v>
      </c>
    </row>
    <row r="175" spans="2:52" ht="15" thickBot="1" x14ac:dyDescent="0.35">
      <c r="B175" s="123">
        <v>44382</v>
      </c>
      <c r="C175" s="164">
        <v>-2.0629314587093254E-3</v>
      </c>
      <c r="D175" s="163">
        <f t="shared" si="10"/>
        <v>-3.5171642478943867E-2</v>
      </c>
      <c r="E175" s="163">
        <f t="shared" si="11"/>
        <v>-2.4052268081717856E-2</v>
      </c>
      <c r="F175" s="163">
        <f t="shared" si="12"/>
        <v>-7.953139040560827E-3</v>
      </c>
      <c r="G175" s="163">
        <f t="shared" si="13"/>
        <v>-3.1302929064738042E-3</v>
      </c>
      <c r="H175" s="165">
        <f t="shared" si="14"/>
        <v>-3.591055628039426E-2</v>
      </c>
      <c r="K175" s="123">
        <v>44382</v>
      </c>
      <c r="M175" s="151">
        <v>15793.400390999999</v>
      </c>
      <c r="N175" s="152">
        <v>15914.200194999999</v>
      </c>
      <c r="O175" s="152">
        <v>15632.75</v>
      </c>
      <c r="P175" s="152">
        <v>15689.799805000001</v>
      </c>
      <c r="Q175" s="153">
        <v>1478800</v>
      </c>
      <c r="T175" s="12">
        <v>1089.4000000000001</v>
      </c>
      <c r="U175" s="12">
        <v>1094.95</v>
      </c>
      <c r="V175" s="12">
        <v>1030.0999999999999</v>
      </c>
      <c r="W175" s="12">
        <v>1051.75</v>
      </c>
      <c r="X175" s="12">
        <v>14780000</v>
      </c>
      <c r="AA175" s="12">
        <v>542</v>
      </c>
      <c r="AB175" s="12">
        <v>543</v>
      </c>
      <c r="AC175" s="12">
        <v>523.25</v>
      </c>
      <c r="AD175" s="12">
        <v>525.79999999999995</v>
      </c>
      <c r="AE175" s="12">
        <v>24440000</v>
      </c>
      <c r="AH175" s="12">
        <v>987.6</v>
      </c>
      <c r="AI175" s="12">
        <v>995.9</v>
      </c>
      <c r="AJ175" s="12">
        <v>960.15</v>
      </c>
      <c r="AK175" s="12">
        <v>976.85</v>
      </c>
      <c r="AL175" s="12">
        <v>15010000</v>
      </c>
      <c r="AO175" s="12">
        <v>1571.75</v>
      </c>
      <c r="AP175" s="12">
        <v>1586.75</v>
      </c>
      <c r="AQ175" s="12">
        <v>1544.65</v>
      </c>
      <c r="AR175" s="12">
        <v>1562.9</v>
      </c>
      <c r="AS175" s="12">
        <v>21130000</v>
      </c>
      <c r="AV175" s="12">
        <v>3337</v>
      </c>
      <c r="AW175" s="12">
        <v>3374</v>
      </c>
      <c r="AX175" s="12">
        <v>3200</v>
      </c>
      <c r="AY175" s="12">
        <v>3208.15</v>
      </c>
      <c r="AZ175" s="12">
        <v>16310000</v>
      </c>
    </row>
    <row r="176" spans="2:52" ht="15" thickBot="1" x14ac:dyDescent="0.35">
      <c r="B176" s="123">
        <v>44389</v>
      </c>
      <c r="C176" s="164">
        <v>1.4778942745478347E-2</v>
      </c>
      <c r="D176" s="163">
        <f t="shared" si="10"/>
        <v>4.7714280283750347E-2</v>
      </c>
      <c r="E176" s="163">
        <f t="shared" si="11"/>
        <v>9.4220336858709328E-2</v>
      </c>
      <c r="F176" s="163">
        <f t="shared" si="12"/>
        <v>2.84097114555317E-2</v>
      </c>
      <c r="G176" s="163">
        <f t="shared" si="13"/>
        <v>-4.7781770322288062E-3</v>
      </c>
      <c r="H176" s="165">
        <f t="shared" si="14"/>
        <v>-4.1699589547832712E-3</v>
      </c>
      <c r="K176" s="123">
        <v>44389</v>
      </c>
      <c r="M176" s="151">
        <v>15766.799805000001</v>
      </c>
      <c r="N176" s="152">
        <v>15962.25</v>
      </c>
      <c r="O176" s="152">
        <v>15644.75</v>
      </c>
      <c r="P176" s="152">
        <v>15923.400390999999</v>
      </c>
      <c r="Q176" s="153">
        <v>1024200</v>
      </c>
      <c r="T176" s="12">
        <v>1054</v>
      </c>
      <c r="U176" s="12">
        <v>1119.7</v>
      </c>
      <c r="V176" s="12">
        <v>1046.0999999999999</v>
      </c>
      <c r="W176" s="12">
        <v>1103.1500000000001</v>
      </c>
      <c r="X176" s="12">
        <v>17370000</v>
      </c>
      <c r="AA176" s="12">
        <v>578.35</v>
      </c>
      <c r="AB176" s="12">
        <v>589.25</v>
      </c>
      <c r="AC176" s="12">
        <v>522.54999999999995</v>
      </c>
      <c r="AD176" s="12">
        <v>577.75</v>
      </c>
      <c r="AE176" s="12">
        <v>111030000</v>
      </c>
      <c r="AH176" s="12">
        <v>976.85</v>
      </c>
      <c r="AI176" s="12">
        <v>1052.5</v>
      </c>
      <c r="AJ176" s="12">
        <v>964</v>
      </c>
      <c r="AK176" s="12">
        <v>1005</v>
      </c>
      <c r="AL176" s="12">
        <v>34000000</v>
      </c>
      <c r="AO176" s="12">
        <v>1575</v>
      </c>
      <c r="AP176" s="12">
        <v>1597.25</v>
      </c>
      <c r="AQ176" s="12">
        <v>1533.75</v>
      </c>
      <c r="AR176" s="12">
        <v>1555.45</v>
      </c>
      <c r="AS176" s="12">
        <v>33580000</v>
      </c>
      <c r="AV176" s="12">
        <v>3218.5</v>
      </c>
      <c r="AW176" s="12">
        <v>3238.9</v>
      </c>
      <c r="AX176" s="12">
        <v>3175</v>
      </c>
      <c r="AY176" s="12">
        <v>3194.8</v>
      </c>
      <c r="AZ176" s="12">
        <v>10320000</v>
      </c>
    </row>
    <row r="177" spans="2:52" ht="15" thickBot="1" x14ac:dyDescent="0.35">
      <c r="B177" s="123">
        <v>44396</v>
      </c>
      <c r="C177" s="164">
        <v>-4.2386313431862803E-3</v>
      </c>
      <c r="D177" s="163">
        <f t="shared" si="10"/>
        <v>2.4932473361739683E-2</v>
      </c>
      <c r="E177" s="163">
        <f t="shared" si="11"/>
        <v>3.6370734974035562E-2</v>
      </c>
      <c r="F177" s="163">
        <f t="shared" si="12"/>
        <v>-1.1005613836602129E-2</v>
      </c>
      <c r="G177" s="163">
        <f t="shared" si="13"/>
        <v>2.2252102223997927E-2</v>
      </c>
      <c r="H177" s="165">
        <f t="shared" si="14"/>
        <v>5.6339056420270589E-3</v>
      </c>
      <c r="K177" s="123">
        <v>44396</v>
      </c>
      <c r="M177" s="151">
        <v>15754.5</v>
      </c>
      <c r="N177" s="152">
        <v>15899.799805000001</v>
      </c>
      <c r="O177" s="152">
        <v>15578.549805000001</v>
      </c>
      <c r="P177" s="152">
        <v>15856.049805000001</v>
      </c>
      <c r="Q177" s="153">
        <v>1075800</v>
      </c>
      <c r="T177" s="12">
        <v>1102.3</v>
      </c>
      <c r="U177" s="12">
        <v>1152.5</v>
      </c>
      <c r="V177" s="12">
        <v>1080</v>
      </c>
      <c r="W177" s="12">
        <v>1131</v>
      </c>
      <c r="X177" s="12">
        <v>13510000</v>
      </c>
      <c r="AA177" s="12">
        <v>579</v>
      </c>
      <c r="AB177" s="12">
        <v>601.79999999999995</v>
      </c>
      <c r="AC177" s="12">
        <v>561.54999999999995</v>
      </c>
      <c r="AD177" s="12">
        <v>599.15</v>
      </c>
      <c r="AE177" s="12">
        <v>50280000</v>
      </c>
      <c r="AH177" s="12">
        <v>963</v>
      </c>
      <c r="AI177" s="12">
        <v>1018.3</v>
      </c>
      <c r="AJ177" s="12">
        <v>963</v>
      </c>
      <c r="AK177" s="12">
        <v>994</v>
      </c>
      <c r="AL177" s="12">
        <v>28240000</v>
      </c>
      <c r="AO177" s="12">
        <v>1399.5</v>
      </c>
      <c r="AP177" s="12">
        <v>1598.7</v>
      </c>
      <c r="AQ177" s="12">
        <v>1399.5</v>
      </c>
      <c r="AR177" s="12">
        <v>1590.45</v>
      </c>
      <c r="AS177" s="12">
        <v>25850000</v>
      </c>
      <c r="AV177" s="12">
        <v>3194.65</v>
      </c>
      <c r="AW177" s="12">
        <v>3241.55</v>
      </c>
      <c r="AX177" s="12">
        <v>3156</v>
      </c>
      <c r="AY177" s="12">
        <v>3212.85</v>
      </c>
      <c r="AZ177" s="12">
        <v>8780000</v>
      </c>
    </row>
    <row r="178" spans="2:52" ht="15" thickBot="1" x14ac:dyDescent="0.35">
      <c r="B178" s="123">
        <v>44403</v>
      </c>
      <c r="C178" s="164">
        <v>-5.8825374112387646E-3</v>
      </c>
      <c r="D178" s="163">
        <f t="shared" si="10"/>
        <v>6.7146192475956962E-2</v>
      </c>
      <c r="E178" s="163">
        <f t="shared" si="11"/>
        <v>-2.0231660317435455E-2</v>
      </c>
      <c r="F178" s="163">
        <f t="shared" si="12"/>
        <v>3.0661903238322994E-2</v>
      </c>
      <c r="G178" s="163">
        <f t="shared" si="13"/>
        <v>1.2527694731336496E-2</v>
      </c>
      <c r="H178" s="165">
        <f t="shared" si="14"/>
        <v>-1.4231545934209104E-2</v>
      </c>
      <c r="K178" s="123">
        <v>44403</v>
      </c>
      <c r="M178" s="151">
        <v>15849.299805000001</v>
      </c>
      <c r="N178" s="152">
        <v>15893.349609000001</v>
      </c>
      <c r="O178" s="152">
        <v>15513.450194999999</v>
      </c>
      <c r="P178" s="152">
        <v>15763.049805000001</v>
      </c>
      <c r="Q178" s="153">
        <v>1698300</v>
      </c>
      <c r="T178" s="12">
        <v>1130.3</v>
      </c>
      <c r="U178" s="12">
        <v>1237.3</v>
      </c>
      <c r="V178" s="12">
        <v>1104.05</v>
      </c>
      <c r="W178" s="12">
        <v>1209.55</v>
      </c>
      <c r="X178" s="12">
        <v>30420000</v>
      </c>
      <c r="AA178" s="12">
        <v>599.15</v>
      </c>
      <c r="AB178" s="12">
        <v>600.5</v>
      </c>
      <c r="AC178" s="12">
        <v>583</v>
      </c>
      <c r="AD178" s="12">
        <v>587.15</v>
      </c>
      <c r="AE178" s="12">
        <v>25040000</v>
      </c>
      <c r="AH178" s="12">
        <v>993</v>
      </c>
      <c r="AI178" s="12">
        <v>1049.95</v>
      </c>
      <c r="AJ178" s="12">
        <v>977.3</v>
      </c>
      <c r="AK178" s="12">
        <v>1024.95</v>
      </c>
      <c r="AL178" s="12">
        <v>23670000</v>
      </c>
      <c r="AO178" s="12">
        <v>1590.45</v>
      </c>
      <c r="AP178" s="12">
        <v>1623.45</v>
      </c>
      <c r="AQ178" s="12">
        <v>1585.5</v>
      </c>
      <c r="AR178" s="12">
        <v>1610.5</v>
      </c>
      <c r="AS178" s="12">
        <v>26790000</v>
      </c>
      <c r="AV178" s="12">
        <v>3210</v>
      </c>
      <c r="AW178" s="12">
        <v>3226</v>
      </c>
      <c r="AX178" s="12">
        <v>3132.4</v>
      </c>
      <c r="AY178" s="12">
        <v>3167.45</v>
      </c>
      <c r="AZ178" s="12">
        <v>9080000</v>
      </c>
    </row>
    <row r="179" spans="2:52" ht="15" thickBot="1" x14ac:dyDescent="0.35">
      <c r="B179" s="123">
        <v>44410</v>
      </c>
      <c r="C179" s="164">
        <v>2.969792190720507E-2</v>
      </c>
      <c r="D179" s="163">
        <f t="shared" si="10"/>
        <v>4.4507477032435287E-2</v>
      </c>
      <c r="E179" s="163">
        <f t="shared" si="11"/>
        <v>1.8310430139541593E-2</v>
      </c>
      <c r="F179" s="163">
        <f t="shared" si="12"/>
        <v>2.4098713075230139E-2</v>
      </c>
      <c r="G179" s="163">
        <f t="shared" si="13"/>
        <v>2.4351802898989361E-2</v>
      </c>
      <c r="H179" s="165">
        <f t="shared" si="14"/>
        <v>4.3960916833790976E-2</v>
      </c>
      <c r="K179" s="123">
        <v>44410</v>
      </c>
      <c r="M179" s="151">
        <v>15874.900390999999</v>
      </c>
      <c r="N179" s="152">
        <v>16349.450194999999</v>
      </c>
      <c r="O179" s="152">
        <v>15834.650390999999</v>
      </c>
      <c r="P179" s="152">
        <v>16238.200194999999</v>
      </c>
      <c r="Q179" s="153">
        <v>1751700</v>
      </c>
      <c r="T179" s="12">
        <v>1218</v>
      </c>
      <c r="U179" s="12">
        <v>1273</v>
      </c>
      <c r="V179" s="12">
        <v>1195.55</v>
      </c>
      <c r="W179" s="12">
        <v>1264.5999999999999</v>
      </c>
      <c r="X179" s="12">
        <v>17150000</v>
      </c>
      <c r="AA179" s="12">
        <v>588.5</v>
      </c>
      <c r="AB179" s="12">
        <v>614.54999999999995</v>
      </c>
      <c r="AC179" s="12">
        <v>582.25</v>
      </c>
      <c r="AD179" s="12">
        <v>598</v>
      </c>
      <c r="AE179" s="12">
        <v>32550000</v>
      </c>
      <c r="AH179" s="12">
        <v>1035</v>
      </c>
      <c r="AI179" s="12">
        <v>1073</v>
      </c>
      <c r="AJ179" s="12">
        <v>1023.05</v>
      </c>
      <c r="AK179" s="12">
        <v>1049.95</v>
      </c>
      <c r="AL179" s="12">
        <v>29790000</v>
      </c>
      <c r="AO179" s="12">
        <v>1620</v>
      </c>
      <c r="AP179" s="12">
        <v>1680</v>
      </c>
      <c r="AQ179" s="12">
        <v>1619.2</v>
      </c>
      <c r="AR179" s="12">
        <v>1650.2</v>
      </c>
      <c r="AS179" s="12">
        <v>27780000</v>
      </c>
      <c r="AV179" s="12">
        <v>3173.55</v>
      </c>
      <c r="AW179" s="12">
        <v>3324</v>
      </c>
      <c r="AX179" s="12">
        <v>3166.05</v>
      </c>
      <c r="AY179" s="12">
        <v>3309.8</v>
      </c>
      <c r="AZ179" s="12">
        <v>14830000</v>
      </c>
    </row>
    <row r="180" spans="2:52" ht="15" thickBot="1" x14ac:dyDescent="0.35">
      <c r="B180" s="123">
        <v>44417</v>
      </c>
      <c r="C180" s="164">
        <v>1.7755937073534293E-2</v>
      </c>
      <c r="D180" s="163">
        <f t="shared" si="10"/>
        <v>8.9607640028747257E-2</v>
      </c>
      <c r="E180" s="163">
        <f t="shared" si="11"/>
        <v>2.884419167387639E-2</v>
      </c>
      <c r="F180" s="163">
        <f t="shared" si="12"/>
        <v>6.4094949275378885E-2</v>
      </c>
      <c r="G180" s="163">
        <f t="shared" si="13"/>
        <v>3.6882600638142492E-2</v>
      </c>
      <c r="H180" s="165">
        <f t="shared" si="14"/>
        <v>4.5363000933207671E-2</v>
      </c>
      <c r="K180" s="123">
        <v>44417</v>
      </c>
      <c r="M180" s="151">
        <v>16281.349609000001</v>
      </c>
      <c r="N180" s="152">
        <v>16543.599609000001</v>
      </c>
      <c r="O180" s="152">
        <v>16162.549805000001</v>
      </c>
      <c r="P180" s="152">
        <v>16529.099609000001</v>
      </c>
      <c r="Q180" s="153">
        <v>1408500</v>
      </c>
      <c r="T180" s="12">
        <v>1275.0999999999999</v>
      </c>
      <c r="U180" s="12">
        <v>1394.95</v>
      </c>
      <c r="V180" s="12">
        <v>1266</v>
      </c>
      <c r="W180" s="12">
        <v>1383.15</v>
      </c>
      <c r="X180" s="12">
        <v>30680000</v>
      </c>
      <c r="AA180" s="12">
        <v>599.4</v>
      </c>
      <c r="AB180" s="12">
        <v>666</v>
      </c>
      <c r="AC180" s="12">
        <v>593.1</v>
      </c>
      <c r="AD180" s="12">
        <v>615.5</v>
      </c>
      <c r="AE180" s="12">
        <v>35290000</v>
      </c>
      <c r="AH180" s="12">
        <v>1056</v>
      </c>
      <c r="AI180" s="12">
        <v>1123.95</v>
      </c>
      <c r="AJ180" s="12">
        <v>1043.5</v>
      </c>
      <c r="AK180" s="12">
        <v>1119.45</v>
      </c>
      <c r="AL180" s="12">
        <v>36750000</v>
      </c>
      <c r="AO180" s="12">
        <v>1650</v>
      </c>
      <c r="AP180" s="12">
        <v>1722.5</v>
      </c>
      <c r="AQ180" s="12">
        <v>1646.4</v>
      </c>
      <c r="AR180" s="12">
        <v>1712.2</v>
      </c>
      <c r="AS180" s="12">
        <v>33100000</v>
      </c>
      <c r="AV180" s="12">
        <v>3315.85</v>
      </c>
      <c r="AW180" s="12">
        <v>3480</v>
      </c>
      <c r="AX180" s="12">
        <v>3310</v>
      </c>
      <c r="AY180" s="12">
        <v>3463.4</v>
      </c>
      <c r="AZ180" s="12">
        <v>11770000</v>
      </c>
    </row>
    <row r="181" spans="2:52" ht="15" thickBot="1" x14ac:dyDescent="0.35">
      <c r="B181" s="123">
        <v>44424</v>
      </c>
      <c r="C181" s="164">
        <v>-4.7665683482035811E-3</v>
      </c>
      <c r="D181" s="163">
        <f t="shared" si="10"/>
        <v>1.1537138051132266E-2</v>
      </c>
      <c r="E181" s="163">
        <f t="shared" si="11"/>
        <v>7.3651743242731564E-3</v>
      </c>
      <c r="F181" s="163">
        <f t="shared" si="12"/>
        <v>-1.8776829551112001E-3</v>
      </c>
      <c r="G181" s="163">
        <f t="shared" si="13"/>
        <v>1.2046065288752008E-2</v>
      </c>
      <c r="H181" s="165">
        <f t="shared" si="14"/>
        <v>2.736932002587741E-2</v>
      </c>
      <c r="K181" s="123">
        <v>44424</v>
      </c>
      <c r="M181" s="151">
        <v>16518.400390999999</v>
      </c>
      <c r="N181" s="152">
        <v>16701.849609000001</v>
      </c>
      <c r="O181" s="152">
        <v>16376.049805000001</v>
      </c>
      <c r="P181" s="152">
        <v>16450.5</v>
      </c>
      <c r="Q181" s="153">
        <v>1154000</v>
      </c>
      <c r="T181" s="12">
        <v>1384</v>
      </c>
      <c r="U181" s="12">
        <v>1428.8</v>
      </c>
      <c r="V181" s="12">
        <v>1360.25</v>
      </c>
      <c r="W181" s="12">
        <v>1399.2</v>
      </c>
      <c r="X181" s="12">
        <v>18500000</v>
      </c>
      <c r="AA181" s="12">
        <v>617.5</v>
      </c>
      <c r="AB181" s="12">
        <v>639.20000000000005</v>
      </c>
      <c r="AC181" s="12">
        <v>610.4</v>
      </c>
      <c r="AD181" s="12">
        <v>620.04999999999995</v>
      </c>
      <c r="AE181" s="12">
        <v>29920000</v>
      </c>
      <c r="AH181" s="12">
        <v>1119.7</v>
      </c>
      <c r="AI181" s="12">
        <v>1158.9000000000001</v>
      </c>
      <c r="AJ181" s="12">
        <v>1104</v>
      </c>
      <c r="AK181" s="12">
        <v>1117.3499999999999</v>
      </c>
      <c r="AL181" s="12">
        <v>17490000</v>
      </c>
      <c r="AO181" s="12">
        <v>1711.6</v>
      </c>
      <c r="AP181" s="12">
        <v>1755.5</v>
      </c>
      <c r="AQ181" s="12">
        <v>1686.55</v>
      </c>
      <c r="AR181" s="12">
        <v>1732.95</v>
      </c>
      <c r="AS181" s="12">
        <v>27800000</v>
      </c>
      <c r="AV181" s="12">
        <v>3461.9</v>
      </c>
      <c r="AW181" s="12">
        <v>3595</v>
      </c>
      <c r="AX181" s="12">
        <v>3436.5</v>
      </c>
      <c r="AY181" s="12">
        <v>3559.5</v>
      </c>
      <c r="AZ181" s="12">
        <v>12230000</v>
      </c>
    </row>
    <row r="182" spans="2:52" ht="15" thickBot="1" x14ac:dyDescent="0.35">
      <c r="B182" s="123">
        <v>44431</v>
      </c>
      <c r="C182" s="164">
        <v>1.5364129562237915E-2</v>
      </c>
      <c r="D182" s="163">
        <f t="shared" si="10"/>
        <v>3.2485455144488307E-2</v>
      </c>
      <c r="E182" s="163">
        <f t="shared" si="11"/>
        <v>2.3746135686261102E-2</v>
      </c>
      <c r="F182" s="163">
        <f t="shared" si="12"/>
        <v>4.0000070042682856E-2</v>
      </c>
      <c r="G182" s="163">
        <f t="shared" si="13"/>
        <v>-1.4033788831261629E-2</v>
      </c>
      <c r="H182" s="165">
        <f t="shared" si="14"/>
        <v>4.4143904490976098E-2</v>
      </c>
      <c r="K182" s="123">
        <v>44431</v>
      </c>
      <c r="M182" s="151">
        <v>16592.25</v>
      </c>
      <c r="N182" s="152">
        <v>16722.050781000002</v>
      </c>
      <c r="O182" s="152">
        <v>16395.699218999998</v>
      </c>
      <c r="P182" s="152">
        <v>16705.199218999998</v>
      </c>
      <c r="Q182" s="153">
        <v>1287800</v>
      </c>
      <c r="T182" s="12">
        <v>1415.45</v>
      </c>
      <c r="U182" s="12">
        <v>1478</v>
      </c>
      <c r="V182" s="12">
        <v>1409</v>
      </c>
      <c r="W182" s="12">
        <v>1445.4</v>
      </c>
      <c r="X182" s="12">
        <v>18120000</v>
      </c>
      <c r="AA182" s="12">
        <v>626</v>
      </c>
      <c r="AB182" s="12">
        <v>642.79999999999995</v>
      </c>
      <c r="AC182" s="12">
        <v>623.4</v>
      </c>
      <c r="AD182" s="12">
        <v>634.95000000000005</v>
      </c>
      <c r="AE182" s="12">
        <v>28350000</v>
      </c>
      <c r="AH182" s="12">
        <v>1129</v>
      </c>
      <c r="AI182" s="12">
        <v>1178.2</v>
      </c>
      <c r="AJ182" s="12">
        <v>1126.05</v>
      </c>
      <c r="AK182" s="12">
        <v>1162.95</v>
      </c>
      <c r="AL182" s="12">
        <v>25370000</v>
      </c>
      <c r="AO182" s="12">
        <v>1735.75</v>
      </c>
      <c r="AP182" s="12">
        <v>1757</v>
      </c>
      <c r="AQ182" s="12">
        <v>1705</v>
      </c>
      <c r="AR182" s="12">
        <v>1708.8</v>
      </c>
      <c r="AS182" s="12">
        <v>32690000</v>
      </c>
      <c r="AV182" s="12">
        <v>3580</v>
      </c>
      <c r="AW182" s="12">
        <v>3729.5</v>
      </c>
      <c r="AX182" s="12">
        <v>3561.9</v>
      </c>
      <c r="AY182" s="12">
        <v>3720.15</v>
      </c>
      <c r="AZ182" s="12">
        <v>14660000</v>
      </c>
    </row>
    <row r="183" spans="2:52" ht="15" thickBot="1" x14ac:dyDescent="0.35">
      <c r="B183" s="123">
        <v>44438</v>
      </c>
      <c r="C183" s="164">
        <v>3.6349709711169222E-2</v>
      </c>
      <c r="D183" s="163">
        <f t="shared" si="10"/>
        <v>-2.3897356689458666E-3</v>
      </c>
      <c r="E183" s="163">
        <f t="shared" si="11"/>
        <v>3.1241640102788189E-2</v>
      </c>
      <c r="F183" s="163">
        <f t="shared" si="12"/>
        <v>1.0095478649847268E-2</v>
      </c>
      <c r="G183" s="163">
        <f t="shared" si="13"/>
        <v>-4.7808388586503495E-3</v>
      </c>
      <c r="H183" s="165">
        <f t="shared" si="14"/>
        <v>3.2242088264095581E-2</v>
      </c>
      <c r="K183" s="123">
        <v>44438</v>
      </c>
      <c r="M183" s="151">
        <v>16775.849609000001</v>
      </c>
      <c r="N183" s="152">
        <v>17340.099609000001</v>
      </c>
      <c r="O183" s="152">
        <v>16764.849609000001</v>
      </c>
      <c r="P183" s="152">
        <v>17323.599609000001</v>
      </c>
      <c r="Q183" s="153">
        <v>1553600</v>
      </c>
      <c r="T183" s="12">
        <v>1449</v>
      </c>
      <c r="U183" s="12">
        <v>1468.25</v>
      </c>
      <c r="V183" s="12">
        <v>1406.95</v>
      </c>
      <c r="W183" s="12">
        <v>1441.95</v>
      </c>
      <c r="X183" s="12">
        <v>17770000</v>
      </c>
      <c r="AA183" s="12">
        <v>639</v>
      </c>
      <c r="AB183" s="12">
        <v>657</v>
      </c>
      <c r="AC183" s="12">
        <v>628.9</v>
      </c>
      <c r="AD183" s="12">
        <v>655.1</v>
      </c>
      <c r="AE183" s="12">
        <v>27880000</v>
      </c>
      <c r="AH183" s="12">
        <v>1164</v>
      </c>
      <c r="AI183" s="12">
        <v>1193.4000000000001</v>
      </c>
      <c r="AJ183" s="12">
        <v>1139</v>
      </c>
      <c r="AK183" s="12">
        <v>1174.75</v>
      </c>
      <c r="AL183" s="12">
        <v>23980000</v>
      </c>
      <c r="AO183" s="12">
        <v>1704.8</v>
      </c>
      <c r="AP183" s="12">
        <v>1718.8</v>
      </c>
      <c r="AQ183" s="12">
        <v>1662.65</v>
      </c>
      <c r="AR183" s="12">
        <v>1700.65</v>
      </c>
      <c r="AS183" s="12">
        <v>40270000</v>
      </c>
      <c r="AV183" s="12">
        <v>3718</v>
      </c>
      <c r="AW183" s="12">
        <v>3859.15</v>
      </c>
      <c r="AX183" s="12">
        <v>3687.6</v>
      </c>
      <c r="AY183" s="12">
        <v>3842.05</v>
      </c>
      <c r="AZ183" s="12">
        <v>13790000</v>
      </c>
    </row>
    <row r="184" spans="2:52" ht="15" thickBot="1" x14ac:dyDescent="0.35">
      <c r="B184" s="123">
        <v>44445</v>
      </c>
      <c r="C184" s="164">
        <v>2.6316902682593443E-3</v>
      </c>
      <c r="D184" s="163">
        <f t="shared" si="10"/>
        <v>-6.0517713914427567E-3</v>
      </c>
      <c r="E184" s="163">
        <f t="shared" si="11"/>
        <v>1.1006221392439841E-2</v>
      </c>
      <c r="F184" s="163">
        <f t="shared" si="12"/>
        <v>2.0057133836493952E-2</v>
      </c>
      <c r="G184" s="163">
        <f t="shared" si="13"/>
        <v>-5.3357043088918506E-3</v>
      </c>
      <c r="H184" s="165">
        <f t="shared" si="14"/>
        <v>-1.3270734291534907E-2</v>
      </c>
      <c r="K184" s="123">
        <v>44445</v>
      </c>
      <c r="M184" s="151">
        <v>17399.349609000001</v>
      </c>
      <c r="N184" s="152">
        <v>17436.5</v>
      </c>
      <c r="O184" s="152">
        <v>17254.199218999998</v>
      </c>
      <c r="P184" s="152">
        <v>17369.25</v>
      </c>
      <c r="Q184" s="153">
        <v>965600</v>
      </c>
      <c r="T184" s="12">
        <v>1449.45</v>
      </c>
      <c r="U184" s="12">
        <v>1472.9</v>
      </c>
      <c r="V184" s="12">
        <v>1414</v>
      </c>
      <c r="W184" s="12">
        <v>1433.25</v>
      </c>
      <c r="X184" s="12">
        <v>8680000</v>
      </c>
      <c r="AA184" s="12">
        <v>656.4</v>
      </c>
      <c r="AB184" s="12">
        <v>690.8</v>
      </c>
      <c r="AC184" s="12">
        <v>654</v>
      </c>
      <c r="AD184" s="12">
        <v>662.35</v>
      </c>
      <c r="AE184" s="12">
        <v>32480000</v>
      </c>
      <c r="AH184" s="12">
        <v>1177</v>
      </c>
      <c r="AI184" s="12">
        <v>1214.95</v>
      </c>
      <c r="AJ184" s="12">
        <v>1166.95</v>
      </c>
      <c r="AK184" s="12">
        <v>1198.55</v>
      </c>
      <c r="AL184" s="12">
        <v>14940000</v>
      </c>
      <c r="AO184" s="12">
        <v>1707</v>
      </c>
      <c r="AP184" s="12">
        <v>1735</v>
      </c>
      <c r="AQ184" s="12">
        <v>1682.15</v>
      </c>
      <c r="AR184" s="12">
        <v>1691.6</v>
      </c>
      <c r="AS184" s="12">
        <v>16700000</v>
      </c>
      <c r="AV184" s="12">
        <v>3847</v>
      </c>
      <c r="AW184" s="12">
        <v>3877.6</v>
      </c>
      <c r="AX184" s="12">
        <v>3756</v>
      </c>
      <c r="AY184" s="12">
        <v>3791.4</v>
      </c>
      <c r="AZ184" s="12">
        <v>9070000</v>
      </c>
    </row>
    <row r="185" spans="2:52" ht="15" thickBot="1" x14ac:dyDescent="0.35">
      <c r="B185" s="123">
        <v>44452</v>
      </c>
      <c r="C185" s="164">
        <v>1.2353416693488755E-2</v>
      </c>
      <c r="D185" s="163">
        <f t="shared" si="10"/>
        <v>1.2687358206568999E-2</v>
      </c>
      <c r="E185" s="163">
        <f t="shared" si="11"/>
        <v>4.3687927275280159E-3</v>
      </c>
      <c r="F185" s="163">
        <f t="shared" si="12"/>
        <v>5.2614852016572601E-2</v>
      </c>
      <c r="G185" s="163">
        <f t="shared" si="13"/>
        <v>-1.7736261833718435E-4</v>
      </c>
      <c r="H185" s="165">
        <f t="shared" si="14"/>
        <v>9.5679438446519601E-3</v>
      </c>
      <c r="K185" s="123">
        <v>44452</v>
      </c>
      <c r="M185" s="151">
        <v>17363.550781000002</v>
      </c>
      <c r="N185" s="152">
        <v>17792.949218999998</v>
      </c>
      <c r="O185" s="152">
        <v>17269.150390999999</v>
      </c>
      <c r="P185" s="152">
        <v>17585.150390999999</v>
      </c>
      <c r="Q185" s="153">
        <v>1871300</v>
      </c>
      <c r="T185" s="12">
        <v>1433</v>
      </c>
      <c r="U185" s="12">
        <v>1480</v>
      </c>
      <c r="V185" s="12">
        <v>1420.35</v>
      </c>
      <c r="W185" s="12">
        <v>1451.55</v>
      </c>
      <c r="X185" s="12">
        <v>11000000</v>
      </c>
      <c r="AA185" s="12">
        <v>662.35</v>
      </c>
      <c r="AB185" s="12">
        <v>683</v>
      </c>
      <c r="AC185" s="12">
        <v>657.85</v>
      </c>
      <c r="AD185" s="12">
        <v>665.25</v>
      </c>
      <c r="AE185" s="12">
        <v>24680000</v>
      </c>
      <c r="AH185" s="12">
        <v>1192</v>
      </c>
      <c r="AI185" s="12">
        <v>1295.6500000000001</v>
      </c>
      <c r="AJ185" s="12">
        <v>1176.45</v>
      </c>
      <c r="AK185" s="12">
        <v>1263.3</v>
      </c>
      <c r="AL185" s="12">
        <v>24570000</v>
      </c>
      <c r="AO185" s="12">
        <v>1683</v>
      </c>
      <c r="AP185" s="12">
        <v>1722</v>
      </c>
      <c r="AQ185" s="12">
        <v>1675</v>
      </c>
      <c r="AR185" s="12">
        <v>1691.3</v>
      </c>
      <c r="AS185" s="12">
        <v>25210000</v>
      </c>
      <c r="AV185" s="12">
        <v>3767</v>
      </c>
      <c r="AW185" s="12">
        <v>3981.75</v>
      </c>
      <c r="AX185" s="12">
        <v>3761</v>
      </c>
      <c r="AY185" s="12">
        <v>3827.85</v>
      </c>
      <c r="AZ185" s="12">
        <v>16040000</v>
      </c>
    </row>
    <row r="186" spans="2:52" ht="15" thickBot="1" x14ac:dyDescent="0.35">
      <c r="B186" s="123">
        <v>44459</v>
      </c>
      <c r="C186" s="164">
        <v>1.5127902000027459E-2</v>
      </c>
      <c r="D186" s="163">
        <f t="shared" si="10"/>
        <v>4.2618457830037239E-2</v>
      </c>
      <c r="E186" s="163">
        <f t="shared" si="11"/>
        <v>1.6769537753044239E-2</v>
      </c>
      <c r="F186" s="163">
        <f t="shared" si="12"/>
        <v>7.2432948843699302E-2</v>
      </c>
      <c r="G186" s="163">
        <f t="shared" si="13"/>
        <v>4.2001455957538181E-2</v>
      </c>
      <c r="H186" s="165">
        <f t="shared" si="14"/>
        <v>1.1287080076783912E-2</v>
      </c>
      <c r="K186" s="123">
        <v>44459</v>
      </c>
      <c r="M186" s="151">
        <v>17443.849609000001</v>
      </c>
      <c r="N186" s="152">
        <v>17947.650390999999</v>
      </c>
      <c r="O186" s="152">
        <v>17326.099609000001</v>
      </c>
      <c r="P186" s="152">
        <v>17853.199218999998</v>
      </c>
      <c r="Q186" s="153">
        <v>1678500</v>
      </c>
      <c r="T186" s="12">
        <v>1438.2</v>
      </c>
      <c r="U186" s="12">
        <v>1547.85</v>
      </c>
      <c r="V186" s="12">
        <v>1420.25</v>
      </c>
      <c r="W186" s="12">
        <v>1514.75</v>
      </c>
      <c r="X186" s="12">
        <v>16150000</v>
      </c>
      <c r="AA186" s="12">
        <v>659.4</v>
      </c>
      <c r="AB186" s="12">
        <v>699.15</v>
      </c>
      <c r="AC186" s="12">
        <v>653.4</v>
      </c>
      <c r="AD186" s="12">
        <v>676.5</v>
      </c>
      <c r="AE186" s="12">
        <v>31100000</v>
      </c>
      <c r="AH186" s="12">
        <v>1257</v>
      </c>
      <c r="AI186" s="12">
        <v>1377.75</v>
      </c>
      <c r="AJ186" s="12">
        <v>1250</v>
      </c>
      <c r="AK186" s="12">
        <v>1358.2</v>
      </c>
      <c r="AL186" s="12">
        <v>28340000</v>
      </c>
      <c r="AO186" s="12">
        <v>1685</v>
      </c>
      <c r="AP186" s="12">
        <v>1788</v>
      </c>
      <c r="AQ186" s="12">
        <v>1677.95</v>
      </c>
      <c r="AR186" s="12">
        <v>1763.85</v>
      </c>
      <c r="AS186" s="12">
        <v>31050000</v>
      </c>
      <c r="AV186" s="12">
        <v>3819</v>
      </c>
      <c r="AW186" s="12">
        <v>3944.5</v>
      </c>
      <c r="AX186" s="12">
        <v>3807.85</v>
      </c>
      <c r="AY186" s="12">
        <v>3871.3</v>
      </c>
      <c r="AZ186" s="12">
        <v>10890000</v>
      </c>
    </row>
    <row r="187" spans="2:52" ht="15" thickBot="1" x14ac:dyDescent="0.35">
      <c r="B187" s="123">
        <v>44466</v>
      </c>
      <c r="C187" s="164">
        <v>-1.8152041094033726E-2</v>
      </c>
      <c r="D187" s="163">
        <f t="shared" si="10"/>
        <v>-9.9527676235658391E-2</v>
      </c>
      <c r="E187" s="163">
        <f t="shared" si="11"/>
        <v>-6.1340879746110182E-2</v>
      </c>
      <c r="F187" s="163">
        <f t="shared" si="12"/>
        <v>-6.4194988142756426E-2</v>
      </c>
      <c r="G187" s="163">
        <f t="shared" si="13"/>
        <v>-5.7583710490768547E-2</v>
      </c>
      <c r="H187" s="165">
        <f t="shared" si="14"/>
        <v>-3.7128516425553551E-2</v>
      </c>
      <c r="K187" s="123">
        <v>44466</v>
      </c>
      <c r="M187" s="151">
        <v>17932.199218999998</v>
      </c>
      <c r="N187" s="152">
        <v>17943.5</v>
      </c>
      <c r="O187" s="152">
        <v>17452.900390999999</v>
      </c>
      <c r="P187" s="152">
        <v>17532.050781000002</v>
      </c>
      <c r="Q187" s="153">
        <v>1940300</v>
      </c>
      <c r="T187" s="12">
        <v>1519</v>
      </c>
      <c r="U187" s="12">
        <v>1525</v>
      </c>
      <c r="V187" s="12">
        <v>1364.8</v>
      </c>
      <c r="W187" s="12">
        <v>1371.25</v>
      </c>
      <c r="X187" s="12">
        <v>22350000</v>
      </c>
      <c r="AA187" s="12">
        <v>679.9</v>
      </c>
      <c r="AB187" s="12">
        <v>679.9</v>
      </c>
      <c r="AC187" s="12">
        <v>627.29999999999995</v>
      </c>
      <c r="AD187" s="12">
        <v>636.25</v>
      </c>
      <c r="AE187" s="12">
        <v>37710000</v>
      </c>
      <c r="AH187" s="12">
        <v>1374.45</v>
      </c>
      <c r="AI187" s="12">
        <v>1374.45</v>
      </c>
      <c r="AJ187" s="12">
        <v>1254</v>
      </c>
      <c r="AK187" s="12">
        <v>1273.75</v>
      </c>
      <c r="AL187" s="12">
        <v>28810000</v>
      </c>
      <c r="AO187" s="12">
        <v>1770.85</v>
      </c>
      <c r="AP187" s="12">
        <v>1770.85</v>
      </c>
      <c r="AQ187" s="12">
        <v>1655</v>
      </c>
      <c r="AR187" s="12">
        <v>1665.15</v>
      </c>
      <c r="AS187" s="12">
        <v>33050000</v>
      </c>
      <c r="AV187" s="12">
        <v>3891.15</v>
      </c>
      <c r="AW187" s="12">
        <v>3904</v>
      </c>
      <c r="AX187" s="12">
        <v>3722.15</v>
      </c>
      <c r="AY187" s="12">
        <v>3730.2</v>
      </c>
      <c r="AZ187" s="12">
        <v>10640000</v>
      </c>
    </row>
    <row r="188" spans="2:52" ht="15" thickBot="1" x14ac:dyDescent="0.35">
      <c r="B188" s="123">
        <v>44473</v>
      </c>
      <c r="C188" s="164">
        <v>2.0501797791391087E-2</v>
      </c>
      <c r="D188" s="163">
        <f t="shared" si="10"/>
        <v>4.8885658155553707E-2</v>
      </c>
      <c r="E188" s="163">
        <f t="shared" si="11"/>
        <v>3.8389175138099314E-2</v>
      </c>
      <c r="F188" s="163">
        <f t="shared" si="12"/>
        <v>3.7293893885899917E-2</v>
      </c>
      <c r="G188" s="163">
        <f t="shared" si="13"/>
        <v>3.464495203099046E-2</v>
      </c>
      <c r="H188" s="165">
        <f t="shared" si="14"/>
        <v>5.3614200950706223E-2</v>
      </c>
      <c r="K188" s="123">
        <v>44473</v>
      </c>
      <c r="M188" s="151">
        <v>17615.550781000002</v>
      </c>
      <c r="N188" s="152">
        <v>17941.849609000001</v>
      </c>
      <c r="O188" s="152">
        <v>17581.349609000001</v>
      </c>
      <c r="P188" s="152">
        <v>17895.199218999998</v>
      </c>
      <c r="Q188" s="153">
        <v>1862600</v>
      </c>
      <c r="T188" s="12">
        <v>1384.7</v>
      </c>
      <c r="U188" s="12">
        <v>1447</v>
      </c>
      <c r="V188" s="12">
        <v>1372.05</v>
      </c>
      <c r="W188" s="12">
        <v>1439.95</v>
      </c>
      <c r="X188" s="12">
        <v>13280000</v>
      </c>
      <c r="AA188" s="12">
        <v>639.9</v>
      </c>
      <c r="AB188" s="12">
        <v>667.55</v>
      </c>
      <c r="AC188" s="12">
        <v>634.04999999999995</v>
      </c>
      <c r="AD188" s="12">
        <v>661.15</v>
      </c>
      <c r="AE188" s="12">
        <v>31610000</v>
      </c>
      <c r="AH188" s="12">
        <v>1281.5</v>
      </c>
      <c r="AI188" s="12">
        <v>1338</v>
      </c>
      <c r="AJ188" s="12">
        <v>1262.2</v>
      </c>
      <c r="AK188" s="12">
        <v>1322.15</v>
      </c>
      <c r="AL188" s="12">
        <v>17730000</v>
      </c>
      <c r="AO188" s="12">
        <v>1672.5</v>
      </c>
      <c r="AP188" s="12">
        <v>1731.5</v>
      </c>
      <c r="AQ188" s="12">
        <v>1663</v>
      </c>
      <c r="AR188" s="12">
        <v>1723.85</v>
      </c>
      <c r="AS188" s="12">
        <v>22820000</v>
      </c>
      <c r="AV188" s="12">
        <v>3724.8</v>
      </c>
      <c r="AW188" s="12">
        <v>3990</v>
      </c>
      <c r="AX188" s="12">
        <v>3707.45</v>
      </c>
      <c r="AY188" s="12">
        <v>3935.65</v>
      </c>
      <c r="AZ188" s="12">
        <v>9900000</v>
      </c>
    </row>
    <row r="189" spans="2:52" ht="15" thickBot="1" x14ac:dyDescent="0.35">
      <c r="B189" s="123">
        <v>44480</v>
      </c>
      <c r="C189" s="164">
        <v>2.4472967312631305E-2</v>
      </c>
      <c r="D189" s="163">
        <f t="shared" si="10"/>
        <v>-6.3746623601311746E-3</v>
      </c>
      <c r="E189" s="163">
        <f t="shared" si="11"/>
        <v>6.8816395707794145E-2</v>
      </c>
      <c r="F189" s="163">
        <f t="shared" si="12"/>
        <v>-5.5196071067103912E-2</v>
      </c>
      <c r="G189" s="163">
        <f t="shared" si="13"/>
        <v>-4.7098586890122725E-3</v>
      </c>
      <c r="H189" s="165">
        <f t="shared" si="14"/>
        <v>-8.5966698721872278E-2</v>
      </c>
      <c r="K189" s="123">
        <v>44480</v>
      </c>
      <c r="M189" s="151">
        <v>17867.550781000002</v>
      </c>
      <c r="N189" s="152">
        <v>18350.75</v>
      </c>
      <c r="O189" s="152">
        <v>17839.099609000001</v>
      </c>
      <c r="P189" s="152">
        <v>18338.550781000002</v>
      </c>
      <c r="Q189" s="153">
        <v>1776800</v>
      </c>
      <c r="T189" s="12">
        <v>1505</v>
      </c>
      <c r="U189" s="12">
        <v>1505</v>
      </c>
      <c r="V189" s="12">
        <v>1361</v>
      </c>
      <c r="W189" s="12">
        <v>1430.8</v>
      </c>
      <c r="X189" s="12">
        <v>13380000</v>
      </c>
      <c r="AA189" s="12">
        <v>672</v>
      </c>
      <c r="AB189" s="12">
        <v>739.85</v>
      </c>
      <c r="AC189" s="12">
        <v>635</v>
      </c>
      <c r="AD189" s="12">
        <v>708.25</v>
      </c>
      <c r="AE189" s="12">
        <v>92670000</v>
      </c>
      <c r="AH189" s="12">
        <v>1322.05</v>
      </c>
      <c r="AI189" s="12">
        <v>1324.9</v>
      </c>
      <c r="AJ189" s="12">
        <v>1235.6500000000001</v>
      </c>
      <c r="AK189" s="12">
        <v>1251.1500000000001</v>
      </c>
      <c r="AL189" s="12">
        <v>36380000</v>
      </c>
      <c r="AO189" s="12">
        <v>1735</v>
      </c>
      <c r="AP189" s="12">
        <v>1784.05</v>
      </c>
      <c r="AQ189" s="12">
        <v>1662</v>
      </c>
      <c r="AR189" s="12">
        <v>1715.75</v>
      </c>
      <c r="AS189" s="12">
        <v>47360000</v>
      </c>
      <c r="AV189" s="12">
        <v>4123</v>
      </c>
      <c r="AW189" s="12">
        <v>4123</v>
      </c>
      <c r="AX189" s="12">
        <v>3608.2</v>
      </c>
      <c r="AY189" s="12">
        <v>3611.45</v>
      </c>
      <c r="AZ189" s="12">
        <v>29650000</v>
      </c>
    </row>
    <row r="190" spans="2:52" ht="15" thickBot="1" x14ac:dyDescent="0.35">
      <c r="B190" s="123">
        <v>44487</v>
      </c>
      <c r="C190" s="164">
        <v>-1.227061850221766E-2</v>
      </c>
      <c r="D190" s="163">
        <f t="shared" si="10"/>
        <v>5.8797566076803073E-2</v>
      </c>
      <c r="E190" s="163">
        <f t="shared" si="11"/>
        <v>-3.7181142533156623E-2</v>
      </c>
      <c r="F190" s="163">
        <f t="shared" si="12"/>
        <v>-4.6754113403183237E-2</v>
      </c>
      <c r="G190" s="163">
        <f t="shared" si="13"/>
        <v>2.3577021880520537E-3</v>
      </c>
      <c r="H190" s="165">
        <f t="shared" si="14"/>
        <v>-3.167501067466607E-2</v>
      </c>
      <c r="K190" s="123">
        <v>44487</v>
      </c>
      <c r="M190" s="151">
        <v>18500.099609000001</v>
      </c>
      <c r="N190" s="152">
        <v>18604.449218999998</v>
      </c>
      <c r="O190" s="152">
        <v>18034.349609000001</v>
      </c>
      <c r="P190" s="152">
        <v>18114.900390999999</v>
      </c>
      <c r="Q190" s="153">
        <v>1900000</v>
      </c>
      <c r="T190" s="12">
        <v>1430.8</v>
      </c>
      <c r="U190" s="12">
        <v>1639</v>
      </c>
      <c r="V190" s="12">
        <v>1420</v>
      </c>
      <c r="W190" s="12">
        <v>1517.45</v>
      </c>
      <c r="X190" s="12">
        <v>28340000</v>
      </c>
      <c r="AA190" s="12">
        <v>721.5</v>
      </c>
      <c r="AB190" s="12">
        <v>729.95</v>
      </c>
      <c r="AC190" s="12">
        <v>678.25</v>
      </c>
      <c r="AD190" s="12">
        <v>682.4</v>
      </c>
      <c r="AE190" s="12">
        <v>46090000</v>
      </c>
      <c r="AH190" s="12">
        <v>1250.9000000000001</v>
      </c>
      <c r="AI190" s="12">
        <v>1349.95</v>
      </c>
      <c r="AJ190" s="12">
        <v>1186</v>
      </c>
      <c r="AK190" s="12">
        <v>1194</v>
      </c>
      <c r="AL190" s="12">
        <v>54710000</v>
      </c>
      <c r="AO190" s="12">
        <v>1734.2</v>
      </c>
      <c r="AP190" s="12">
        <v>1848.25</v>
      </c>
      <c r="AQ190" s="12">
        <v>1707</v>
      </c>
      <c r="AR190" s="12">
        <v>1719.8</v>
      </c>
      <c r="AS190" s="12">
        <v>50330000</v>
      </c>
      <c r="AV190" s="12">
        <v>3612</v>
      </c>
      <c r="AW190" s="12">
        <v>3700</v>
      </c>
      <c r="AX190" s="12">
        <v>3485</v>
      </c>
      <c r="AY190" s="12">
        <v>3498.85</v>
      </c>
      <c r="AZ190" s="12">
        <v>18820000</v>
      </c>
    </row>
    <row r="191" spans="2:52" ht="15" thickBot="1" x14ac:dyDescent="0.35">
      <c r="B191" s="123">
        <v>44494</v>
      </c>
      <c r="C191" s="164">
        <v>-2.4773142923451938E-2</v>
      </c>
      <c r="D191" s="163">
        <f t="shared" si="10"/>
        <v>-2.6442965601794974E-2</v>
      </c>
      <c r="E191" s="163">
        <f t="shared" si="11"/>
        <v>-5.3656175111330855E-2</v>
      </c>
      <c r="F191" s="163">
        <f t="shared" si="12"/>
        <v>-4.2996677362816357E-2</v>
      </c>
      <c r="G191" s="163">
        <f t="shared" si="13"/>
        <v>-3.0732592387171322E-2</v>
      </c>
      <c r="H191" s="165">
        <f t="shared" si="14"/>
        <v>-2.9320895222058049E-2</v>
      </c>
      <c r="K191" s="123">
        <v>44494</v>
      </c>
      <c r="M191" s="151">
        <v>18229.5</v>
      </c>
      <c r="N191" s="152">
        <v>18342.050781000002</v>
      </c>
      <c r="O191" s="152">
        <v>17613.099609000001</v>
      </c>
      <c r="P191" s="152">
        <v>17671.650390999999</v>
      </c>
      <c r="Q191" s="153">
        <v>1806000</v>
      </c>
      <c r="T191" s="12">
        <v>1535</v>
      </c>
      <c r="U191" s="12">
        <v>1630</v>
      </c>
      <c r="V191" s="12">
        <v>1467.8</v>
      </c>
      <c r="W191" s="12">
        <v>1477.85</v>
      </c>
      <c r="X191" s="12">
        <v>32700000</v>
      </c>
      <c r="AA191" s="12">
        <v>684.4</v>
      </c>
      <c r="AB191" s="12">
        <v>684.4</v>
      </c>
      <c r="AC191" s="12">
        <v>644</v>
      </c>
      <c r="AD191" s="12">
        <v>646.75</v>
      </c>
      <c r="AE191" s="12">
        <v>35090000</v>
      </c>
      <c r="AH191" s="12">
        <v>1192</v>
      </c>
      <c r="AI191" s="12">
        <v>1192</v>
      </c>
      <c r="AJ191" s="12">
        <v>1138</v>
      </c>
      <c r="AK191" s="12">
        <v>1143.75</v>
      </c>
      <c r="AL191" s="12">
        <v>24330000</v>
      </c>
      <c r="AO191" s="12">
        <v>1724.45</v>
      </c>
      <c r="AP191" s="12">
        <v>1734.15</v>
      </c>
      <c r="AQ191" s="12">
        <v>1661.05</v>
      </c>
      <c r="AR191" s="12">
        <v>1667.75</v>
      </c>
      <c r="AS191" s="12">
        <v>28680000</v>
      </c>
      <c r="AV191" s="12">
        <v>3500.05</v>
      </c>
      <c r="AW191" s="12">
        <v>3529.15</v>
      </c>
      <c r="AX191" s="12">
        <v>3385.95</v>
      </c>
      <c r="AY191" s="12">
        <v>3397.75</v>
      </c>
      <c r="AZ191" s="12">
        <v>15910000</v>
      </c>
    </row>
    <row r="192" spans="2:52" ht="15" thickBot="1" x14ac:dyDescent="0.35">
      <c r="B192" s="123">
        <v>44501</v>
      </c>
      <c r="C192" s="164">
        <v>1.3777181057071422E-2</v>
      </c>
      <c r="D192" s="163">
        <f t="shared" si="10"/>
        <v>1.8769193945774559E-2</v>
      </c>
      <c r="E192" s="163">
        <f t="shared" si="11"/>
        <v>1.0688709552545448E-2</v>
      </c>
      <c r="F192" s="163">
        <f t="shared" si="12"/>
        <v>3.382577466988592E-2</v>
      </c>
      <c r="G192" s="163">
        <f t="shared" si="13"/>
        <v>2.4257434864602825E-2</v>
      </c>
      <c r="H192" s="165">
        <f t="shared" si="14"/>
        <v>3.2117900256371623E-2</v>
      </c>
      <c r="K192" s="123">
        <v>44501</v>
      </c>
      <c r="M192" s="151">
        <v>17783.150390999999</v>
      </c>
      <c r="N192" s="152">
        <v>18012.25</v>
      </c>
      <c r="O192" s="152">
        <v>17697.099609000001</v>
      </c>
      <c r="P192" s="152">
        <v>17916.800781000002</v>
      </c>
      <c r="Q192" s="153">
        <v>957100</v>
      </c>
      <c r="T192" s="12">
        <v>1490</v>
      </c>
      <c r="U192" s="12">
        <v>1537.7</v>
      </c>
      <c r="V192" s="12">
        <v>1481</v>
      </c>
      <c r="W192" s="12">
        <v>1505.85</v>
      </c>
      <c r="X192" s="12">
        <v>7420000</v>
      </c>
      <c r="AA192" s="12">
        <v>651.1</v>
      </c>
      <c r="AB192" s="12">
        <v>661.95</v>
      </c>
      <c r="AC192" s="12">
        <v>647.4</v>
      </c>
      <c r="AD192" s="12">
        <v>653.70000000000005</v>
      </c>
      <c r="AE192" s="12">
        <v>13370000</v>
      </c>
      <c r="AH192" s="12">
        <v>1143.5</v>
      </c>
      <c r="AI192" s="12">
        <v>1195.0999999999999</v>
      </c>
      <c r="AJ192" s="12">
        <v>1143.5</v>
      </c>
      <c r="AK192" s="12">
        <v>1183.0999999999999</v>
      </c>
      <c r="AL192" s="12">
        <v>10270000</v>
      </c>
      <c r="AO192" s="12">
        <v>1677.5</v>
      </c>
      <c r="AP192" s="12">
        <v>1717.45</v>
      </c>
      <c r="AQ192" s="12">
        <v>1674.2</v>
      </c>
      <c r="AR192" s="12">
        <v>1708.7</v>
      </c>
      <c r="AS192" s="12">
        <v>11440000</v>
      </c>
      <c r="AV192" s="12">
        <v>3437.95</v>
      </c>
      <c r="AW192" s="12">
        <v>3519.95</v>
      </c>
      <c r="AX192" s="12">
        <v>3412.65</v>
      </c>
      <c r="AY192" s="12">
        <v>3508.65</v>
      </c>
      <c r="AZ192" s="12">
        <v>7320000</v>
      </c>
    </row>
    <row r="193" spans="2:52" ht="15" thickBot="1" x14ac:dyDescent="0.35">
      <c r="B193" s="123">
        <v>44508</v>
      </c>
      <c r="C193" s="164">
        <v>1.0324996669872143E-2</v>
      </c>
      <c r="D193" s="163">
        <f t="shared" si="10"/>
        <v>5.1226884505735815E-2</v>
      </c>
      <c r="E193" s="163">
        <f t="shared" si="11"/>
        <v>9.6670591080845469E-3</v>
      </c>
      <c r="F193" s="163">
        <f t="shared" si="12"/>
        <v>-9.1278308928723212E-3</v>
      </c>
      <c r="G193" s="163">
        <f t="shared" si="13"/>
        <v>4.0992870070603371E-2</v>
      </c>
      <c r="H193" s="165">
        <f t="shared" si="14"/>
        <v>4.9469161398085597E-3</v>
      </c>
      <c r="K193" s="123">
        <v>44508</v>
      </c>
      <c r="M193" s="151">
        <v>18040.199218999998</v>
      </c>
      <c r="N193" s="152">
        <v>18123</v>
      </c>
      <c r="O193" s="152">
        <v>17798.199218999998</v>
      </c>
      <c r="P193" s="152">
        <v>18102.75</v>
      </c>
      <c r="Q193" s="153">
        <v>1351700</v>
      </c>
      <c r="T193" s="12">
        <v>1505.95</v>
      </c>
      <c r="U193" s="12">
        <v>1589.45</v>
      </c>
      <c r="V193" s="12">
        <v>1504.3</v>
      </c>
      <c r="W193" s="12">
        <v>1585</v>
      </c>
      <c r="X193" s="12">
        <v>13600000</v>
      </c>
      <c r="AA193" s="12">
        <v>655</v>
      </c>
      <c r="AB193" s="12">
        <v>666.25</v>
      </c>
      <c r="AC193" s="12">
        <v>636.75</v>
      </c>
      <c r="AD193" s="12">
        <v>660.05</v>
      </c>
      <c r="AE193" s="12">
        <v>27130000</v>
      </c>
      <c r="AH193" s="12">
        <v>1185</v>
      </c>
      <c r="AI193" s="12">
        <v>1193</v>
      </c>
      <c r="AJ193" s="12">
        <v>1152.0999999999999</v>
      </c>
      <c r="AK193" s="12">
        <v>1172.3499999999999</v>
      </c>
      <c r="AL193" s="12">
        <v>17290000</v>
      </c>
      <c r="AO193" s="12">
        <v>1727</v>
      </c>
      <c r="AP193" s="12">
        <v>1782.85</v>
      </c>
      <c r="AQ193" s="12">
        <v>1703</v>
      </c>
      <c r="AR193" s="12">
        <v>1780.2</v>
      </c>
      <c r="AS193" s="12">
        <v>24540000</v>
      </c>
      <c r="AV193" s="12">
        <v>3539</v>
      </c>
      <c r="AW193" s="12">
        <v>3548</v>
      </c>
      <c r="AX193" s="12">
        <v>3436</v>
      </c>
      <c r="AY193" s="12">
        <v>3526.05</v>
      </c>
      <c r="AZ193" s="12">
        <v>9360000</v>
      </c>
    </row>
    <row r="194" spans="2:52" ht="15" thickBot="1" x14ac:dyDescent="0.35">
      <c r="B194" s="123">
        <v>44515</v>
      </c>
      <c r="C194" s="164">
        <v>-1.8844845151475057E-2</v>
      </c>
      <c r="D194" s="163">
        <f t="shared" si="10"/>
        <v>-1.0942936888250758E-2</v>
      </c>
      <c r="E194" s="163">
        <f t="shared" si="11"/>
        <v>-1.3114942077827905E-2</v>
      </c>
      <c r="F194" s="163">
        <f t="shared" si="12"/>
        <v>-4.5503040591012754E-2</v>
      </c>
      <c r="G194" s="163">
        <f t="shared" si="13"/>
        <v>-4.494887141640641E-4</v>
      </c>
      <c r="H194" s="165">
        <f t="shared" si="14"/>
        <v>-1.4382366669904273E-2</v>
      </c>
      <c r="K194" s="123">
        <v>44515</v>
      </c>
      <c r="M194" s="151">
        <v>18140.949218999998</v>
      </c>
      <c r="N194" s="152">
        <v>18210.150390999999</v>
      </c>
      <c r="O194" s="152">
        <v>17688.5</v>
      </c>
      <c r="P194" s="152">
        <v>17764.800781000002</v>
      </c>
      <c r="Q194" s="153">
        <v>1121900</v>
      </c>
      <c r="T194" s="12">
        <v>1585</v>
      </c>
      <c r="U194" s="12">
        <v>1625</v>
      </c>
      <c r="V194" s="12">
        <v>1559.5</v>
      </c>
      <c r="W194" s="12">
        <v>1567.75</v>
      </c>
      <c r="X194" s="12">
        <v>11140000</v>
      </c>
      <c r="AA194" s="12">
        <v>661.55</v>
      </c>
      <c r="AB194" s="12">
        <v>668.75</v>
      </c>
      <c r="AC194" s="12">
        <v>645.25</v>
      </c>
      <c r="AD194" s="12">
        <v>651.45000000000005</v>
      </c>
      <c r="AE194" s="12">
        <v>20340000</v>
      </c>
      <c r="AH194" s="12">
        <v>1171</v>
      </c>
      <c r="AI194" s="12">
        <v>1181.5999999999999</v>
      </c>
      <c r="AJ194" s="12">
        <v>1113.5</v>
      </c>
      <c r="AK194" s="12">
        <v>1120.2</v>
      </c>
      <c r="AL194" s="12">
        <v>15940000</v>
      </c>
      <c r="AO194" s="12">
        <v>1782.1</v>
      </c>
      <c r="AP194" s="12">
        <v>1808.95</v>
      </c>
      <c r="AQ194" s="12">
        <v>1759</v>
      </c>
      <c r="AR194" s="12">
        <v>1779.4</v>
      </c>
      <c r="AS194" s="12">
        <v>20220000</v>
      </c>
      <c r="AV194" s="12">
        <v>3528</v>
      </c>
      <c r="AW194" s="12">
        <v>3575.55</v>
      </c>
      <c r="AX194" s="12">
        <v>3451.6</v>
      </c>
      <c r="AY194" s="12">
        <v>3475.7</v>
      </c>
      <c r="AZ194" s="12">
        <v>7920000</v>
      </c>
    </row>
    <row r="195" spans="2:52" ht="15" thickBot="1" x14ac:dyDescent="0.35">
      <c r="B195" s="123">
        <v>44522</v>
      </c>
      <c r="C195" s="164">
        <v>-4.2451043872792429E-2</v>
      </c>
      <c r="D195" s="163">
        <f t="shared" si="10"/>
        <v>-2.6074526968846417E-2</v>
      </c>
      <c r="E195" s="163">
        <f t="shared" si="11"/>
        <v>-4.7145190457420084E-2</v>
      </c>
      <c r="F195" s="163">
        <f t="shared" si="12"/>
        <v>-9.1021814388047E-3</v>
      </c>
      <c r="G195" s="163">
        <f t="shared" si="13"/>
        <v>-5.0571844834070803E-2</v>
      </c>
      <c r="H195" s="165">
        <f t="shared" si="14"/>
        <v>-8.3351270926775561E-3</v>
      </c>
      <c r="K195" s="123">
        <v>44522</v>
      </c>
      <c r="M195" s="151">
        <v>17796.25</v>
      </c>
      <c r="N195" s="152">
        <v>17805.25</v>
      </c>
      <c r="O195" s="152">
        <v>16985.699218999998</v>
      </c>
      <c r="P195" s="152">
        <v>17026.449218999998</v>
      </c>
      <c r="Q195" s="153">
        <v>1575500</v>
      </c>
      <c r="T195" s="12">
        <v>1575</v>
      </c>
      <c r="U195" s="12">
        <v>1581.8</v>
      </c>
      <c r="V195" s="12">
        <v>1506.3</v>
      </c>
      <c r="W195" s="12">
        <v>1527.4</v>
      </c>
      <c r="X195" s="12">
        <v>8900000</v>
      </c>
      <c r="AA195" s="12">
        <v>658</v>
      </c>
      <c r="AB195" s="12">
        <v>660.45</v>
      </c>
      <c r="AC195" s="12">
        <v>619.65</v>
      </c>
      <c r="AD195" s="12">
        <v>621.45000000000005</v>
      </c>
      <c r="AE195" s="12">
        <v>23490000</v>
      </c>
      <c r="AH195" s="12">
        <v>1120.2</v>
      </c>
      <c r="AI195" s="12">
        <v>1158</v>
      </c>
      <c r="AJ195" s="12">
        <v>1090</v>
      </c>
      <c r="AK195" s="12">
        <v>1110.05</v>
      </c>
      <c r="AL195" s="12">
        <v>21380000</v>
      </c>
      <c r="AO195" s="12">
        <v>1784</v>
      </c>
      <c r="AP195" s="12">
        <v>1785.4</v>
      </c>
      <c r="AQ195" s="12">
        <v>1683</v>
      </c>
      <c r="AR195" s="12">
        <v>1691.65</v>
      </c>
      <c r="AS195" s="12">
        <v>32820000</v>
      </c>
      <c r="AV195" s="12">
        <v>3478.4</v>
      </c>
      <c r="AW195" s="12">
        <v>3516</v>
      </c>
      <c r="AX195" s="12">
        <v>3407.8</v>
      </c>
      <c r="AY195" s="12">
        <v>3446.85</v>
      </c>
      <c r="AZ195" s="12">
        <v>11600000</v>
      </c>
    </row>
    <row r="196" spans="2:52" ht="15" thickBot="1" x14ac:dyDescent="0.35">
      <c r="B196" s="123">
        <v>44529</v>
      </c>
      <c r="C196" s="164">
        <v>9.9494881226120796E-3</v>
      </c>
      <c r="D196" s="163">
        <f t="shared" si="10"/>
        <v>4.2240393642179387E-2</v>
      </c>
      <c r="E196" s="163">
        <f t="shared" si="11"/>
        <v>3.0583908052660005E-2</v>
      </c>
      <c r="F196" s="163">
        <f t="shared" si="12"/>
        <v>5.3794555318754787E-2</v>
      </c>
      <c r="G196" s="163">
        <f t="shared" si="13"/>
        <v>2.5619982051410209E-2</v>
      </c>
      <c r="H196" s="165">
        <f t="shared" si="14"/>
        <v>5.464652989424721E-2</v>
      </c>
      <c r="K196" s="123">
        <v>44529</v>
      </c>
      <c r="M196" s="151">
        <v>17055.800781000002</v>
      </c>
      <c r="N196" s="152">
        <v>17489.800781000002</v>
      </c>
      <c r="O196" s="152">
        <v>16782.400390999999</v>
      </c>
      <c r="P196" s="152">
        <v>17196.699218999998</v>
      </c>
      <c r="Q196" s="153">
        <v>1714800</v>
      </c>
      <c r="T196" s="12">
        <v>1500.1</v>
      </c>
      <c r="U196" s="12">
        <v>1638.25</v>
      </c>
      <c r="V196" s="12">
        <v>1479.15</v>
      </c>
      <c r="W196" s="12">
        <v>1593.3</v>
      </c>
      <c r="X196" s="12">
        <v>16200000</v>
      </c>
      <c r="AA196" s="12">
        <v>618</v>
      </c>
      <c r="AB196" s="12">
        <v>653.95000000000005</v>
      </c>
      <c r="AC196" s="12">
        <v>603.9</v>
      </c>
      <c r="AD196" s="12">
        <v>640.75</v>
      </c>
      <c r="AE196" s="12">
        <v>37280000</v>
      </c>
      <c r="AH196" s="12">
        <v>1096.55</v>
      </c>
      <c r="AI196" s="12">
        <v>1189.7</v>
      </c>
      <c r="AJ196" s="12">
        <v>1096.55</v>
      </c>
      <c r="AK196" s="12">
        <v>1171.4000000000001</v>
      </c>
      <c r="AL196" s="12">
        <v>21240000</v>
      </c>
      <c r="AO196" s="12">
        <v>1680</v>
      </c>
      <c r="AP196" s="12">
        <v>1786.7</v>
      </c>
      <c r="AQ196" s="12">
        <v>1669.15</v>
      </c>
      <c r="AR196" s="12">
        <v>1735.55</v>
      </c>
      <c r="AS196" s="12">
        <v>38240000</v>
      </c>
      <c r="AV196" s="12">
        <v>3445.65</v>
      </c>
      <c r="AW196" s="12">
        <v>3665.95</v>
      </c>
      <c r="AX196" s="12">
        <v>3406.45</v>
      </c>
      <c r="AY196" s="12">
        <v>3640.45</v>
      </c>
      <c r="AZ196" s="12">
        <v>16950000</v>
      </c>
    </row>
    <row r="197" spans="2:52" ht="15" thickBot="1" x14ac:dyDescent="0.35">
      <c r="B197" s="123">
        <v>44536</v>
      </c>
      <c r="C197" s="164">
        <v>1.8128971900158396E-2</v>
      </c>
      <c r="D197" s="163">
        <f t="shared" si="10"/>
        <v>5.8511720619547443E-3</v>
      </c>
      <c r="E197" s="163">
        <f t="shared" si="11"/>
        <v>-3.9093091225873211E-3</v>
      </c>
      <c r="F197" s="163">
        <f t="shared" si="12"/>
        <v>-7.8848540146766906E-3</v>
      </c>
      <c r="G197" s="163">
        <f t="shared" si="13"/>
        <v>1.3563215818651797E-2</v>
      </c>
      <c r="H197" s="165">
        <f t="shared" si="14"/>
        <v>-1.0031262650235235E-3</v>
      </c>
      <c r="K197" s="123">
        <v>44536</v>
      </c>
      <c r="M197" s="151">
        <v>17209.050781000002</v>
      </c>
      <c r="N197" s="152">
        <v>17543.25</v>
      </c>
      <c r="O197" s="152">
        <v>16891.699218999998</v>
      </c>
      <c r="P197" s="152">
        <v>17511.300781000002</v>
      </c>
      <c r="Q197" s="153">
        <v>1185300</v>
      </c>
      <c r="T197" s="12">
        <v>1608</v>
      </c>
      <c r="U197" s="12">
        <v>1620</v>
      </c>
      <c r="V197" s="12">
        <v>1536</v>
      </c>
      <c r="W197" s="12">
        <v>1602.65</v>
      </c>
      <c r="X197" s="12">
        <v>10560000</v>
      </c>
      <c r="AA197" s="12">
        <v>637.79999999999995</v>
      </c>
      <c r="AB197" s="12">
        <v>653</v>
      </c>
      <c r="AC197" s="12">
        <v>623</v>
      </c>
      <c r="AD197" s="12">
        <v>638.25</v>
      </c>
      <c r="AE197" s="12">
        <v>25920000</v>
      </c>
      <c r="AH197" s="12">
        <v>1171</v>
      </c>
      <c r="AI197" s="12">
        <v>1181.6500000000001</v>
      </c>
      <c r="AJ197" s="12">
        <v>1131.2</v>
      </c>
      <c r="AK197" s="12">
        <v>1162.2</v>
      </c>
      <c r="AL197" s="12">
        <v>10480000</v>
      </c>
      <c r="AO197" s="12">
        <v>1732</v>
      </c>
      <c r="AP197" s="12">
        <v>1769.4</v>
      </c>
      <c r="AQ197" s="12">
        <v>1690</v>
      </c>
      <c r="AR197" s="12">
        <v>1759.25</v>
      </c>
      <c r="AS197" s="12">
        <v>16000000</v>
      </c>
      <c r="AV197" s="12">
        <v>3642</v>
      </c>
      <c r="AW197" s="12">
        <v>3658</v>
      </c>
      <c r="AX197" s="12">
        <v>3521.5</v>
      </c>
      <c r="AY197" s="12">
        <v>3636.8</v>
      </c>
      <c r="AZ197" s="12">
        <v>8340000</v>
      </c>
    </row>
    <row r="198" spans="2:52" ht="15" thickBot="1" x14ac:dyDescent="0.35">
      <c r="B198" s="123">
        <v>44543</v>
      </c>
      <c r="C198" s="164">
        <v>-3.0504100773498841E-2</v>
      </c>
      <c r="D198" s="163">
        <f t="shared" ref="D198:D261" si="15">LN(W198/W197)</f>
        <v>2.4774029302071416E-2</v>
      </c>
      <c r="E198" s="163">
        <f t="shared" ref="E198:E261" si="16">LN(AD198/AD197)</f>
        <v>4.9740973827460441E-2</v>
      </c>
      <c r="F198" s="163">
        <f t="shared" ref="F198:F261" si="17">LN(AK198/AK197)</f>
        <v>7.8848540146766403E-3</v>
      </c>
      <c r="G198" s="163">
        <f t="shared" ref="G198:G261" si="18">LN(AR198/AR197)</f>
        <v>3.4415843165264082E-2</v>
      </c>
      <c r="H198" s="165">
        <f t="shared" ref="H198:H261" si="19">LN(AY198/AY197)</f>
        <v>-1.452702752151893E-2</v>
      </c>
      <c r="K198" s="123">
        <v>44543</v>
      </c>
      <c r="M198" s="151">
        <v>17619.099609000001</v>
      </c>
      <c r="N198" s="152">
        <v>17639.5</v>
      </c>
      <c r="O198" s="152">
        <v>16966.449218999998</v>
      </c>
      <c r="P198" s="152">
        <v>16985.199218999998</v>
      </c>
      <c r="Q198" s="153">
        <v>1316700</v>
      </c>
      <c r="T198" s="12">
        <v>1606</v>
      </c>
      <c r="U198" s="12">
        <v>1675</v>
      </c>
      <c r="V198" s="12">
        <v>1597.45</v>
      </c>
      <c r="W198" s="12">
        <v>1642.85</v>
      </c>
      <c r="X198" s="12">
        <v>13710000</v>
      </c>
      <c r="AA198" s="12">
        <v>641</v>
      </c>
      <c r="AB198" s="12">
        <v>676.8</v>
      </c>
      <c r="AC198" s="12">
        <v>635.29999999999995</v>
      </c>
      <c r="AD198" s="12">
        <v>670.8</v>
      </c>
      <c r="AE198" s="12">
        <v>75310000</v>
      </c>
      <c r="AH198" s="12">
        <v>1172</v>
      </c>
      <c r="AI198" s="12">
        <v>1182.9000000000001</v>
      </c>
      <c r="AJ198" s="12">
        <v>1142.3</v>
      </c>
      <c r="AK198" s="12">
        <v>1171.4000000000001</v>
      </c>
      <c r="AL198" s="12">
        <v>15540000</v>
      </c>
      <c r="AO198" s="12">
        <v>1765</v>
      </c>
      <c r="AP198" s="12">
        <v>1842</v>
      </c>
      <c r="AQ198" s="12">
        <v>1710.35</v>
      </c>
      <c r="AR198" s="12">
        <v>1820.85</v>
      </c>
      <c r="AS198" s="12">
        <v>36180000</v>
      </c>
      <c r="AV198" s="12">
        <v>3647</v>
      </c>
      <c r="AW198" s="12">
        <v>3662</v>
      </c>
      <c r="AX198" s="12">
        <v>3558.15</v>
      </c>
      <c r="AY198" s="12">
        <v>3584.35</v>
      </c>
      <c r="AZ198" s="12">
        <v>11950000</v>
      </c>
    </row>
    <row r="199" spans="2:52" ht="15" thickBot="1" x14ac:dyDescent="0.35">
      <c r="B199" s="123">
        <v>44550</v>
      </c>
      <c r="C199" s="164">
        <v>1.0915773078171494E-3</v>
      </c>
      <c r="D199" s="163">
        <f t="shared" si="15"/>
        <v>4.8098617752809464E-2</v>
      </c>
      <c r="E199" s="163">
        <f t="shared" si="16"/>
        <v>4.0392564224506322E-2</v>
      </c>
      <c r="F199" s="163">
        <f t="shared" si="17"/>
        <v>7.7030597775811852E-2</v>
      </c>
      <c r="G199" s="163">
        <f t="shared" si="18"/>
        <v>2.3153014907390752E-2</v>
      </c>
      <c r="H199" s="165">
        <f t="shared" si="19"/>
        <v>2.3859717015129917E-2</v>
      </c>
      <c r="K199" s="123">
        <v>44550</v>
      </c>
      <c r="M199" s="151">
        <v>16824.25</v>
      </c>
      <c r="N199" s="152">
        <v>17155.599609000001</v>
      </c>
      <c r="O199" s="152">
        <v>16410.199218999998</v>
      </c>
      <c r="P199" s="152">
        <v>17003.75</v>
      </c>
      <c r="Q199" s="153">
        <v>1159100</v>
      </c>
      <c r="T199" s="12">
        <v>1629.95</v>
      </c>
      <c r="U199" s="12">
        <v>1735.55</v>
      </c>
      <c r="V199" s="12">
        <v>1576.6</v>
      </c>
      <c r="W199" s="12">
        <v>1723.8</v>
      </c>
      <c r="X199" s="12">
        <v>11650000</v>
      </c>
      <c r="AA199" s="12">
        <v>668</v>
      </c>
      <c r="AB199" s="12">
        <v>702.45</v>
      </c>
      <c r="AC199" s="12">
        <v>663</v>
      </c>
      <c r="AD199" s="12">
        <v>698.45</v>
      </c>
      <c r="AE199" s="12">
        <v>49940000</v>
      </c>
      <c r="AH199" s="12">
        <v>1180</v>
      </c>
      <c r="AI199" s="12">
        <v>1283.8</v>
      </c>
      <c r="AJ199" s="12">
        <v>1145.3</v>
      </c>
      <c r="AK199" s="12">
        <v>1265.2</v>
      </c>
      <c r="AL199" s="12">
        <v>33540000</v>
      </c>
      <c r="AO199" s="12">
        <v>1806</v>
      </c>
      <c r="AP199" s="12">
        <v>1913</v>
      </c>
      <c r="AQ199" s="12">
        <v>1786.75</v>
      </c>
      <c r="AR199" s="12">
        <v>1863.5</v>
      </c>
      <c r="AS199" s="12">
        <v>24040000</v>
      </c>
      <c r="AV199" s="12">
        <v>3570.1</v>
      </c>
      <c r="AW199" s="12">
        <v>3705</v>
      </c>
      <c r="AX199" s="12">
        <v>3509.85</v>
      </c>
      <c r="AY199" s="12">
        <v>3670.9</v>
      </c>
      <c r="AZ199" s="12">
        <v>10420000</v>
      </c>
    </row>
    <row r="200" spans="2:52" ht="15" thickBot="1" x14ac:dyDescent="0.35">
      <c r="B200" s="123">
        <v>44557</v>
      </c>
      <c r="C200" s="164">
        <v>2.0392045585679051E-2</v>
      </c>
      <c r="D200" s="163">
        <f t="shared" si="15"/>
        <v>3.7991678995858078E-2</v>
      </c>
      <c r="E200" s="163">
        <f t="shared" si="16"/>
        <v>2.3908339238783001E-2</v>
      </c>
      <c r="F200" s="163">
        <f t="shared" si="17"/>
        <v>4.1719473423380234E-2</v>
      </c>
      <c r="G200" s="163">
        <f t="shared" si="18"/>
        <v>1.2929203764221757E-2</v>
      </c>
      <c r="H200" s="165">
        <f t="shared" si="19"/>
        <v>1.8207473999128049E-2</v>
      </c>
      <c r="K200" s="123">
        <v>44557</v>
      </c>
      <c r="M200" s="151">
        <v>16937.75</v>
      </c>
      <c r="N200" s="152">
        <v>17400.800781000002</v>
      </c>
      <c r="O200" s="152">
        <v>16833.199218999998</v>
      </c>
      <c r="P200" s="152">
        <v>17354.050781000002</v>
      </c>
      <c r="Q200" s="153">
        <v>970300</v>
      </c>
      <c r="T200" s="12">
        <v>1723.2</v>
      </c>
      <c r="U200" s="12">
        <v>1838</v>
      </c>
      <c r="V200" s="12">
        <v>1703.65</v>
      </c>
      <c r="W200" s="12">
        <v>1790.55</v>
      </c>
      <c r="X200" s="12">
        <v>17750000</v>
      </c>
      <c r="AA200" s="12">
        <v>698.15</v>
      </c>
      <c r="AB200" s="12">
        <v>719.9</v>
      </c>
      <c r="AC200" s="12">
        <v>691.15</v>
      </c>
      <c r="AD200" s="12">
        <v>715.35</v>
      </c>
      <c r="AE200" s="12">
        <v>30120000</v>
      </c>
      <c r="AH200" s="12">
        <v>1273.7</v>
      </c>
      <c r="AI200" s="12">
        <v>1329.45</v>
      </c>
      <c r="AJ200" s="12">
        <v>1254.05</v>
      </c>
      <c r="AK200" s="12">
        <v>1319.1</v>
      </c>
      <c r="AL200" s="12">
        <v>17000000</v>
      </c>
      <c r="AO200" s="12">
        <v>1859</v>
      </c>
      <c r="AP200" s="12">
        <v>1909.8</v>
      </c>
      <c r="AQ200" s="12">
        <v>1845</v>
      </c>
      <c r="AR200" s="12">
        <v>1887.75</v>
      </c>
      <c r="AS200" s="12">
        <v>19290000</v>
      </c>
      <c r="AV200" s="12">
        <v>3670</v>
      </c>
      <c r="AW200" s="12">
        <v>3760</v>
      </c>
      <c r="AX200" s="12">
        <v>3653.1</v>
      </c>
      <c r="AY200" s="12">
        <v>3738.35</v>
      </c>
      <c r="AZ200" s="12">
        <v>7870000</v>
      </c>
    </row>
    <row r="201" spans="2:52" ht="15" thickBot="1" x14ac:dyDescent="0.35">
      <c r="B201" s="123">
        <v>44564</v>
      </c>
      <c r="C201" s="164">
        <v>2.6085688639705763E-2</v>
      </c>
      <c r="D201" s="163">
        <f t="shared" si="15"/>
        <v>-4.9632438863616769E-2</v>
      </c>
      <c r="E201" s="163">
        <f t="shared" si="16"/>
        <v>-5.3965158824359977E-3</v>
      </c>
      <c r="F201" s="163">
        <f t="shared" si="17"/>
        <v>-2.1881201774153487E-2</v>
      </c>
      <c r="G201" s="163">
        <f t="shared" si="18"/>
        <v>-3.9685925307417491E-2</v>
      </c>
      <c r="H201" s="165">
        <f t="shared" si="19"/>
        <v>3.0337488627030111E-2</v>
      </c>
      <c r="K201" s="123">
        <v>44564</v>
      </c>
      <c r="M201" s="151">
        <v>17387.150390999999</v>
      </c>
      <c r="N201" s="152">
        <v>17944.699218999998</v>
      </c>
      <c r="O201" s="152">
        <v>17383.300781000002</v>
      </c>
      <c r="P201" s="152">
        <v>17812.699218999998</v>
      </c>
      <c r="Q201" s="153">
        <v>1175200</v>
      </c>
      <c r="T201" s="12">
        <v>1791.5</v>
      </c>
      <c r="U201" s="12">
        <v>1818</v>
      </c>
      <c r="V201" s="12">
        <v>1690</v>
      </c>
      <c r="W201" s="12">
        <v>1703.85</v>
      </c>
      <c r="X201" s="12">
        <v>14830000</v>
      </c>
      <c r="AA201" s="12">
        <v>718.3</v>
      </c>
      <c r="AB201" s="12">
        <v>726.8</v>
      </c>
      <c r="AC201" s="12">
        <v>699.95</v>
      </c>
      <c r="AD201" s="12">
        <v>711.5</v>
      </c>
      <c r="AE201" s="12">
        <v>32770000</v>
      </c>
      <c r="AH201" s="12">
        <v>1315</v>
      </c>
      <c r="AI201" s="12">
        <v>1342.75</v>
      </c>
      <c r="AJ201" s="12">
        <v>1277</v>
      </c>
      <c r="AK201" s="12">
        <v>1290.55</v>
      </c>
      <c r="AL201" s="12">
        <v>18970000</v>
      </c>
      <c r="AO201" s="12">
        <v>1890</v>
      </c>
      <c r="AP201" s="12">
        <v>1914.05</v>
      </c>
      <c r="AQ201" s="12">
        <v>1800</v>
      </c>
      <c r="AR201" s="12">
        <v>1814.3</v>
      </c>
      <c r="AS201" s="12">
        <v>27150000</v>
      </c>
      <c r="AV201" s="12">
        <v>3744</v>
      </c>
      <c r="AW201" s="12">
        <v>3889.15</v>
      </c>
      <c r="AX201" s="12">
        <v>3743.95</v>
      </c>
      <c r="AY201" s="12">
        <v>3853.5</v>
      </c>
      <c r="AZ201" s="12">
        <v>11460000</v>
      </c>
    </row>
    <row r="202" spans="2:52" ht="15" thickBot="1" x14ac:dyDescent="0.35">
      <c r="B202" s="123">
        <v>44571</v>
      </c>
      <c r="C202" s="164">
        <v>2.4568456707108815E-2</v>
      </c>
      <c r="D202" s="163">
        <f t="shared" si="15"/>
        <v>1.9700776635054967E-2</v>
      </c>
      <c r="E202" s="163">
        <f t="shared" si="16"/>
        <v>-0.10621979001448949</v>
      </c>
      <c r="F202" s="163">
        <f t="shared" si="17"/>
        <v>3.5509391465223056E-2</v>
      </c>
      <c r="G202" s="163">
        <f t="shared" si="18"/>
        <v>6.1483440232378325E-2</v>
      </c>
      <c r="H202" s="165">
        <f t="shared" si="19"/>
        <v>2.9318164891576924E-2</v>
      </c>
      <c r="K202" s="123">
        <v>44571</v>
      </c>
      <c r="M202" s="151">
        <v>17913.300781000002</v>
      </c>
      <c r="N202" s="152">
        <v>18286.949218999998</v>
      </c>
      <c r="O202" s="152">
        <v>17879.150390999999</v>
      </c>
      <c r="P202" s="152">
        <v>18255.75</v>
      </c>
      <c r="Q202" s="153">
        <v>1230800</v>
      </c>
      <c r="T202" s="12">
        <v>1719</v>
      </c>
      <c r="U202" s="12">
        <v>1755</v>
      </c>
      <c r="V202" s="12">
        <v>1687.5</v>
      </c>
      <c r="W202" s="12">
        <v>1737.75</v>
      </c>
      <c r="X202" s="12">
        <v>13160000</v>
      </c>
      <c r="AA202" s="12">
        <v>709</v>
      </c>
      <c r="AB202" s="12">
        <v>714</v>
      </c>
      <c r="AC202" s="12">
        <v>636.5</v>
      </c>
      <c r="AD202" s="12">
        <v>639.79999999999995</v>
      </c>
      <c r="AE202" s="12">
        <v>81370000</v>
      </c>
      <c r="AH202" s="12">
        <v>1304.8499999999999</v>
      </c>
      <c r="AI202" s="12">
        <v>1359.4</v>
      </c>
      <c r="AJ202" s="12">
        <v>1280</v>
      </c>
      <c r="AK202" s="12">
        <v>1337.2</v>
      </c>
      <c r="AL202" s="12">
        <v>23950000</v>
      </c>
      <c r="AO202" s="12">
        <v>1815</v>
      </c>
      <c r="AP202" s="12">
        <v>1933</v>
      </c>
      <c r="AQ202" s="12">
        <v>1813</v>
      </c>
      <c r="AR202" s="12">
        <v>1929.35</v>
      </c>
      <c r="AS202" s="12">
        <v>42110000</v>
      </c>
      <c r="AV202" s="12">
        <v>3978</v>
      </c>
      <c r="AW202" s="12">
        <v>3979.9</v>
      </c>
      <c r="AX202" s="12">
        <v>3836.55</v>
      </c>
      <c r="AY202" s="12">
        <v>3968.15</v>
      </c>
      <c r="AZ202" s="12">
        <v>20180000</v>
      </c>
    </row>
    <row r="203" spans="2:52" ht="15" thickBot="1" x14ac:dyDescent="0.35">
      <c r="B203" s="123">
        <v>44578</v>
      </c>
      <c r="C203" s="164">
        <v>-3.5607217291922566E-2</v>
      </c>
      <c r="D203" s="163">
        <f t="shared" si="15"/>
        <v>-8.6626941144490863E-2</v>
      </c>
      <c r="E203" s="163">
        <f t="shared" si="16"/>
        <v>-5.5844528271356164E-2</v>
      </c>
      <c r="F203" s="163">
        <f t="shared" si="17"/>
        <v>-0.13532780029324717</v>
      </c>
      <c r="G203" s="163">
        <f t="shared" si="18"/>
        <v>-7.737266340541675E-2</v>
      </c>
      <c r="H203" s="165">
        <f t="shared" si="19"/>
        <v>-3.4521767110675672E-2</v>
      </c>
      <c r="K203" s="123">
        <v>44578</v>
      </c>
      <c r="M203" s="151">
        <v>18235.650390999999</v>
      </c>
      <c r="N203" s="152">
        <v>18350.949218999998</v>
      </c>
      <c r="O203" s="152">
        <v>17485.849609000001</v>
      </c>
      <c r="P203" s="152">
        <v>17617.150390999999</v>
      </c>
      <c r="Q203" s="153">
        <v>1306600</v>
      </c>
      <c r="T203" s="12">
        <v>1739</v>
      </c>
      <c r="U203" s="12">
        <v>1751</v>
      </c>
      <c r="V203" s="12">
        <v>1588.85</v>
      </c>
      <c r="W203" s="12">
        <v>1593.55</v>
      </c>
      <c r="X203" s="12">
        <v>17330000</v>
      </c>
      <c r="AA203" s="12">
        <v>640.79999999999995</v>
      </c>
      <c r="AB203" s="12">
        <v>651.75</v>
      </c>
      <c r="AC203" s="12">
        <v>600.79999999999995</v>
      </c>
      <c r="AD203" s="12">
        <v>605.04999999999995</v>
      </c>
      <c r="AE203" s="12">
        <v>47490000</v>
      </c>
      <c r="AH203" s="12">
        <v>1276</v>
      </c>
      <c r="AI203" s="12">
        <v>1276</v>
      </c>
      <c r="AJ203" s="12">
        <v>1155</v>
      </c>
      <c r="AK203" s="12">
        <v>1167.95</v>
      </c>
      <c r="AL203" s="12">
        <v>41700000</v>
      </c>
      <c r="AO203" s="12">
        <v>1935</v>
      </c>
      <c r="AP203" s="12">
        <v>1953.9</v>
      </c>
      <c r="AQ203" s="12">
        <v>1776</v>
      </c>
      <c r="AR203" s="12">
        <v>1785.7</v>
      </c>
      <c r="AS203" s="12">
        <v>29500000</v>
      </c>
      <c r="AV203" s="12">
        <v>3998</v>
      </c>
      <c r="AW203" s="12">
        <v>4045.5</v>
      </c>
      <c r="AX203" s="12">
        <v>3771.1</v>
      </c>
      <c r="AY203" s="12">
        <v>3833.5</v>
      </c>
      <c r="AZ203" s="12">
        <v>19290000</v>
      </c>
    </row>
    <row r="204" spans="2:52" ht="15" thickBot="1" x14ac:dyDescent="0.35">
      <c r="B204" s="123">
        <v>44585</v>
      </c>
      <c r="C204" s="164">
        <v>-2.9680435178554832E-2</v>
      </c>
      <c r="D204" s="163">
        <f t="shared" si="15"/>
        <v>-0.12191364078067488</v>
      </c>
      <c r="E204" s="163">
        <f t="shared" si="16"/>
        <v>-9.1491350750921588E-2</v>
      </c>
      <c r="F204" s="163">
        <f t="shared" si="17"/>
        <v>-7.7872454249214712E-2</v>
      </c>
      <c r="G204" s="163">
        <f t="shared" si="18"/>
        <v>-5.7333018714503796E-2</v>
      </c>
      <c r="H204" s="165">
        <f t="shared" si="19"/>
        <v>-3.8138215920677086E-2</v>
      </c>
      <c r="K204" s="123">
        <v>44585</v>
      </c>
      <c r="M204" s="151">
        <v>17575.150390999999</v>
      </c>
      <c r="N204" s="152">
        <v>17599.400390999999</v>
      </c>
      <c r="O204" s="152">
        <v>16836.800781000002</v>
      </c>
      <c r="P204" s="152">
        <v>17101.949218999998</v>
      </c>
      <c r="Q204" s="153">
        <v>1401200</v>
      </c>
      <c r="T204" s="12">
        <v>1588</v>
      </c>
      <c r="U204" s="12">
        <v>1588</v>
      </c>
      <c r="V204" s="12">
        <v>1406.25</v>
      </c>
      <c r="W204" s="12">
        <v>1410.65</v>
      </c>
      <c r="X204" s="12">
        <v>19510000</v>
      </c>
      <c r="AA204" s="12">
        <v>605.20000000000005</v>
      </c>
      <c r="AB204" s="12">
        <v>605.5</v>
      </c>
      <c r="AC204" s="12">
        <v>537.20000000000005</v>
      </c>
      <c r="AD204" s="12">
        <v>552.15</v>
      </c>
      <c r="AE204" s="12">
        <v>65790000</v>
      </c>
      <c r="AH204" s="12">
        <v>1166</v>
      </c>
      <c r="AI204" s="12">
        <v>1166</v>
      </c>
      <c r="AJ204" s="12">
        <v>1070.2</v>
      </c>
      <c r="AK204" s="12">
        <v>1080.45</v>
      </c>
      <c r="AL204" s="12">
        <v>27880000</v>
      </c>
      <c r="AO204" s="12">
        <v>1770</v>
      </c>
      <c r="AP204" s="12">
        <v>1770</v>
      </c>
      <c r="AQ204" s="12">
        <v>1665</v>
      </c>
      <c r="AR204" s="12">
        <v>1686.2</v>
      </c>
      <c r="AS204" s="12">
        <v>39850000</v>
      </c>
      <c r="AV204" s="12">
        <v>3841</v>
      </c>
      <c r="AW204" s="12">
        <v>3850.15</v>
      </c>
      <c r="AX204" s="12">
        <v>3625.1</v>
      </c>
      <c r="AY204" s="12">
        <v>3690.05</v>
      </c>
      <c r="AZ204" s="12">
        <v>16590000</v>
      </c>
    </row>
    <row r="205" spans="2:52" ht="15" thickBot="1" x14ac:dyDescent="0.35">
      <c r="B205" s="123">
        <v>44592</v>
      </c>
      <c r="C205" s="164">
        <v>2.3939474149995425E-2</v>
      </c>
      <c r="D205" s="163">
        <f t="shared" si="15"/>
        <v>2.6270814899290885E-2</v>
      </c>
      <c r="E205" s="163">
        <f t="shared" si="16"/>
        <v>3.4882084409750803E-2</v>
      </c>
      <c r="F205" s="163">
        <f t="shared" si="17"/>
        <v>7.4312892219087823E-2</v>
      </c>
      <c r="G205" s="163">
        <f t="shared" si="18"/>
        <v>3.2039620883977396E-2</v>
      </c>
      <c r="H205" s="165">
        <f t="shared" si="19"/>
        <v>3.3274443976946302E-2</v>
      </c>
      <c r="K205" s="123">
        <v>44592</v>
      </c>
      <c r="M205" s="151">
        <v>17301.050781000002</v>
      </c>
      <c r="N205" s="152">
        <v>17794.599609000001</v>
      </c>
      <c r="O205" s="152">
        <v>17244.550781000002</v>
      </c>
      <c r="P205" s="152">
        <v>17516.300781000002</v>
      </c>
      <c r="Q205" s="153">
        <v>1467300</v>
      </c>
      <c r="T205" s="12">
        <v>1437</v>
      </c>
      <c r="U205" s="12">
        <v>1515</v>
      </c>
      <c r="V205" s="12">
        <v>1431.5</v>
      </c>
      <c r="W205" s="12">
        <v>1448.2</v>
      </c>
      <c r="X205" s="12">
        <v>21630000</v>
      </c>
      <c r="AA205" s="12">
        <v>568</v>
      </c>
      <c r="AB205" s="12">
        <v>590</v>
      </c>
      <c r="AC205" s="12">
        <v>562.5</v>
      </c>
      <c r="AD205" s="12">
        <v>571.75</v>
      </c>
      <c r="AE205" s="12">
        <v>48950000</v>
      </c>
      <c r="AH205" s="12">
        <v>1089.3499999999999</v>
      </c>
      <c r="AI205" s="12">
        <v>1174.2</v>
      </c>
      <c r="AJ205" s="12">
        <v>1089.3499999999999</v>
      </c>
      <c r="AK205" s="12">
        <v>1163.8</v>
      </c>
      <c r="AL205" s="12">
        <v>30140000</v>
      </c>
      <c r="AO205" s="12">
        <v>1719.45</v>
      </c>
      <c r="AP205" s="12">
        <v>1792.95</v>
      </c>
      <c r="AQ205" s="12">
        <v>1710.15</v>
      </c>
      <c r="AR205" s="12">
        <v>1741.1</v>
      </c>
      <c r="AS205" s="12">
        <v>28000000</v>
      </c>
      <c r="AV205" s="12">
        <v>3742.2</v>
      </c>
      <c r="AW205" s="12">
        <v>3882.95</v>
      </c>
      <c r="AX205" s="12">
        <v>3721.4</v>
      </c>
      <c r="AY205" s="12">
        <v>3814.9</v>
      </c>
      <c r="AZ205" s="12">
        <v>11680000</v>
      </c>
    </row>
    <row r="206" spans="2:52" ht="15" thickBot="1" x14ac:dyDescent="0.35">
      <c r="B206" s="123">
        <v>44599</v>
      </c>
      <c r="C206" s="164">
        <v>-8.1139177193825743E-3</v>
      </c>
      <c r="D206" s="163">
        <f t="shared" si="15"/>
        <v>-1.6219770152977282E-2</v>
      </c>
      <c r="E206" s="163">
        <f t="shared" si="16"/>
        <v>-1.8179109884342737E-2</v>
      </c>
      <c r="F206" s="163">
        <f t="shared" si="17"/>
        <v>-8.5929108538343701E-5</v>
      </c>
      <c r="G206" s="163">
        <f t="shared" si="18"/>
        <v>-1.1408230704272437E-2</v>
      </c>
      <c r="H206" s="165">
        <f t="shared" si="19"/>
        <v>-3.1947429564201116E-2</v>
      </c>
      <c r="K206" s="123">
        <v>44599</v>
      </c>
      <c r="M206" s="151">
        <v>17456.300781000002</v>
      </c>
      <c r="N206" s="152">
        <v>17639.449218999998</v>
      </c>
      <c r="O206" s="152">
        <v>17043.650390999999</v>
      </c>
      <c r="P206" s="152">
        <v>17374.75</v>
      </c>
      <c r="Q206" s="153">
        <v>1296600</v>
      </c>
      <c r="T206" s="12">
        <v>1450</v>
      </c>
      <c r="U206" s="12">
        <v>1472</v>
      </c>
      <c r="V206" s="12">
        <v>1420.2</v>
      </c>
      <c r="W206" s="12">
        <v>1424.9</v>
      </c>
      <c r="X206" s="12">
        <v>11590000</v>
      </c>
      <c r="AA206" s="12">
        <v>572</v>
      </c>
      <c r="AB206" s="12">
        <v>574.75</v>
      </c>
      <c r="AC206" s="12">
        <v>554.45000000000005</v>
      </c>
      <c r="AD206" s="12">
        <v>561.45000000000005</v>
      </c>
      <c r="AE206" s="12">
        <v>35180000</v>
      </c>
      <c r="AH206" s="12">
        <v>1157</v>
      </c>
      <c r="AI206" s="12">
        <v>1191.9000000000001</v>
      </c>
      <c r="AJ206" s="12">
        <v>1146</v>
      </c>
      <c r="AK206" s="12">
        <v>1163.7</v>
      </c>
      <c r="AL206" s="12">
        <v>17710000</v>
      </c>
      <c r="AO206" s="12">
        <v>1725</v>
      </c>
      <c r="AP206" s="12">
        <v>1774</v>
      </c>
      <c r="AQ206" s="12">
        <v>1695.4</v>
      </c>
      <c r="AR206" s="12">
        <v>1721.35</v>
      </c>
      <c r="AS206" s="12">
        <v>26890000</v>
      </c>
      <c r="AV206" s="12">
        <v>3800</v>
      </c>
      <c r="AW206" s="12">
        <v>3832.4</v>
      </c>
      <c r="AX206" s="12">
        <v>3690</v>
      </c>
      <c r="AY206" s="12">
        <v>3694.95</v>
      </c>
      <c r="AZ206" s="12">
        <v>12920000</v>
      </c>
    </row>
    <row r="207" spans="2:52" ht="15" thickBot="1" x14ac:dyDescent="0.35">
      <c r="B207" s="123">
        <v>44606</v>
      </c>
      <c r="C207" s="164">
        <v>-5.6823375731940426E-3</v>
      </c>
      <c r="D207" s="163">
        <f t="shared" si="15"/>
        <v>9.1168523601369324E-3</v>
      </c>
      <c r="E207" s="163">
        <f t="shared" si="16"/>
        <v>1.779518220287223E-3</v>
      </c>
      <c r="F207" s="163">
        <f t="shared" si="17"/>
        <v>1.1165028857698241E-3</v>
      </c>
      <c r="G207" s="163">
        <f t="shared" si="18"/>
        <v>-8.4007144569053262E-3</v>
      </c>
      <c r="H207" s="165">
        <f t="shared" si="19"/>
        <v>2.6427491250148736E-2</v>
      </c>
      <c r="K207" s="123">
        <v>44606</v>
      </c>
      <c r="M207" s="151">
        <v>17076.150390999999</v>
      </c>
      <c r="N207" s="152">
        <v>17490.599609000001</v>
      </c>
      <c r="O207" s="152">
        <v>16809.650390999999</v>
      </c>
      <c r="P207" s="152">
        <v>17276.300781000002</v>
      </c>
      <c r="Q207" s="153">
        <v>1270400</v>
      </c>
      <c r="T207" s="12">
        <v>1422</v>
      </c>
      <c r="U207" s="12">
        <v>1463.95</v>
      </c>
      <c r="V207" s="12">
        <v>1371</v>
      </c>
      <c r="W207" s="12">
        <v>1437.95</v>
      </c>
      <c r="X207" s="12">
        <v>14160000</v>
      </c>
      <c r="AA207" s="12">
        <v>530.5</v>
      </c>
      <c r="AB207" s="12">
        <v>572.45000000000005</v>
      </c>
      <c r="AC207" s="12">
        <v>530.5</v>
      </c>
      <c r="AD207" s="12">
        <v>562.45000000000005</v>
      </c>
      <c r="AE207" s="12">
        <v>39150000</v>
      </c>
      <c r="AH207" s="12">
        <v>1120.4000000000001</v>
      </c>
      <c r="AI207" s="12">
        <v>1182.6500000000001</v>
      </c>
      <c r="AJ207" s="12">
        <v>1120.4000000000001</v>
      </c>
      <c r="AK207" s="12">
        <v>1165</v>
      </c>
      <c r="AL207" s="12">
        <v>12780000</v>
      </c>
      <c r="AO207" s="12">
        <v>1690</v>
      </c>
      <c r="AP207" s="12">
        <v>1755.45</v>
      </c>
      <c r="AQ207" s="12">
        <v>1678.25</v>
      </c>
      <c r="AR207" s="12">
        <v>1706.95</v>
      </c>
      <c r="AS207" s="12">
        <v>28380000</v>
      </c>
      <c r="AV207" s="12">
        <v>3734</v>
      </c>
      <c r="AW207" s="12">
        <v>3856</v>
      </c>
      <c r="AX207" s="12">
        <v>3710</v>
      </c>
      <c r="AY207" s="12">
        <v>3793.9</v>
      </c>
      <c r="AZ207" s="12">
        <v>21420000</v>
      </c>
    </row>
    <row r="208" spans="2:52" ht="15" thickBot="1" x14ac:dyDescent="0.35">
      <c r="B208" s="123">
        <v>44613</v>
      </c>
      <c r="C208" s="164">
        <v>-3.6421048101949662E-2</v>
      </c>
      <c r="D208" s="163">
        <f t="shared" si="15"/>
        <v>-3.4130591669343777E-2</v>
      </c>
      <c r="E208" s="163">
        <f t="shared" si="16"/>
        <v>-1.288377846429818E-2</v>
      </c>
      <c r="F208" s="163">
        <f t="shared" si="17"/>
        <v>-3.0768976266917832E-2</v>
      </c>
      <c r="G208" s="163">
        <f t="shared" si="18"/>
        <v>-7.2614274470112414E-3</v>
      </c>
      <c r="H208" s="165">
        <f t="shared" si="19"/>
        <v>-7.4720478663006129E-2</v>
      </c>
      <c r="K208" s="123">
        <v>44613</v>
      </c>
      <c r="M208" s="151">
        <v>17192.25</v>
      </c>
      <c r="N208" s="152">
        <v>17351.050781000002</v>
      </c>
      <c r="O208" s="152">
        <v>16203.25</v>
      </c>
      <c r="P208" s="152">
        <v>16658.400390999999</v>
      </c>
      <c r="Q208" s="153">
        <v>1503300</v>
      </c>
      <c r="T208" s="12">
        <v>1429.95</v>
      </c>
      <c r="U208" s="12">
        <v>1440</v>
      </c>
      <c r="V208" s="12">
        <v>1330</v>
      </c>
      <c r="W208" s="12">
        <v>1389.7</v>
      </c>
      <c r="X208" s="12">
        <v>12470000</v>
      </c>
      <c r="AA208" s="12">
        <v>555.04999999999995</v>
      </c>
      <c r="AB208" s="12">
        <v>572.70000000000005</v>
      </c>
      <c r="AC208" s="12">
        <v>531.04999999999995</v>
      </c>
      <c r="AD208" s="12">
        <v>555.25</v>
      </c>
      <c r="AE208" s="12">
        <v>51310000</v>
      </c>
      <c r="AH208" s="12">
        <v>1160.8499999999999</v>
      </c>
      <c r="AI208" s="12">
        <v>1169.5</v>
      </c>
      <c r="AJ208" s="12">
        <v>1092</v>
      </c>
      <c r="AK208" s="12">
        <v>1129.7</v>
      </c>
      <c r="AL208" s="12">
        <v>16320000</v>
      </c>
      <c r="AO208" s="12">
        <v>1698</v>
      </c>
      <c r="AP208" s="12">
        <v>1758.25</v>
      </c>
      <c r="AQ208" s="12">
        <v>1670.15</v>
      </c>
      <c r="AR208" s="12">
        <v>1694.6</v>
      </c>
      <c r="AS208" s="12">
        <v>47030000</v>
      </c>
      <c r="AV208" s="12">
        <v>3812</v>
      </c>
      <c r="AW208" s="12">
        <v>3828.9</v>
      </c>
      <c r="AX208" s="12">
        <v>3391.1</v>
      </c>
      <c r="AY208" s="12">
        <v>3520.75</v>
      </c>
      <c r="AZ208" s="12">
        <v>24660000</v>
      </c>
    </row>
    <row r="209" spans="2:52" ht="15" thickBot="1" x14ac:dyDescent="0.35">
      <c r="B209" s="123">
        <v>44620</v>
      </c>
      <c r="C209" s="164">
        <v>-2.5107927271645476E-2</v>
      </c>
      <c r="D209" s="163">
        <f t="shared" si="15"/>
        <v>4.495534158942497E-2</v>
      </c>
      <c r="E209" s="163">
        <f t="shared" si="16"/>
        <v>3.5473181094710773E-2</v>
      </c>
      <c r="F209" s="163">
        <f t="shared" si="17"/>
        <v>7.7155773712905568E-3</v>
      </c>
      <c r="G209" s="163">
        <f t="shared" si="18"/>
        <v>1.6794332523167744E-2</v>
      </c>
      <c r="H209" s="165">
        <f t="shared" si="19"/>
        <v>1.0219870018417056E-3</v>
      </c>
      <c r="K209" s="123">
        <v>44620</v>
      </c>
      <c r="M209" s="151">
        <v>16481.599609000001</v>
      </c>
      <c r="N209" s="152">
        <v>16815.900390999999</v>
      </c>
      <c r="O209" s="152">
        <v>16133.799805000001</v>
      </c>
      <c r="P209" s="152">
        <v>16245.349609000001</v>
      </c>
      <c r="Q209" s="153">
        <v>1820100</v>
      </c>
      <c r="T209" s="12">
        <v>1378.75</v>
      </c>
      <c r="U209" s="12">
        <v>1460.05</v>
      </c>
      <c r="V209" s="12">
        <v>1363.25</v>
      </c>
      <c r="W209" s="12">
        <v>1453.6</v>
      </c>
      <c r="X209" s="12">
        <v>13920000</v>
      </c>
      <c r="AA209" s="12">
        <v>551</v>
      </c>
      <c r="AB209" s="12">
        <v>580</v>
      </c>
      <c r="AC209" s="12">
        <v>544</v>
      </c>
      <c r="AD209" s="12">
        <v>575.29999999999995</v>
      </c>
      <c r="AE209" s="12">
        <v>46340000</v>
      </c>
      <c r="AH209" s="12">
        <v>1125</v>
      </c>
      <c r="AI209" s="12">
        <v>1154.8499999999999</v>
      </c>
      <c r="AJ209" s="12">
        <v>1106.8</v>
      </c>
      <c r="AK209" s="12">
        <v>1138.45</v>
      </c>
      <c r="AL209" s="12">
        <v>16460000</v>
      </c>
      <c r="AO209" s="12">
        <v>1684</v>
      </c>
      <c r="AP209" s="12">
        <v>1736</v>
      </c>
      <c r="AQ209" s="12">
        <v>1665</v>
      </c>
      <c r="AR209" s="12">
        <v>1723.3</v>
      </c>
      <c r="AS209" s="12">
        <v>39140000</v>
      </c>
      <c r="AV209" s="12">
        <v>3493</v>
      </c>
      <c r="AW209" s="12">
        <v>3578.6</v>
      </c>
      <c r="AX209" s="12">
        <v>3455.9</v>
      </c>
      <c r="AY209" s="12">
        <v>3524.35</v>
      </c>
      <c r="AZ209" s="12">
        <v>10760000</v>
      </c>
    </row>
    <row r="210" spans="2:52" ht="15" thickBot="1" x14ac:dyDescent="0.35">
      <c r="B210" s="123">
        <v>44627</v>
      </c>
      <c r="C210" s="164">
        <v>2.3428615496309549E-2</v>
      </c>
      <c r="D210" s="163">
        <f t="shared" si="15"/>
        <v>2.258292134113565E-2</v>
      </c>
      <c r="E210" s="163">
        <f t="shared" si="16"/>
        <v>1.876938440754445E-2</v>
      </c>
      <c r="F210" s="163">
        <f t="shared" si="17"/>
        <v>4.718058420686938E-2</v>
      </c>
      <c r="G210" s="163">
        <f t="shared" si="18"/>
        <v>5.5693741532372359E-2</v>
      </c>
      <c r="H210" s="165">
        <f t="shared" si="19"/>
        <v>2.1001684374472203E-2</v>
      </c>
      <c r="K210" s="123">
        <v>44627</v>
      </c>
      <c r="M210" s="151">
        <v>15867.950194999999</v>
      </c>
      <c r="N210" s="152">
        <v>16757.300781000002</v>
      </c>
      <c r="O210" s="152">
        <v>15671.450194999999</v>
      </c>
      <c r="P210" s="152">
        <v>16630.449218999998</v>
      </c>
      <c r="Q210" s="153">
        <v>2421300</v>
      </c>
      <c r="T210" s="12">
        <v>1422</v>
      </c>
      <c r="U210" s="12">
        <v>1527.85</v>
      </c>
      <c r="V210" s="12">
        <v>1411.05</v>
      </c>
      <c r="W210" s="12">
        <v>1486.8</v>
      </c>
      <c r="X210" s="12">
        <v>14080000</v>
      </c>
      <c r="AA210" s="12">
        <v>565</v>
      </c>
      <c r="AB210" s="12">
        <v>596.79999999999995</v>
      </c>
      <c r="AC210" s="12">
        <v>562.25</v>
      </c>
      <c r="AD210" s="12">
        <v>586.20000000000005</v>
      </c>
      <c r="AE210" s="12">
        <v>48430000</v>
      </c>
      <c r="AH210" s="12">
        <v>1110</v>
      </c>
      <c r="AI210" s="12">
        <v>1207.1500000000001</v>
      </c>
      <c r="AJ210" s="12">
        <v>1110</v>
      </c>
      <c r="AK210" s="12">
        <v>1193.45</v>
      </c>
      <c r="AL210" s="12">
        <v>20170000</v>
      </c>
      <c r="AO210" s="12">
        <v>1695</v>
      </c>
      <c r="AP210" s="12">
        <v>1847.7</v>
      </c>
      <c r="AQ210" s="12">
        <v>1695</v>
      </c>
      <c r="AR210" s="12">
        <v>1822</v>
      </c>
      <c r="AS210" s="12">
        <v>46400000</v>
      </c>
      <c r="AV210" s="12">
        <v>3469</v>
      </c>
      <c r="AW210" s="12">
        <v>3685</v>
      </c>
      <c r="AX210" s="12">
        <v>3351</v>
      </c>
      <c r="AY210" s="12">
        <v>3599.15</v>
      </c>
      <c r="AZ210" s="12">
        <v>13450000</v>
      </c>
    </row>
    <row r="211" spans="2:52" ht="15" thickBot="1" x14ac:dyDescent="0.35">
      <c r="B211" s="123">
        <v>44634</v>
      </c>
      <c r="C211" s="164">
        <v>3.8722406053991139E-2</v>
      </c>
      <c r="D211" s="163">
        <f t="shared" si="15"/>
        <v>4.4961992330674067E-3</v>
      </c>
      <c r="E211" s="163">
        <f t="shared" si="16"/>
        <v>2.526662960202733E-2</v>
      </c>
      <c r="F211" s="163">
        <f t="shared" si="17"/>
        <v>2.8866085682815721E-3</v>
      </c>
      <c r="G211" s="163">
        <f t="shared" si="18"/>
        <v>1.7734240546221896E-2</v>
      </c>
      <c r="H211" s="165">
        <f t="shared" si="19"/>
        <v>2.0242993796062973E-2</v>
      </c>
      <c r="K211" s="123">
        <v>44634</v>
      </c>
      <c r="M211" s="151">
        <v>16633.699218999998</v>
      </c>
      <c r="N211" s="152">
        <v>17344.599609000001</v>
      </c>
      <c r="O211" s="152">
        <v>16555</v>
      </c>
      <c r="P211" s="152">
        <v>17287.050781000002</v>
      </c>
      <c r="Q211" s="153">
        <v>1404600</v>
      </c>
      <c r="T211" s="12">
        <v>1486.8</v>
      </c>
      <c r="U211" s="12">
        <v>1517</v>
      </c>
      <c r="V211" s="12">
        <v>1447.6</v>
      </c>
      <c r="W211" s="12">
        <v>1493.5</v>
      </c>
      <c r="X211" s="12">
        <v>7710000</v>
      </c>
      <c r="AA211" s="12">
        <v>587.29999999999995</v>
      </c>
      <c r="AB211" s="12">
        <v>611</v>
      </c>
      <c r="AC211" s="12">
        <v>584.29999999999995</v>
      </c>
      <c r="AD211" s="12">
        <v>601.20000000000005</v>
      </c>
      <c r="AE211" s="12">
        <v>29810000</v>
      </c>
      <c r="AH211" s="12">
        <v>1192</v>
      </c>
      <c r="AI211" s="12">
        <v>1215.05</v>
      </c>
      <c r="AJ211" s="12">
        <v>1168.0999999999999</v>
      </c>
      <c r="AK211" s="12">
        <v>1196.9000000000001</v>
      </c>
      <c r="AL211" s="12">
        <v>18200000</v>
      </c>
      <c r="AO211" s="12">
        <v>1827</v>
      </c>
      <c r="AP211" s="12">
        <v>1924</v>
      </c>
      <c r="AQ211" s="12">
        <v>1827</v>
      </c>
      <c r="AR211" s="12">
        <v>1854.6</v>
      </c>
      <c r="AS211" s="12">
        <v>41650000</v>
      </c>
      <c r="AV211" s="12">
        <v>3584</v>
      </c>
      <c r="AW211" s="12">
        <v>3710</v>
      </c>
      <c r="AX211" s="12">
        <v>3580</v>
      </c>
      <c r="AY211" s="12">
        <v>3672.75</v>
      </c>
      <c r="AZ211" s="12">
        <v>12440000</v>
      </c>
    </row>
    <row r="212" spans="2:52" ht="15" thickBot="1" x14ac:dyDescent="0.35">
      <c r="B212" s="123">
        <v>44641</v>
      </c>
      <c r="C212" s="164">
        <v>-7.7846260339553804E-3</v>
      </c>
      <c r="D212" s="163">
        <f t="shared" si="15"/>
        <v>2.4504789258078395E-2</v>
      </c>
      <c r="E212" s="163">
        <f t="shared" si="16"/>
        <v>3.569801640790383E-3</v>
      </c>
      <c r="F212" s="163">
        <f t="shared" si="17"/>
        <v>-1.4771441649440487E-2</v>
      </c>
      <c r="G212" s="163">
        <f t="shared" si="18"/>
        <v>1.1765945204355276E-2</v>
      </c>
      <c r="H212" s="165">
        <f t="shared" si="19"/>
        <v>9.4036084939423444E-3</v>
      </c>
      <c r="K212" s="123">
        <v>44641</v>
      </c>
      <c r="M212" s="151">
        <v>17329.5</v>
      </c>
      <c r="N212" s="152">
        <v>17442.400390999999</v>
      </c>
      <c r="O212" s="152">
        <v>17006.300781000002</v>
      </c>
      <c r="P212" s="152">
        <v>17153</v>
      </c>
      <c r="Q212" s="153">
        <v>1443300</v>
      </c>
      <c r="T212" s="12">
        <v>1499</v>
      </c>
      <c r="U212" s="12">
        <v>1574.95</v>
      </c>
      <c r="V212" s="12">
        <v>1474.4</v>
      </c>
      <c r="W212" s="12">
        <v>1530.55</v>
      </c>
      <c r="X212" s="12">
        <v>13240000</v>
      </c>
      <c r="AA212" s="12">
        <v>605.95000000000005</v>
      </c>
      <c r="AB212" s="12">
        <v>616</v>
      </c>
      <c r="AC212" s="12">
        <v>596</v>
      </c>
      <c r="AD212" s="12">
        <v>603.35</v>
      </c>
      <c r="AE212" s="12">
        <v>32960000</v>
      </c>
      <c r="AH212" s="12">
        <v>1204.45</v>
      </c>
      <c r="AI212" s="12">
        <v>1210</v>
      </c>
      <c r="AJ212" s="12">
        <v>1162.3</v>
      </c>
      <c r="AK212" s="12">
        <v>1179.3499999999999</v>
      </c>
      <c r="AL212" s="12">
        <v>16350000</v>
      </c>
      <c r="AO212" s="12">
        <v>1876</v>
      </c>
      <c r="AP212" s="12">
        <v>1900</v>
      </c>
      <c r="AQ212" s="12">
        <v>1839</v>
      </c>
      <c r="AR212" s="12">
        <v>1876.55</v>
      </c>
      <c r="AS212" s="12">
        <v>28470000</v>
      </c>
      <c r="AV212" s="12">
        <v>3700</v>
      </c>
      <c r="AW212" s="12">
        <v>3779.5</v>
      </c>
      <c r="AX212" s="12">
        <v>3615</v>
      </c>
      <c r="AY212" s="12">
        <v>3707.45</v>
      </c>
      <c r="AZ212" s="12">
        <v>10920000</v>
      </c>
    </row>
    <row r="213" spans="2:52" ht="15" thickBot="1" x14ac:dyDescent="0.35">
      <c r="B213" s="123">
        <v>44648</v>
      </c>
      <c r="C213" s="164">
        <v>2.9720623274597138E-2</v>
      </c>
      <c r="D213" s="163">
        <f t="shared" si="15"/>
        <v>-2.8799233219604984E-2</v>
      </c>
      <c r="E213" s="163">
        <f t="shared" si="16"/>
        <v>-2.5722953236650969E-3</v>
      </c>
      <c r="F213" s="163">
        <f t="shared" si="17"/>
        <v>-8.2588804901080407E-3</v>
      </c>
      <c r="G213" s="163">
        <f t="shared" si="18"/>
        <v>1.4285579309242888E-2</v>
      </c>
      <c r="H213" s="165">
        <f t="shared" si="19"/>
        <v>1.3742146558260034E-2</v>
      </c>
      <c r="K213" s="123">
        <v>44648</v>
      </c>
      <c r="M213" s="151">
        <v>17181.849609000001</v>
      </c>
      <c r="N213" s="152">
        <v>17703.699218999998</v>
      </c>
      <c r="O213" s="152">
        <v>17003.900390999999</v>
      </c>
      <c r="P213" s="152">
        <v>17670.449218999998</v>
      </c>
      <c r="Q213" s="153">
        <v>1566200</v>
      </c>
      <c r="T213" s="12">
        <v>1534</v>
      </c>
      <c r="U213" s="12">
        <v>1539.55</v>
      </c>
      <c r="V213" s="12">
        <v>1475.45</v>
      </c>
      <c r="W213" s="12">
        <v>1487.1</v>
      </c>
      <c r="X213" s="12">
        <v>13010000</v>
      </c>
      <c r="AA213" s="12">
        <v>608</v>
      </c>
      <c r="AB213" s="12">
        <v>609.29999999999995</v>
      </c>
      <c r="AC213" s="12">
        <v>589.25</v>
      </c>
      <c r="AD213" s="12">
        <v>601.79999999999995</v>
      </c>
      <c r="AE213" s="12">
        <v>31180000</v>
      </c>
      <c r="AH213" s="12">
        <v>1184.9000000000001</v>
      </c>
      <c r="AI213" s="12">
        <v>1187.5999999999999</v>
      </c>
      <c r="AJ213" s="12">
        <v>1152.05</v>
      </c>
      <c r="AK213" s="12">
        <v>1169.6500000000001</v>
      </c>
      <c r="AL213" s="12">
        <v>15640000</v>
      </c>
      <c r="AO213" s="12">
        <v>1866</v>
      </c>
      <c r="AP213" s="12">
        <v>1919</v>
      </c>
      <c r="AQ213" s="12">
        <v>1852.65</v>
      </c>
      <c r="AR213" s="12">
        <v>1903.55</v>
      </c>
      <c r="AS213" s="12">
        <v>28720000</v>
      </c>
      <c r="AV213" s="12">
        <v>3695</v>
      </c>
      <c r="AW213" s="12">
        <v>3763</v>
      </c>
      <c r="AX213" s="12">
        <v>3660.65</v>
      </c>
      <c r="AY213" s="12">
        <v>3758.75</v>
      </c>
      <c r="AZ213" s="12">
        <v>10060000</v>
      </c>
    </row>
    <row r="214" spans="2:52" ht="15" thickBot="1" x14ac:dyDescent="0.35">
      <c r="B214" s="123">
        <v>44655</v>
      </c>
      <c r="C214" s="164">
        <v>6.4251263921131074E-3</v>
      </c>
      <c r="D214" s="163">
        <f t="shared" si="15"/>
        <v>-2.6126799040676343E-2</v>
      </c>
      <c r="E214" s="163">
        <f t="shared" si="16"/>
        <v>-3.0623676097272547E-2</v>
      </c>
      <c r="F214" s="163">
        <f t="shared" si="17"/>
        <v>-3.6830876752368892E-3</v>
      </c>
      <c r="G214" s="163">
        <f t="shared" si="18"/>
        <v>-4.7855506144195308E-2</v>
      </c>
      <c r="H214" s="165">
        <f t="shared" si="19"/>
        <v>-1.9639554460919448E-2</v>
      </c>
      <c r="K214" s="123">
        <v>44655</v>
      </c>
      <c r="M214" s="151">
        <v>17809.099609000001</v>
      </c>
      <c r="N214" s="152">
        <v>18114.650390999999</v>
      </c>
      <c r="O214" s="152">
        <v>17600.550781000002</v>
      </c>
      <c r="P214" s="152">
        <v>17784.349609000001</v>
      </c>
      <c r="Q214" s="153">
        <v>1541000</v>
      </c>
      <c r="T214" s="12">
        <v>1487.35</v>
      </c>
      <c r="U214" s="12">
        <v>1522.6</v>
      </c>
      <c r="V214" s="12">
        <v>1440</v>
      </c>
      <c r="W214" s="12">
        <v>1448.75</v>
      </c>
      <c r="X214" s="12">
        <v>16840000</v>
      </c>
      <c r="AA214" s="12">
        <v>605</v>
      </c>
      <c r="AB214" s="12">
        <v>609.5</v>
      </c>
      <c r="AC214" s="12">
        <v>577.5</v>
      </c>
      <c r="AD214" s="12">
        <v>583.65</v>
      </c>
      <c r="AE214" s="12">
        <v>28730000</v>
      </c>
      <c r="AH214" s="12">
        <v>1181.5</v>
      </c>
      <c r="AI214" s="12">
        <v>1203</v>
      </c>
      <c r="AJ214" s="12">
        <v>1162.55</v>
      </c>
      <c r="AK214" s="12">
        <v>1165.3499999999999</v>
      </c>
      <c r="AL214" s="12">
        <v>14550000</v>
      </c>
      <c r="AO214" s="12">
        <v>1895.2</v>
      </c>
      <c r="AP214" s="12">
        <v>1895.2</v>
      </c>
      <c r="AQ214" s="12">
        <v>1807.55</v>
      </c>
      <c r="AR214" s="12">
        <v>1814.6</v>
      </c>
      <c r="AS214" s="12">
        <v>30300000</v>
      </c>
      <c r="AV214" s="12">
        <v>3761</v>
      </c>
      <c r="AW214" s="12">
        <v>3835.6</v>
      </c>
      <c r="AX214" s="12">
        <v>3642.5</v>
      </c>
      <c r="AY214" s="12">
        <v>3685.65</v>
      </c>
      <c r="AZ214" s="12">
        <v>11200000</v>
      </c>
    </row>
    <row r="215" spans="2:52" ht="15" thickBot="1" x14ac:dyDescent="0.35">
      <c r="B215" s="123">
        <v>44662</v>
      </c>
      <c r="C215" s="164">
        <v>-1.7510329298011933E-2</v>
      </c>
      <c r="D215" s="163">
        <f t="shared" si="15"/>
        <v>-2.6792313262765873E-2</v>
      </c>
      <c r="E215" s="163">
        <f t="shared" si="16"/>
        <v>-4.2794297179071697E-2</v>
      </c>
      <c r="F215" s="163">
        <f t="shared" si="17"/>
        <v>-3.514955048751333E-2</v>
      </c>
      <c r="G215" s="163">
        <f t="shared" si="18"/>
        <v>-3.7078184701577491E-2</v>
      </c>
      <c r="H215" s="165">
        <f t="shared" si="19"/>
        <v>-6.4511084417016671E-3</v>
      </c>
      <c r="K215" s="123">
        <v>44662</v>
      </c>
      <c r="M215" s="151">
        <v>17740.900390999999</v>
      </c>
      <c r="N215" s="152">
        <v>17779.050781000002</v>
      </c>
      <c r="O215" s="152">
        <v>17442.349609000001</v>
      </c>
      <c r="P215" s="152">
        <v>17475.650390999999</v>
      </c>
      <c r="Q215" s="153">
        <v>762800</v>
      </c>
      <c r="T215" s="12">
        <v>1449.75</v>
      </c>
      <c r="U215" s="12">
        <v>1462.55</v>
      </c>
      <c r="V215" s="12">
        <v>1403.4</v>
      </c>
      <c r="W215" s="12">
        <v>1410.45</v>
      </c>
      <c r="X215" s="12">
        <v>7080000</v>
      </c>
      <c r="AA215" s="12">
        <v>583.79999999999995</v>
      </c>
      <c r="AB215" s="12">
        <v>584.25</v>
      </c>
      <c r="AC215" s="12">
        <v>554.6</v>
      </c>
      <c r="AD215" s="12">
        <v>559.20000000000005</v>
      </c>
      <c r="AE215" s="12">
        <v>24150000</v>
      </c>
      <c r="AH215" s="12">
        <v>1165</v>
      </c>
      <c r="AI215" s="12">
        <v>1165</v>
      </c>
      <c r="AJ215" s="12">
        <v>1119.55</v>
      </c>
      <c r="AK215" s="12">
        <v>1125.0999999999999</v>
      </c>
      <c r="AL215" s="12">
        <v>11540000</v>
      </c>
      <c r="AO215" s="12">
        <v>1818.95</v>
      </c>
      <c r="AP215" s="12">
        <v>1818.95</v>
      </c>
      <c r="AQ215" s="12">
        <v>1727.5</v>
      </c>
      <c r="AR215" s="12">
        <v>1748.55</v>
      </c>
      <c r="AS215" s="12">
        <v>22040000</v>
      </c>
      <c r="AV215" s="12">
        <v>3698</v>
      </c>
      <c r="AW215" s="12">
        <v>3739</v>
      </c>
      <c r="AX215" s="12">
        <v>3648.35</v>
      </c>
      <c r="AY215" s="12">
        <v>3661.95</v>
      </c>
      <c r="AZ215" s="12">
        <v>8950000</v>
      </c>
    </row>
    <row r="216" spans="2:52" ht="15" thickBot="1" x14ac:dyDescent="0.35">
      <c r="B216" s="123">
        <v>44669</v>
      </c>
      <c r="C216" s="164">
        <v>-1.7531312636208603E-2</v>
      </c>
      <c r="D216" s="163">
        <f t="shared" si="15"/>
        <v>-7.6556996430528518E-2</v>
      </c>
      <c r="E216" s="163">
        <f t="shared" si="16"/>
        <v>-3.9206407103968055E-2</v>
      </c>
      <c r="F216" s="163">
        <f t="shared" si="17"/>
        <v>-2.0699838842629985E-2</v>
      </c>
      <c r="G216" s="163">
        <f t="shared" si="18"/>
        <v>-9.791859434593779E-2</v>
      </c>
      <c r="H216" s="165">
        <f t="shared" si="19"/>
        <v>-1.3581898244763611E-2</v>
      </c>
      <c r="K216" s="123">
        <v>44669</v>
      </c>
      <c r="M216" s="151">
        <v>17183.449218999998</v>
      </c>
      <c r="N216" s="152">
        <v>17414.699218999998</v>
      </c>
      <c r="O216" s="152">
        <v>16824.699218999998</v>
      </c>
      <c r="P216" s="152">
        <v>17171.949218999998</v>
      </c>
      <c r="Q216" s="153">
        <v>1611500</v>
      </c>
      <c r="T216" s="12">
        <v>1390</v>
      </c>
      <c r="U216" s="12">
        <v>1393</v>
      </c>
      <c r="V216" s="12">
        <v>1285.6500000000001</v>
      </c>
      <c r="W216" s="12">
        <v>1306.5</v>
      </c>
      <c r="X216" s="12">
        <v>15970000</v>
      </c>
      <c r="AA216" s="12">
        <v>549.85</v>
      </c>
      <c r="AB216" s="12">
        <v>550</v>
      </c>
      <c r="AC216" s="12">
        <v>526</v>
      </c>
      <c r="AD216" s="12">
        <v>537.70000000000005</v>
      </c>
      <c r="AE216" s="12">
        <v>34600000</v>
      </c>
      <c r="AH216" s="12">
        <v>1110</v>
      </c>
      <c r="AI216" s="12">
        <v>1135</v>
      </c>
      <c r="AJ216" s="12">
        <v>1058.75</v>
      </c>
      <c r="AK216" s="12">
        <v>1102.05</v>
      </c>
      <c r="AL216" s="12">
        <v>23830000</v>
      </c>
      <c r="AO216" s="12">
        <v>1605.5</v>
      </c>
      <c r="AP216" s="12">
        <v>1650.9</v>
      </c>
      <c r="AQ216" s="12">
        <v>1550</v>
      </c>
      <c r="AR216" s="12">
        <v>1585.45</v>
      </c>
      <c r="AS216" s="12">
        <v>77830000</v>
      </c>
      <c r="AV216" s="12">
        <v>3610</v>
      </c>
      <c r="AW216" s="12">
        <v>3644</v>
      </c>
      <c r="AX216" s="12">
        <v>3439.15</v>
      </c>
      <c r="AY216" s="12">
        <v>3612.55</v>
      </c>
      <c r="AZ216" s="12">
        <v>14410000</v>
      </c>
    </row>
    <row r="217" spans="2:52" ht="15" thickBot="1" x14ac:dyDescent="0.35">
      <c r="B217" s="123">
        <v>44676</v>
      </c>
      <c r="C217" s="164">
        <v>-4.0495722965427023E-3</v>
      </c>
      <c r="D217" s="163">
        <f t="shared" si="15"/>
        <v>-3.7034050916320005E-2</v>
      </c>
      <c r="E217" s="163">
        <f t="shared" si="16"/>
        <v>-5.5245771789720038E-2</v>
      </c>
      <c r="F217" s="163">
        <f t="shared" si="17"/>
        <v>-2.0905726298809185E-2</v>
      </c>
      <c r="G217" s="163">
        <f t="shared" si="18"/>
        <v>-1.1354387763030833E-2</v>
      </c>
      <c r="H217" s="165">
        <f t="shared" si="19"/>
        <v>-1.8396300475753372E-2</v>
      </c>
      <c r="K217" s="123">
        <v>44676</v>
      </c>
      <c r="M217" s="151">
        <v>17009.050781000002</v>
      </c>
      <c r="N217" s="152">
        <v>17377.650390999999</v>
      </c>
      <c r="O217" s="152">
        <v>16888.699218999998</v>
      </c>
      <c r="P217" s="152">
        <v>17102.550781000002</v>
      </c>
      <c r="Q217" s="153">
        <v>1451000</v>
      </c>
      <c r="T217" s="12">
        <v>1295</v>
      </c>
      <c r="U217" s="12">
        <v>1298</v>
      </c>
      <c r="V217" s="12">
        <v>1246.25</v>
      </c>
      <c r="W217" s="12">
        <v>1259</v>
      </c>
      <c r="X217" s="12">
        <v>14540000</v>
      </c>
      <c r="AA217" s="12">
        <v>530</v>
      </c>
      <c r="AB217" s="12">
        <v>538.35</v>
      </c>
      <c r="AC217" s="12">
        <v>507</v>
      </c>
      <c r="AD217" s="12">
        <v>508.8</v>
      </c>
      <c r="AE217" s="12">
        <v>39380000</v>
      </c>
      <c r="AH217" s="12">
        <v>1101.75</v>
      </c>
      <c r="AI217" s="12">
        <v>1107</v>
      </c>
      <c r="AJ217" s="12">
        <v>1073.3</v>
      </c>
      <c r="AK217" s="12">
        <v>1079.25</v>
      </c>
      <c r="AL217" s="12">
        <v>19300000</v>
      </c>
      <c r="AO217" s="12">
        <v>1575.7</v>
      </c>
      <c r="AP217" s="12">
        <v>1601.8</v>
      </c>
      <c r="AQ217" s="12">
        <v>1550.35</v>
      </c>
      <c r="AR217" s="12">
        <v>1567.55</v>
      </c>
      <c r="AS217" s="12">
        <v>41730000</v>
      </c>
      <c r="AV217" s="12">
        <v>3561.1</v>
      </c>
      <c r="AW217" s="12">
        <v>3623.25</v>
      </c>
      <c r="AX217" s="12">
        <v>3506</v>
      </c>
      <c r="AY217" s="12">
        <v>3546.7</v>
      </c>
      <c r="AZ217" s="12">
        <v>9760000</v>
      </c>
    </row>
    <row r="218" spans="2:52" ht="15" thickBot="1" x14ac:dyDescent="0.35">
      <c r="B218" s="123">
        <v>44683</v>
      </c>
      <c r="C218" s="164">
        <v>-4.1260545597451938E-2</v>
      </c>
      <c r="D218" s="163">
        <f t="shared" si="15"/>
        <v>2.4905689715411392E-2</v>
      </c>
      <c r="E218" s="163">
        <f t="shared" si="16"/>
        <v>-4.7699956774741543E-2</v>
      </c>
      <c r="F218" s="163">
        <f t="shared" si="17"/>
        <v>-2.7285733231827931E-2</v>
      </c>
      <c r="G218" s="163">
        <f t="shared" si="18"/>
        <v>-1.5882535508331189E-2</v>
      </c>
      <c r="H218" s="165">
        <f t="shared" si="19"/>
        <v>-3.269960217706265E-2</v>
      </c>
      <c r="K218" s="123">
        <v>44683</v>
      </c>
      <c r="M218" s="151">
        <v>16924.449218999998</v>
      </c>
      <c r="N218" s="152">
        <v>17132.849609000001</v>
      </c>
      <c r="O218" s="152">
        <v>16340.900390999999</v>
      </c>
      <c r="P218" s="152">
        <v>16411.25</v>
      </c>
      <c r="Q218" s="153">
        <v>1155100</v>
      </c>
      <c r="T218" s="12">
        <v>1245</v>
      </c>
      <c r="U218" s="12">
        <v>1299</v>
      </c>
      <c r="V218" s="12">
        <v>1200</v>
      </c>
      <c r="W218" s="12">
        <v>1290.75</v>
      </c>
      <c r="X218" s="12">
        <v>15740000</v>
      </c>
      <c r="AA218" s="12">
        <v>512.1</v>
      </c>
      <c r="AB218" s="12">
        <v>519</v>
      </c>
      <c r="AC218" s="12">
        <v>481</v>
      </c>
      <c r="AD218" s="12">
        <v>485.1</v>
      </c>
      <c r="AE218" s="12">
        <v>50060000</v>
      </c>
      <c r="AH218" s="12">
        <v>1077.9000000000001</v>
      </c>
      <c r="AI218" s="12">
        <v>1082</v>
      </c>
      <c r="AJ218" s="12">
        <v>1028.95</v>
      </c>
      <c r="AK218" s="12">
        <v>1050.2</v>
      </c>
      <c r="AL218" s="12">
        <v>14980000</v>
      </c>
      <c r="AO218" s="12">
        <v>1551</v>
      </c>
      <c r="AP218" s="12">
        <v>1589.4</v>
      </c>
      <c r="AQ218" s="12">
        <v>1530.15</v>
      </c>
      <c r="AR218" s="12">
        <v>1542.85</v>
      </c>
      <c r="AS218" s="12">
        <v>30640000</v>
      </c>
      <c r="AV218" s="12">
        <v>3513</v>
      </c>
      <c r="AW218" s="12">
        <v>3548.4</v>
      </c>
      <c r="AX218" s="12">
        <v>3424.5</v>
      </c>
      <c r="AY218" s="12">
        <v>3432.6</v>
      </c>
      <c r="AZ218" s="12">
        <v>8630000</v>
      </c>
    </row>
    <row r="219" spans="2:52" ht="15" thickBot="1" x14ac:dyDescent="0.35">
      <c r="B219" s="123">
        <v>44690</v>
      </c>
      <c r="C219" s="164">
        <v>-3.9087495938886815E-2</v>
      </c>
      <c r="D219" s="163">
        <f t="shared" si="15"/>
        <v>-7.0529703838611194E-2</v>
      </c>
      <c r="E219" s="163">
        <f t="shared" si="16"/>
        <v>-3.4498834058676132E-2</v>
      </c>
      <c r="F219" s="163">
        <f t="shared" si="17"/>
        <v>1.8550674808735491E-3</v>
      </c>
      <c r="G219" s="163">
        <f t="shared" si="18"/>
        <v>-2.5237207820469891E-2</v>
      </c>
      <c r="H219" s="165">
        <f t="shared" si="19"/>
        <v>-5.1697815032573325E-3</v>
      </c>
      <c r="K219" s="123">
        <v>44690</v>
      </c>
      <c r="M219" s="151">
        <v>16227.700194999999</v>
      </c>
      <c r="N219" s="152">
        <v>16404.550781000002</v>
      </c>
      <c r="O219" s="152">
        <v>15735.75</v>
      </c>
      <c r="P219" s="152">
        <v>15782.150390999999</v>
      </c>
      <c r="Q219" s="153">
        <v>1539800</v>
      </c>
      <c r="T219" s="12">
        <v>1278</v>
      </c>
      <c r="U219" s="12">
        <v>1280</v>
      </c>
      <c r="V219" s="12">
        <v>1195</v>
      </c>
      <c r="W219" s="12">
        <v>1202.8499999999999</v>
      </c>
      <c r="X219" s="12">
        <v>17480000</v>
      </c>
      <c r="AA219" s="12">
        <v>480.5</v>
      </c>
      <c r="AB219" s="12">
        <v>489.45</v>
      </c>
      <c r="AC219" s="12">
        <v>462.15</v>
      </c>
      <c r="AD219" s="12">
        <v>468.65</v>
      </c>
      <c r="AE219" s="12">
        <v>45620000</v>
      </c>
      <c r="AH219" s="12">
        <v>1048</v>
      </c>
      <c r="AI219" s="12">
        <v>1085</v>
      </c>
      <c r="AJ219" s="12">
        <v>1034.0999999999999</v>
      </c>
      <c r="AK219" s="12">
        <v>1052.1500000000001</v>
      </c>
      <c r="AL219" s="12">
        <v>16470000</v>
      </c>
      <c r="AO219" s="12">
        <v>1530.4</v>
      </c>
      <c r="AP219" s="12">
        <v>1586.8</v>
      </c>
      <c r="AQ219" s="12">
        <v>1498.1</v>
      </c>
      <c r="AR219" s="12">
        <v>1504.4</v>
      </c>
      <c r="AS219" s="12">
        <v>36410000</v>
      </c>
      <c r="AV219" s="12">
        <v>3393</v>
      </c>
      <c r="AW219" s="12">
        <v>3464.9</v>
      </c>
      <c r="AX219" s="12">
        <v>3346.85</v>
      </c>
      <c r="AY219" s="12">
        <v>3414.9</v>
      </c>
      <c r="AZ219" s="12">
        <v>11590000</v>
      </c>
    </row>
    <row r="220" spans="2:52" ht="15" thickBot="1" x14ac:dyDescent="0.35">
      <c r="B220" s="123">
        <v>44697</v>
      </c>
      <c r="C220" s="164">
        <v>3.0206706101829583E-2</v>
      </c>
      <c r="D220" s="163">
        <f t="shared" si="15"/>
        <v>-6.1679965043865914E-2</v>
      </c>
      <c r="E220" s="163">
        <f t="shared" si="16"/>
        <v>-1.9499675217894159E-2</v>
      </c>
      <c r="F220" s="163">
        <f t="shared" si="17"/>
        <v>-2.2394016071192478E-2</v>
      </c>
      <c r="G220" s="163">
        <f t="shared" si="18"/>
        <v>-3.3285159520779033E-2</v>
      </c>
      <c r="H220" s="165">
        <f t="shared" si="19"/>
        <v>-3.6349206622916415E-2</v>
      </c>
      <c r="K220" s="123">
        <v>44697</v>
      </c>
      <c r="M220" s="151">
        <v>15845.099609000001</v>
      </c>
      <c r="N220" s="152">
        <v>16399.800781000002</v>
      </c>
      <c r="O220" s="152">
        <v>15739.650390999999</v>
      </c>
      <c r="P220" s="152">
        <v>16266.150390999999</v>
      </c>
      <c r="Q220" s="153">
        <v>1370000</v>
      </c>
      <c r="T220" s="12">
        <v>1197</v>
      </c>
      <c r="U220" s="12">
        <v>1230.6500000000001</v>
      </c>
      <c r="V220" s="12">
        <v>1100</v>
      </c>
      <c r="W220" s="12">
        <v>1130.9000000000001</v>
      </c>
      <c r="X220" s="12">
        <v>20750000</v>
      </c>
      <c r="AA220" s="12">
        <v>475.95</v>
      </c>
      <c r="AB220" s="12">
        <v>495.3</v>
      </c>
      <c r="AC220" s="12">
        <v>450</v>
      </c>
      <c r="AD220" s="12">
        <v>459.6</v>
      </c>
      <c r="AE220" s="12">
        <v>37980000</v>
      </c>
      <c r="AH220" s="12">
        <v>1055</v>
      </c>
      <c r="AI220" s="12">
        <v>1097.3499999999999</v>
      </c>
      <c r="AJ220" s="12">
        <v>1004.3</v>
      </c>
      <c r="AK220" s="12">
        <v>1028.8499999999999</v>
      </c>
      <c r="AL220" s="12">
        <v>14400000</v>
      </c>
      <c r="AO220" s="12">
        <v>1506.15</v>
      </c>
      <c r="AP220" s="12">
        <v>1549.8</v>
      </c>
      <c r="AQ220" s="12">
        <v>1417.65</v>
      </c>
      <c r="AR220" s="12">
        <v>1455.15</v>
      </c>
      <c r="AS220" s="12">
        <v>48540000</v>
      </c>
      <c r="AV220" s="12">
        <v>3414</v>
      </c>
      <c r="AW220" s="12">
        <v>3495</v>
      </c>
      <c r="AX220" s="12">
        <v>3230</v>
      </c>
      <c r="AY220" s="12">
        <v>3293</v>
      </c>
      <c r="AZ220" s="12">
        <v>13290000</v>
      </c>
    </row>
    <row r="221" spans="2:52" ht="15" thickBot="1" x14ac:dyDescent="0.35">
      <c r="B221" s="123">
        <v>44704</v>
      </c>
      <c r="C221" s="164">
        <v>5.2914597078017184E-3</v>
      </c>
      <c r="D221" s="163">
        <f t="shared" si="15"/>
        <v>-6.7875069270120067E-3</v>
      </c>
      <c r="E221" s="163">
        <f t="shared" si="16"/>
        <v>1.5865639581126068E-2</v>
      </c>
      <c r="F221" s="163">
        <f t="shared" si="17"/>
        <v>-2.4549258915959153E-2</v>
      </c>
      <c r="G221" s="163">
        <f t="shared" si="18"/>
        <v>4.2516779287907376E-3</v>
      </c>
      <c r="H221" s="165">
        <f t="shared" si="19"/>
        <v>-9.6731144982998181E-3</v>
      </c>
      <c r="K221" s="123">
        <v>44704</v>
      </c>
      <c r="M221" s="151">
        <v>16290.950194999999</v>
      </c>
      <c r="N221" s="152">
        <v>16414.699218999998</v>
      </c>
      <c r="O221" s="152">
        <v>15903.700194999999</v>
      </c>
      <c r="P221" s="152">
        <v>16352.450194999999</v>
      </c>
      <c r="Q221" s="153">
        <v>1375300</v>
      </c>
      <c r="T221" s="12">
        <v>1132.0999999999999</v>
      </c>
      <c r="U221" s="12">
        <v>1151.8499999999999</v>
      </c>
      <c r="V221" s="12">
        <v>1045</v>
      </c>
      <c r="W221" s="12">
        <v>1123.25</v>
      </c>
      <c r="X221" s="12">
        <v>17940000</v>
      </c>
      <c r="AA221" s="12">
        <v>467.2</v>
      </c>
      <c r="AB221" s="12">
        <v>469.6</v>
      </c>
      <c r="AC221" s="12">
        <v>443.15</v>
      </c>
      <c r="AD221" s="12">
        <v>466.95</v>
      </c>
      <c r="AE221" s="12">
        <v>36470000</v>
      </c>
      <c r="AH221" s="12">
        <v>1034</v>
      </c>
      <c r="AI221" s="12">
        <v>1037</v>
      </c>
      <c r="AJ221" s="12">
        <v>963</v>
      </c>
      <c r="AK221" s="12">
        <v>1003.9</v>
      </c>
      <c r="AL221" s="12">
        <v>17090000</v>
      </c>
      <c r="AO221" s="12">
        <v>1458.5</v>
      </c>
      <c r="AP221" s="12">
        <v>1488</v>
      </c>
      <c r="AQ221" s="12">
        <v>1399.25</v>
      </c>
      <c r="AR221" s="12">
        <v>1461.35</v>
      </c>
      <c r="AS221" s="12">
        <v>44720000</v>
      </c>
      <c r="AV221" s="12">
        <v>3315</v>
      </c>
      <c r="AW221" s="12">
        <v>3338.9</v>
      </c>
      <c r="AX221" s="12">
        <v>3154.05</v>
      </c>
      <c r="AY221" s="12">
        <v>3261.3</v>
      </c>
      <c r="AZ221" s="12">
        <v>14160000</v>
      </c>
    </row>
    <row r="222" spans="2:52" ht="15" thickBot="1" x14ac:dyDescent="0.35">
      <c r="B222" s="123">
        <v>44711</v>
      </c>
      <c r="C222" s="164">
        <v>1.4078766650701274E-2</v>
      </c>
      <c r="D222" s="163">
        <f t="shared" si="15"/>
        <v>2.1707917121181853E-2</v>
      </c>
      <c r="E222" s="163">
        <f t="shared" si="16"/>
        <v>1.8144696429718079E-2</v>
      </c>
      <c r="F222" s="163">
        <f t="shared" si="17"/>
        <v>3.8208761303291552E-2</v>
      </c>
      <c r="G222" s="163">
        <f t="shared" si="18"/>
        <v>4.0467464921875924E-2</v>
      </c>
      <c r="H222" s="165">
        <f t="shared" si="19"/>
        <v>5.3389186189887264E-2</v>
      </c>
      <c r="K222" s="123">
        <v>44711</v>
      </c>
      <c r="M222" s="151">
        <v>16527.900390999999</v>
      </c>
      <c r="N222" s="152">
        <v>16793.849609000001</v>
      </c>
      <c r="O222" s="152">
        <v>16438.849609000001</v>
      </c>
      <c r="P222" s="152">
        <v>16584.300781000002</v>
      </c>
      <c r="Q222" s="153">
        <v>1634100</v>
      </c>
      <c r="T222" s="12">
        <v>1149</v>
      </c>
      <c r="U222" s="12">
        <v>1197</v>
      </c>
      <c r="V222" s="12">
        <v>1131.7</v>
      </c>
      <c r="W222" s="12">
        <v>1147.9000000000001</v>
      </c>
      <c r="X222" s="12">
        <v>21550000</v>
      </c>
      <c r="AA222" s="12">
        <v>473.75</v>
      </c>
      <c r="AB222" s="12">
        <v>488</v>
      </c>
      <c r="AC222" s="12">
        <v>468.1</v>
      </c>
      <c r="AD222" s="12">
        <v>475.5</v>
      </c>
      <c r="AE222" s="12">
        <v>48670000</v>
      </c>
      <c r="AH222" s="12">
        <v>1019</v>
      </c>
      <c r="AI222" s="12">
        <v>1069.6500000000001</v>
      </c>
      <c r="AJ222" s="12">
        <v>1007.3</v>
      </c>
      <c r="AK222" s="12">
        <v>1043</v>
      </c>
      <c r="AL222" s="12">
        <v>18960000</v>
      </c>
      <c r="AO222" s="12">
        <v>1490.1</v>
      </c>
      <c r="AP222" s="12">
        <v>1555.05</v>
      </c>
      <c r="AQ222" s="12">
        <v>1471.6</v>
      </c>
      <c r="AR222" s="12">
        <v>1521.7</v>
      </c>
      <c r="AS222" s="12">
        <v>54110000</v>
      </c>
      <c r="AV222" s="12">
        <v>3273.85</v>
      </c>
      <c r="AW222" s="12">
        <v>3477.5</v>
      </c>
      <c r="AX222" s="12">
        <v>3273.85</v>
      </c>
      <c r="AY222" s="12">
        <v>3440.15</v>
      </c>
      <c r="AZ222" s="12">
        <v>13480000</v>
      </c>
    </row>
    <row r="223" spans="2:52" ht="15" thickBot="1" x14ac:dyDescent="0.35">
      <c r="B223" s="123">
        <v>44718</v>
      </c>
      <c r="C223" s="164">
        <v>-2.33341766462614E-2</v>
      </c>
      <c r="D223" s="163">
        <f t="shared" si="15"/>
        <v>-3.3709315031781581E-2</v>
      </c>
      <c r="E223" s="163">
        <f t="shared" si="16"/>
        <v>-3.1077304740841721E-2</v>
      </c>
      <c r="F223" s="163">
        <f t="shared" si="17"/>
        <v>-2.6867795378046139E-2</v>
      </c>
      <c r="G223" s="163">
        <f t="shared" si="18"/>
        <v>-2.9950546177481205E-2</v>
      </c>
      <c r="H223" s="165">
        <f t="shared" si="19"/>
        <v>-2.3603863458357903E-2</v>
      </c>
      <c r="K223" s="123">
        <v>44718</v>
      </c>
      <c r="M223" s="151">
        <v>16530.699218999998</v>
      </c>
      <c r="N223" s="152">
        <v>16610.949218999998</v>
      </c>
      <c r="O223" s="152">
        <v>16172.599609000001</v>
      </c>
      <c r="P223" s="152">
        <v>16201.799805000001</v>
      </c>
      <c r="Q223" s="153">
        <v>1105600</v>
      </c>
      <c r="T223" s="12">
        <v>1146.8</v>
      </c>
      <c r="U223" s="12">
        <v>1149</v>
      </c>
      <c r="V223" s="12">
        <v>1100.25</v>
      </c>
      <c r="W223" s="12">
        <v>1109.8499999999999</v>
      </c>
      <c r="X223" s="12">
        <v>11930000</v>
      </c>
      <c r="AA223" s="12">
        <v>472.5</v>
      </c>
      <c r="AB223" s="12">
        <v>476.2</v>
      </c>
      <c r="AC223" s="12">
        <v>456.3</v>
      </c>
      <c r="AD223" s="12">
        <v>460.95</v>
      </c>
      <c r="AE223" s="12">
        <v>26480000</v>
      </c>
      <c r="AH223" s="12">
        <v>1035</v>
      </c>
      <c r="AI223" s="12">
        <v>1047.3499999999999</v>
      </c>
      <c r="AJ223" s="12">
        <v>1008.2</v>
      </c>
      <c r="AK223" s="12">
        <v>1015.35</v>
      </c>
      <c r="AL223" s="12">
        <v>9650000</v>
      </c>
      <c r="AO223" s="12">
        <v>1521</v>
      </c>
      <c r="AP223" s="12">
        <v>1536.6</v>
      </c>
      <c r="AQ223" s="12">
        <v>1473.6</v>
      </c>
      <c r="AR223" s="12">
        <v>1476.8</v>
      </c>
      <c r="AS223" s="12">
        <v>28400000</v>
      </c>
      <c r="AV223" s="12">
        <v>3421</v>
      </c>
      <c r="AW223" s="12">
        <v>3453.1</v>
      </c>
      <c r="AX223" s="12">
        <v>3346.5</v>
      </c>
      <c r="AY223" s="12">
        <v>3359.9</v>
      </c>
      <c r="AZ223" s="12">
        <v>8690000</v>
      </c>
    </row>
    <row r="224" spans="2:52" ht="15" thickBot="1" x14ac:dyDescent="0.35">
      <c r="B224" s="123">
        <v>44725</v>
      </c>
      <c r="C224" s="164">
        <v>-5.7694433612920898E-2</v>
      </c>
      <c r="D224" s="163">
        <f t="shared" si="15"/>
        <v>-0.13980023657145263</v>
      </c>
      <c r="E224" s="163">
        <f t="shared" si="16"/>
        <v>-0.12890880487007503</v>
      </c>
      <c r="F224" s="163">
        <f t="shared" si="17"/>
        <v>-5.7358306941260373E-2</v>
      </c>
      <c r="G224" s="163">
        <f t="shared" si="18"/>
        <v>-6.2518172661907817E-2</v>
      </c>
      <c r="H224" s="165">
        <f t="shared" si="19"/>
        <v>-8.4096171151252175E-2</v>
      </c>
      <c r="K224" s="123">
        <v>44725</v>
      </c>
      <c r="M224" s="151">
        <v>15877.549805000001</v>
      </c>
      <c r="N224" s="152">
        <v>15886.150390999999</v>
      </c>
      <c r="O224" s="152">
        <v>15183.400390999999</v>
      </c>
      <c r="P224" s="152">
        <v>15293.5</v>
      </c>
      <c r="Q224" s="153">
        <v>1241200</v>
      </c>
      <c r="T224" s="12">
        <v>1086</v>
      </c>
      <c r="U224" s="12">
        <v>1086</v>
      </c>
      <c r="V224" s="12">
        <v>943.7</v>
      </c>
      <c r="W224" s="12">
        <v>965.05</v>
      </c>
      <c r="X224" s="12">
        <v>24680000</v>
      </c>
      <c r="AA224" s="12">
        <v>450.5</v>
      </c>
      <c r="AB224" s="12">
        <v>453.75</v>
      </c>
      <c r="AC224" s="12">
        <v>402.05</v>
      </c>
      <c r="AD224" s="12">
        <v>405.2</v>
      </c>
      <c r="AE224" s="12">
        <v>52490000</v>
      </c>
      <c r="AH224" s="12">
        <v>1000</v>
      </c>
      <c r="AI224" s="12">
        <v>1007</v>
      </c>
      <c r="AJ224" s="12">
        <v>944.05</v>
      </c>
      <c r="AK224" s="12">
        <v>958.75</v>
      </c>
      <c r="AL224" s="12">
        <v>15280000</v>
      </c>
      <c r="AO224" s="12">
        <v>1444</v>
      </c>
      <c r="AP224" s="12">
        <v>1448.95</v>
      </c>
      <c r="AQ224" s="12">
        <v>1367.15</v>
      </c>
      <c r="AR224" s="12">
        <v>1387.3</v>
      </c>
      <c r="AS224" s="12">
        <v>35730000</v>
      </c>
      <c r="AV224" s="12">
        <v>3291</v>
      </c>
      <c r="AW224" s="12">
        <v>3293</v>
      </c>
      <c r="AX224" s="12">
        <v>3023.35</v>
      </c>
      <c r="AY224" s="12">
        <v>3088.9</v>
      </c>
      <c r="AZ224" s="12">
        <v>15200000</v>
      </c>
    </row>
    <row r="225" spans="2:52" ht="15" thickBot="1" x14ac:dyDescent="0.35">
      <c r="B225" s="123">
        <v>44732</v>
      </c>
      <c r="C225" s="164">
        <v>2.6185038984122628E-2</v>
      </c>
      <c r="D225" s="163">
        <f t="shared" si="15"/>
        <v>1.6596398916117382E-2</v>
      </c>
      <c r="E225" s="163">
        <f t="shared" si="16"/>
        <v>3.2893310764747906E-2</v>
      </c>
      <c r="F225" s="163">
        <f t="shared" si="17"/>
        <v>8.2578567890938034E-3</v>
      </c>
      <c r="G225" s="163">
        <f t="shared" si="18"/>
        <v>3.8047298757635947E-2</v>
      </c>
      <c r="H225" s="165">
        <f t="shared" si="19"/>
        <v>6.4014329903038847E-2</v>
      </c>
      <c r="K225" s="123">
        <v>44732</v>
      </c>
      <c r="M225" s="151">
        <v>15334.5</v>
      </c>
      <c r="N225" s="152">
        <v>15749.25</v>
      </c>
      <c r="O225" s="152">
        <v>15191.099609000001</v>
      </c>
      <c r="P225" s="152">
        <v>15699.25</v>
      </c>
      <c r="Q225" s="153">
        <v>1222500</v>
      </c>
      <c r="T225" s="12">
        <v>965.05</v>
      </c>
      <c r="U225" s="12">
        <v>1004.65</v>
      </c>
      <c r="V225" s="12">
        <v>948.05</v>
      </c>
      <c r="W225" s="12">
        <v>981.2</v>
      </c>
      <c r="X225" s="12">
        <v>16900000</v>
      </c>
      <c r="AA225" s="12">
        <v>409.6</v>
      </c>
      <c r="AB225" s="12">
        <v>426.85</v>
      </c>
      <c r="AC225" s="12">
        <v>404.15</v>
      </c>
      <c r="AD225" s="12">
        <v>418.75</v>
      </c>
      <c r="AE225" s="12">
        <v>44270000</v>
      </c>
      <c r="AH225" s="12">
        <v>959.25</v>
      </c>
      <c r="AI225" s="12">
        <v>999.9</v>
      </c>
      <c r="AJ225" s="12">
        <v>952.1</v>
      </c>
      <c r="AK225" s="12">
        <v>966.7</v>
      </c>
      <c r="AL225" s="12">
        <v>10490000</v>
      </c>
      <c r="AO225" s="12">
        <v>1389</v>
      </c>
      <c r="AP225" s="12">
        <v>1469</v>
      </c>
      <c r="AQ225" s="12">
        <v>1382</v>
      </c>
      <c r="AR225" s="12">
        <v>1441.1</v>
      </c>
      <c r="AS225" s="12">
        <v>30890000</v>
      </c>
      <c r="AV225" s="12">
        <v>3094.5</v>
      </c>
      <c r="AW225" s="12">
        <v>3345</v>
      </c>
      <c r="AX225" s="12">
        <v>3069</v>
      </c>
      <c r="AY225" s="12">
        <v>3293.1</v>
      </c>
      <c r="AZ225" s="12">
        <v>14400000</v>
      </c>
    </row>
    <row r="226" spans="2:52" ht="15" thickBot="1" x14ac:dyDescent="0.35">
      <c r="B226" s="123">
        <v>44739</v>
      </c>
      <c r="C226" s="164">
        <v>3.3575626399778183E-3</v>
      </c>
      <c r="D226" s="163">
        <f t="shared" si="15"/>
        <v>2.9622126696282582E-2</v>
      </c>
      <c r="E226" s="163">
        <f t="shared" si="16"/>
        <v>7.7312308967356289E-3</v>
      </c>
      <c r="F226" s="163">
        <f t="shared" si="17"/>
        <v>8.9081714703819533E-3</v>
      </c>
      <c r="G226" s="163">
        <f t="shared" si="18"/>
        <v>2.6229889309451457E-2</v>
      </c>
      <c r="H226" s="165">
        <f t="shared" si="19"/>
        <v>6.6584187161192526E-3</v>
      </c>
      <c r="K226" s="123">
        <v>44739</v>
      </c>
      <c r="M226" s="151">
        <v>15926.200194999999</v>
      </c>
      <c r="N226" s="152">
        <v>15927.450194999999</v>
      </c>
      <c r="O226" s="152">
        <v>15511.049805000001</v>
      </c>
      <c r="P226" s="152">
        <v>15752.049805000001</v>
      </c>
      <c r="Q226" s="153">
        <v>1577800</v>
      </c>
      <c r="T226" s="12">
        <v>998</v>
      </c>
      <c r="U226" s="12">
        <v>1029</v>
      </c>
      <c r="V226" s="12">
        <v>984.05</v>
      </c>
      <c r="W226" s="12">
        <v>1010.7</v>
      </c>
      <c r="X226" s="12">
        <v>15870000</v>
      </c>
      <c r="AA226" s="12">
        <v>425.45</v>
      </c>
      <c r="AB226" s="12">
        <v>430.75</v>
      </c>
      <c r="AC226" s="12">
        <v>411.4</v>
      </c>
      <c r="AD226" s="12">
        <v>422</v>
      </c>
      <c r="AE226" s="12">
        <v>33110000</v>
      </c>
      <c r="AH226" s="12">
        <v>980</v>
      </c>
      <c r="AI226" s="12">
        <v>1007.55</v>
      </c>
      <c r="AJ226" s="12">
        <v>964.2</v>
      </c>
      <c r="AK226" s="12">
        <v>975.35</v>
      </c>
      <c r="AL226" s="12">
        <v>16630000</v>
      </c>
      <c r="AO226" s="12">
        <v>1470</v>
      </c>
      <c r="AP226" s="12">
        <v>1488.25</v>
      </c>
      <c r="AQ226" s="12">
        <v>1442.25</v>
      </c>
      <c r="AR226" s="12">
        <v>1479.4</v>
      </c>
      <c r="AS226" s="12">
        <v>28850000</v>
      </c>
      <c r="AV226" s="12">
        <v>3338</v>
      </c>
      <c r="AW226" s="12">
        <v>3362.9</v>
      </c>
      <c r="AX226" s="12">
        <v>3252</v>
      </c>
      <c r="AY226" s="12">
        <v>3315.1</v>
      </c>
      <c r="AZ226" s="12">
        <v>10050000</v>
      </c>
    </row>
    <row r="227" spans="2:52" ht="15" thickBot="1" x14ac:dyDescent="0.35">
      <c r="B227" s="123">
        <v>44746</v>
      </c>
      <c r="C227" s="164">
        <v>2.9311512114086152E-2</v>
      </c>
      <c r="D227" s="163">
        <f t="shared" si="15"/>
        <v>1.5511797378371342E-2</v>
      </c>
      <c r="E227" s="163">
        <f t="shared" si="16"/>
        <v>-6.8957591049859683E-3</v>
      </c>
      <c r="F227" s="163">
        <f t="shared" si="17"/>
        <v>8.3720944367963492E-3</v>
      </c>
      <c r="G227" s="163">
        <f t="shared" si="18"/>
        <v>2.3415736572439727E-2</v>
      </c>
      <c r="H227" s="165">
        <f t="shared" si="19"/>
        <v>-1.5090210442885797E-2</v>
      </c>
      <c r="K227" s="123">
        <v>44746</v>
      </c>
      <c r="M227" s="151">
        <v>15710.5</v>
      </c>
      <c r="N227" s="152">
        <v>16275.5</v>
      </c>
      <c r="O227" s="152">
        <v>15661.799805000001</v>
      </c>
      <c r="P227" s="152">
        <v>16220.599609000001</v>
      </c>
      <c r="Q227" s="153">
        <v>1392600</v>
      </c>
      <c r="T227" s="12">
        <v>1011</v>
      </c>
      <c r="U227" s="12">
        <v>1034.7</v>
      </c>
      <c r="V227" s="12">
        <v>995</v>
      </c>
      <c r="W227" s="12">
        <v>1026.5</v>
      </c>
      <c r="X227" s="12">
        <v>12350000</v>
      </c>
      <c r="AA227" s="12">
        <v>422.9</v>
      </c>
      <c r="AB227" s="12">
        <v>424.7</v>
      </c>
      <c r="AC227" s="12">
        <v>413</v>
      </c>
      <c r="AD227" s="12">
        <v>419.1</v>
      </c>
      <c r="AE227" s="12">
        <v>26840000</v>
      </c>
      <c r="AH227" s="12">
        <v>976.7</v>
      </c>
      <c r="AI227" s="12">
        <v>1005</v>
      </c>
      <c r="AJ227" s="12">
        <v>973.4</v>
      </c>
      <c r="AK227" s="12">
        <v>983.55</v>
      </c>
      <c r="AL227" s="12">
        <v>14890000</v>
      </c>
      <c r="AO227" s="12">
        <v>1482</v>
      </c>
      <c r="AP227" s="12">
        <v>1516.95</v>
      </c>
      <c r="AQ227" s="12">
        <v>1461.8</v>
      </c>
      <c r="AR227" s="12">
        <v>1514.45</v>
      </c>
      <c r="AS227" s="12">
        <v>25440000</v>
      </c>
      <c r="AV227" s="12">
        <v>3315</v>
      </c>
      <c r="AW227" s="12">
        <v>3319.4</v>
      </c>
      <c r="AX227" s="12">
        <v>3202.25</v>
      </c>
      <c r="AY227" s="12">
        <v>3265.45</v>
      </c>
      <c r="AZ227" s="12">
        <v>11610000</v>
      </c>
    </row>
    <row r="228" spans="2:52" ht="15" thickBot="1" x14ac:dyDescent="0.35">
      <c r="B228" s="123">
        <v>44753</v>
      </c>
      <c r="C228" s="164">
        <v>-1.062299901949551E-2</v>
      </c>
      <c r="D228" s="163">
        <f t="shared" si="15"/>
        <v>-5.2704292710387818E-2</v>
      </c>
      <c r="E228" s="163">
        <f t="shared" si="16"/>
        <v>-6.2139428781692471E-2</v>
      </c>
      <c r="F228" s="163">
        <f t="shared" si="17"/>
        <v>-0.10767341377628566</v>
      </c>
      <c r="G228" s="163">
        <f t="shared" si="18"/>
        <v>-5.7133167175177461E-2</v>
      </c>
      <c r="H228" s="165">
        <f t="shared" si="19"/>
        <v>-8.6586911930995325E-2</v>
      </c>
      <c r="K228" s="123">
        <v>44753</v>
      </c>
      <c r="M228" s="151">
        <v>16136.150390999999</v>
      </c>
      <c r="N228" s="152">
        <v>16248.549805000001</v>
      </c>
      <c r="O228" s="152">
        <v>15858.200194999999</v>
      </c>
      <c r="P228" s="152">
        <v>16049.200194999999</v>
      </c>
      <c r="Q228" s="153">
        <v>1132200</v>
      </c>
      <c r="T228" s="12">
        <v>1017.9</v>
      </c>
      <c r="U228" s="12">
        <v>1017.9</v>
      </c>
      <c r="V228" s="12">
        <v>965</v>
      </c>
      <c r="W228" s="12">
        <v>973.8</v>
      </c>
      <c r="X228" s="12">
        <v>12170000</v>
      </c>
      <c r="AA228" s="12">
        <v>414.75</v>
      </c>
      <c r="AB228" s="12">
        <v>415</v>
      </c>
      <c r="AC228" s="12">
        <v>391</v>
      </c>
      <c r="AD228" s="12">
        <v>393.85</v>
      </c>
      <c r="AE228" s="12">
        <v>40110000</v>
      </c>
      <c r="AH228" s="12">
        <v>975.15</v>
      </c>
      <c r="AI228" s="12">
        <v>979.15</v>
      </c>
      <c r="AJ228" s="12">
        <v>877.25</v>
      </c>
      <c r="AK228" s="12">
        <v>883.15</v>
      </c>
      <c r="AL228" s="12">
        <v>35930000</v>
      </c>
      <c r="AO228" s="12">
        <v>1507</v>
      </c>
      <c r="AP228" s="12">
        <v>1507</v>
      </c>
      <c r="AQ228" s="12">
        <v>1410.65</v>
      </c>
      <c r="AR228" s="12">
        <v>1430.35</v>
      </c>
      <c r="AS228" s="12">
        <v>27560000</v>
      </c>
      <c r="AV228" s="12">
        <v>3220</v>
      </c>
      <c r="AW228" s="12">
        <v>3225</v>
      </c>
      <c r="AX228" s="12">
        <v>2953</v>
      </c>
      <c r="AY228" s="12">
        <v>2994.6</v>
      </c>
      <c r="AZ228" s="12">
        <v>24700000</v>
      </c>
    </row>
    <row r="229" spans="2:52" ht="15" thickBot="1" x14ac:dyDescent="0.35">
      <c r="B229" s="123">
        <v>44760</v>
      </c>
      <c r="C229" s="164">
        <v>4.0913649419467867E-2</v>
      </c>
      <c r="D229" s="163">
        <f t="shared" si="15"/>
        <v>5.4845204388383972E-2</v>
      </c>
      <c r="E229" s="163">
        <f t="shared" si="16"/>
        <v>4.2258058227863611E-2</v>
      </c>
      <c r="F229" s="163">
        <f t="shared" si="17"/>
        <v>4.115031065767797E-2</v>
      </c>
      <c r="G229" s="163">
        <f t="shared" si="18"/>
        <v>5.1737143157739675E-2</v>
      </c>
      <c r="H229" s="165">
        <f t="shared" si="19"/>
        <v>5.7236328834728817E-2</v>
      </c>
      <c r="K229" s="123">
        <v>44760</v>
      </c>
      <c r="M229" s="151">
        <v>16151.400390999999</v>
      </c>
      <c r="N229" s="152">
        <v>16752.25</v>
      </c>
      <c r="O229" s="152">
        <v>16142.200194999999</v>
      </c>
      <c r="P229" s="152">
        <v>16719.449218999998</v>
      </c>
      <c r="Q229" s="153">
        <v>1169200</v>
      </c>
      <c r="T229" s="12">
        <v>980</v>
      </c>
      <c r="U229" s="12">
        <v>1051.7</v>
      </c>
      <c r="V229" s="12">
        <v>980</v>
      </c>
      <c r="W229" s="12">
        <v>1028.7</v>
      </c>
      <c r="X229" s="12">
        <v>22230000</v>
      </c>
      <c r="AA229" s="12">
        <v>398.3</v>
      </c>
      <c r="AB229" s="12">
        <v>417.7</v>
      </c>
      <c r="AC229" s="12">
        <v>396.65</v>
      </c>
      <c r="AD229" s="12">
        <v>410.85</v>
      </c>
      <c r="AE229" s="12">
        <v>61200000</v>
      </c>
      <c r="AH229" s="12">
        <v>898</v>
      </c>
      <c r="AI229" s="12">
        <v>931.9</v>
      </c>
      <c r="AJ229" s="12">
        <v>885</v>
      </c>
      <c r="AK229" s="12">
        <v>920.25</v>
      </c>
      <c r="AL229" s="12">
        <v>24620000</v>
      </c>
      <c r="AO229" s="12">
        <v>1447.25</v>
      </c>
      <c r="AP229" s="12">
        <v>1540</v>
      </c>
      <c r="AQ229" s="12">
        <v>1447.25</v>
      </c>
      <c r="AR229" s="12">
        <v>1506.3</v>
      </c>
      <c r="AS229" s="12">
        <v>32310000</v>
      </c>
      <c r="AV229" s="12">
        <v>3023.4</v>
      </c>
      <c r="AW229" s="12">
        <v>3197</v>
      </c>
      <c r="AX229" s="12">
        <v>3014.3</v>
      </c>
      <c r="AY229" s="12">
        <v>3171</v>
      </c>
      <c r="AZ229" s="12">
        <v>15160000</v>
      </c>
    </row>
    <row r="230" spans="2:52" ht="15" thickBot="1" x14ac:dyDescent="0.35">
      <c r="B230" s="123">
        <v>44767</v>
      </c>
      <c r="C230" s="164">
        <v>2.5906441840777519E-2</v>
      </c>
      <c r="D230" s="163">
        <f t="shared" si="15"/>
        <v>1.9207753489119607E-2</v>
      </c>
      <c r="E230" s="163">
        <f t="shared" si="16"/>
        <v>3.0797473255316586E-2</v>
      </c>
      <c r="F230" s="163">
        <f t="shared" si="17"/>
        <v>3.0130981932119959E-2</v>
      </c>
      <c r="G230" s="163">
        <f t="shared" si="18"/>
        <v>2.8405051084519805E-2</v>
      </c>
      <c r="H230" s="165">
        <f t="shared" si="19"/>
        <v>4.0451064807181934E-2</v>
      </c>
      <c r="K230" s="123">
        <v>44767</v>
      </c>
      <c r="M230" s="151">
        <v>16662.550781000002</v>
      </c>
      <c r="N230" s="152">
        <v>17172.800781000002</v>
      </c>
      <c r="O230" s="152">
        <v>16438.75</v>
      </c>
      <c r="P230" s="152">
        <v>17158.25</v>
      </c>
      <c r="Q230" s="153">
        <v>1417200</v>
      </c>
      <c r="T230" s="12">
        <v>1034.7</v>
      </c>
      <c r="U230" s="12">
        <v>1068</v>
      </c>
      <c r="V230" s="12">
        <v>992</v>
      </c>
      <c r="W230" s="12">
        <v>1048.6500000000001</v>
      </c>
      <c r="X230" s="12">
        <v>21800000</v>
      </c>
      <c r="AA230" s="12">
        <v>411.4</v>
      </c>
      <c r="AB230" s="12">
        <v>424.4</v>
      </c>
      <c r="AC230" s="12">
        <v>401.95</v>
      </c>
      <c r="AD230" s="12">
        <v>423.7</v>
      </c>
      <c r="AE230" s="12">
        <v>37910000</v>
      </c>
      <c r="AH230" s="12">
        <v>919.95</v>
      </c>
      <c r="AI230" s="12">
        <v>965.7</v>
      </c>
      <c r="AJ230" s="12">
        <v>911.05</v>
      </c>
      <c r="AK230" s="12">
        <v>948.4</v>
      </c>
      <c r="AL230" s="12">
        <v>13630000</v>
      </c>
      <c r="AO230" s="12">
        <v>1478.35</v>
      </c>
      <c r="AP230" s="12">
        <v>1555.7</v>
      </c>
      <c r="AQ230" s="12">
        <v>1444.55</v>
      </c>
      <c r="AR230" s="12">
        <v>1549.7</v>
      </c>
      <c r="AS230" s="12">
        <v>35160000</v>
      </c>
      <c r="AV230" s="12">
        <v>3169</v>
      </c>
      <c r="AW230" s="12">
        <v>3317.3</v>
      </c>
      <c r="AX230" s="12">
        <v>3096.5</v>
      </c>
      <c r="AY230" s="12">
        <v>3301.9</v>
      </c>
      <c r="AZ230" s="12">
        <v>10700000</v>
      </c>
    </row>
    <row r="231" spans="2:52" ht="15" thickBot="1" x14ac:dyDescent="0.35">
      <c r="B231" s="123">
        <v>44774</v>
      </c>
      <c r="C231" s="164">
        <v>1.3847410229484824E-2</v>
      </c>
      <c r="D231" s="163">
        <f t="shared" si="15"/>
        <v>9.0657288439274803E-3</v>
      </c>
      <c r="E231" s="163">
        <f t="shared" si="16"/>
        <v>3.7749069279793351E-2</v>
      </c>
      <c r="F231" s="163">
        <f t="shared" si="17"/>
        <v>9.8104293895079284E-3</v>
      </c>
      <c r="G231" s="163">
        <f t="shared" si="18"/>
        <v>4.2294743138638478E-2</v>
      </c>
      <c r="H231" s="165">
        <f t="shared" si="19"/>
        <v>1.8944761463917818E-2</v>
      </c>
      <c r="K231" s="123">
        <v>44774</v>
      </c>
      <c r="M231" s="151">
        <v>17243.199218999998</v>
      </c>
      <c r="N231" s="152">
        <v>17490.699218999998</v>
      </c>
      <c r="O231" s="152">
        <v>17154.800781000002</v>
      </c>
      <c r="P231" s="152">
        <v>17397.5</v>
      </c>
      <c r="Q231" s="153">
        <v>1680800</v>
      </c>
      <c r="T231" s="12">
        <v>1060</v>
      </c>
      <c r="U231" s="12">
        <v>1072.75</v>
      </c>
      <c r="V231" s="12">
        <v>1024.55</v>
      </c>
      <c r="W231" s="12">
        <v>1058.2</v>
      </c>
      <c r="X231" s="12">
        <v>18120000</v>
      </c>
      <c r="AA231" s="12">
        <v>427</v>
      </c>
      <c r="AB231" s="12">
        <v>442</v>
      </c>
      <c r="AC231" s="12">
        <v>422.6</v>
      </c>
      <c r="AD231" s="12">
        <v>440</v>
      </c>
      <c r="AE231" s="12">
        <v>37980000</v>
      </c>
      <c r="AH231" s="12">
        <v>958.45</v>
      </c>
      <c r="AI231" s="12">
        <v>969.95</v>
      </c>
      <c r="AJ231" s="12">
        <v>941.05</v>
      </c>
      <c r="AK231" s="12">
        <v>957.75</v>
      </c>
      <c r="AL231" s="12">
        <v>21720000</v>
      </c>
      <c r="AO231" s="12">
        <v>1570</v>
      </c>
      <c r="AP231" s="12">
        <v>1625.7</v>
      </c>
      <c r="AQ231" s="12">
        <v>1528.35</v>
      </c>
      <c r="AR231" s="12">
        <v>1616.65</v>
      </c>
      <c r="AS231" s="12">
        <v>31320000</v>
      </c>
      <c r="AV231" s="12">
        <v>3327.05</v>
      </c>
      <c r="AW231" s="12">
        <v>3387.95</v>
      </c>
      <c r="AX231" s="12">
        <v>3271</v>
      </c>
      <c r="AY231" s="12">
        <v>3365.05</v>
      </c>
      <c r="AZ231" s="12">
        <v>10320000</v>
      </c>
    </row>
    <row r="232" spans="2:52" ht="15" thickBot="1" x14ac:dyDescent="0.35">
      <c r="B232" s="123">
        <v>44781</v>
      </c>
      <c r="C232" s="164">
        <v>1.713361869903619E-2</v>
      </c>
      <c r="D232" s="163">
        <f t="shared" si="15"/>
        <v>7.2501612250597701E-3</v>
      </c>
      <c r="E232" s="163">
        <f t="shared" si="16"/>
        <v>-8.9031520635860142E-3</v>
      </c>
      <c r="F232" s="163">
        <f t="shared" si="17"/>
        <v>-1.4105479965887749E-3</v>
      </c>
      <c r="G232" s="163">
        <f t="shared" si="18"/>
        <v>-1.4046793292326897E-2</v>
      </c>
      <c r="H232" s="165">
        <f t="shared" si="19"/>
        <v>1.0788388264957979E-2</v>
      </c>
      <c r="K232" s="123">
        <v>44781</v>
      </c>
      <c r="M232" s="151">
        <v>17401.5</v>
      </c>
      <c r="N232" s="152">
        <v>17724.650390999999</v>
      </c>
      <c r="O232" s="152">
        <v>17359.75</v>
      </c>
      <c r="P232" s="152">
        <v>17698.150390999999</v>
      </c>
      <c r="Q232" s="153">
        <v>1184800</v>
      </c>
      <c r="T232" s="12">
        <v>1059.9000000000001</v>
      </c>
      <c r="U232" s="12">
        <v>1093.9000000000001</v>
      </c>
      <c r="V232" s="12">
        <v>1043.05</v>
      </c>
      <c r="W232" s="12">
        <v>1065.9000000000001</v>
      </c>
      <c r="X232" s="12">
        <v>10930000</v>
      </c>
      <c r="AA232" s="12">
        <v>439.9</v>
      </c>
      <c r="AB232" s="12">
        <v>442.8</v>
      </c>
      <c r="AC232" s="12">
        <v>426.3</v>
      </c>
      <c r="AD232" s="12">
        <v>436.1</v>
      </c>
      <c r="AE232" s="12">
        <v>19240000</v>
      </c>
      <c r="AH232" s="12">
        <v>953</v>
      </c>
      <c r="AI232" s="12">
        <v>968.5</v>
      </c>
      <c r="AJ232" s="12">
        <v>948.05</v>
      </c>
      <c r="AK232" s="12">
        <v>956.4</v>
      </c>
      <c r="AL232" s="12">
        <v>12620000</v>
      </c>
      <c r="AO232" s="12">
        <v>1616.1</v>
      </c>
      <c r="AP232" s="12">
        <v>1631.35</v>
      </c>
      <c r="AQ232" s="12">
        <v>1588.1</v>
      </c>
      <c r="AR232" s="12">
        <v>1594.1</v>
      </c>
      <c r="AS232" s="12">
        <v>16020000</v>
      </c>
      <c r="AV232" s="12">
        <v>3361</v>
      </c>
      <c r="AW232" s="12">
        <v>3428.7</v>
      </c>
      <c r="AX232" s="12">
        <v>3335</v>
      </c>
      <c r="AY232" s="12">
        <v>3401.55</v>
      </c>
      <c r="AZ232" s="12">
        <v>6260000</v>
      </c>
    </row>
    <row r="233" spans="2:52" ht="15" thickBot="1" x14ac:dyDescent="0.35">
      <c r="B233" s="123">
        <v>44788</v>
      </c>
      <c r="C233" s="164">
        <v>3.4012785656156782E-3</v>
      </c>
      <c r="D233" s="163">
        <f t="shared" si="15"/>
        <v>3.5256295477733443E-2</v>
      </c>
      <c r="E233" s="163">
        <f t="shared" si="16"/>
        <v>-8.4048620961999412E-3</v>
      </c>
      <c r="F233" s="163">
        <f t="shared" si="17"/>
        <v>1.4171380976541883E-2</v>
      </c>
      <c r="G233" s="163">
        <f t="shared" si="18"/>
        <v>1.8801710226628156E-3</v>
      </c>
      <c r="H233" s="165">
        <f t="shared" si="19"/>
        <v>-4.6557625389244432E-3</v>
      </c>
      <c r="K233" s="123">
        <v>44788</v>
      </c>
      <c r="M233" s="151">
        <v>17797.199218999998</v>
      </c>
      <c r="N233" s="152">
        <v>17992.199218999998</v>
      </c>
      <c r="O233" s="152">
        <v>17710.75</v>
      </c>
      <c r="P233" s="152">
        <v>17758.449218999998</v>
      </c>
      <c r="Q233" s="153">
        <v>822300</v>
      </c>
      <c r="T233" s="12">
        <v>1076</v>
      </c>
      <c r="U233" s="12">
        <v>1135</v>
      </c>
      <c r="V233" s="12">
        <v>1056.45</v>
      </c>
      <c r="W233" s="12">
        <v>1104.1500000000001</v>
      </c>
      <c r="X233" s="12">
        <v>14820000</v>
      </c>
      <c r="AA233" s="12">
        <v>437.8</v>
      </c>
      <c r="AB233" s="12">
        <v>444.9</v>
      </c>
      <c r="AC233" s="12">
        <v>431</v>
      </c>
      <c r="AD233" s="12">
        <v>432.45</v>
      </c>
      <c r="AE233" s="12">
        <v>26480000</v>
      </c>
      <c r="AH233" s="12">
        <v>966</v>
      </c>
      <c r="AI233" s="12">
        <v>987.05</v>
      </c>
      <c r="AJ233" s="12">
        <v>952.65</v>
      </c>
      <c r="AK233" s="12">
        <v>970.05</v>
      </c>
      <c r="AL233" s="12">
        <v>14620000</v>
      </c>
      <c r="AO233" s="12">
        <v>1601.2</v>
      </c>
      <c r="AP233" s="12">
        <v>1612</v>
      </c>
      <c r="AQ233" s="12">
        <v>1574</v>
      </c>
      <c r="AR233" s="12">
        <v>1597.1</v>
      </c>
      <c r="AS233" s="12">
        <v>17310000</v>
      </c>
      <c r="AV233" s="12">
        <v>3403.05</v>
      </c>
      <c r="AW233" s="12">
        <v>3421.5</v>
      </c>
      <c r="AX233" s="12">
        <v>3361.7</v>
      </c>
      <c r="AY233" s="12">
        <v>3385.75</v>
      </c>
      <c r="AZ233" s="12">
        <v>5700000</v>
      </c>
    </row>
    <row r="234" spans="2:52" ht="15" thickBot="1" x14ac:dyDescent="0.35">
      <c r="B234" s="123">
        <v>44795</v>
      </c>
      <c r="C234" s="164">
        <v>-1.1300448857775581E-2</v>
      </c>
      <c r="D234" s="163">
        <f t="shared" si="15"/>
        <v>-1.6989037192578348E-2</v>
      </c>
      <c r="E234" s="163">
        <f t="shared" si="16"/>
        <v>-3.578115021057636E-2</v>
      </c>
      <c r="F234" s="163">
        <f t="shared" si="17"/>
        <v>-2.5475094826248098E-2</v>
      </c>
      <c r="G234" s="163">
        <f t="shared" si="18"/>
        <v>-4.845993255825775E-2</v>
      </c>
      <c r="H234" s="165">
        <f t="shared" si="19"/>
        <v>-4.9511091478594595E-2</v>
      </c>
      <c r="K234" s="123">
        <v>44795</v>
      </c>
      <c r="M234" s="151">
        <v>17682.900390999999</v>
      </c>
      <c r="N234" s="152">
        <v>17726.5</v>
      </c>
      <c r="O234" s="152">
        <v>17345.199218999998</v>
      </c>
      <c r="P234" s="152">
        <v>17558.900390999999</v>
      </c>
      <c r="Q234" s="153">
        <v>1332000</v>
      </c>
      <c r="T234" s="12">
        <v>1091</v>
      </c>
      <c r="U234" s="12">
        <v>1100</v>
      </c>
      <c r="V234" s="12">
        <v>1046.7</v>
      </c>
      <c r="W234" s="12">
        <v>1085.55</v>
      </c>
      <c r="X234" s="12">
        <v>13350000</v>
      </c>
      <c r="AA234" s="12">
        <v>430.05</v>
      </c>
      <c r="AB234" s="12">
        <v>430.9</v>
      </c>
      <c r="AC234" s="12">
        <v>410</v>
      </c>
      <c r="AD234" s="12">
        <v>417.25</v>
      </c>
      <c r="AE234" s="12">
        <v>29340000</v>
      </c>
      <c r="AH234" s="12">
        <v>966</v>
      </c>
      <c r="AI234" s="12">
        <v>970</v>
      </c>
      <c r="AJ234" s="12">
        <v>938.75</v>
      </c>
      <c r="AK234" s="12">
        <v>945.65</v>
      </c>
      <c r="AL234" s="12">
        <v>15120000</v>
      </c>
      <c r="AO234" s="12">
        <v>1585</v>
      </c>
      <c r="AP234" s="12">
        <v>1599.55</v>
      </c>
      <c r="AQ234" s="12">
        <v>1513.75</v>
      </c>
      <c r="AR234" s="12">
        <v>1521.55</v>
      </c>
      <c r="AS234" s="12">
        <v>20980000</v>
      </c>
      <c r="AV234" s="12">
        <v>3369</v>
      </c>
      <c r="AW234" s="12">
        <v>3384.45</v>
      </c>
      <c r="AX234" s="12">
        <v>3213.5</v>
      </c>
      <c r="AY234" s="12">
        <v>3222.2</v>
      </c>
      <c r="AZ234" s="12">
        <v>8880000</v>
      </c>
    </row>
    <row r="235" spans="2:52" ht="15" thickBot="1" x14ac:dyDescent="0.35">
      <c r="B235" s="123">
        <v>44802</v>
      </c>
      <c r="C235" s="164">
        <v>-1.108381118056127E-3</v>
      </c>
      <c r="D235" s="163">
        <f t="shared" si="15"/>
        <v>-2.7219869557269134E-2</v>
      </c>
      <c r="E235" s="163">
        <f t="shared" si="16"/>
        <v>-2.3153952716736755E-2</v>
      </c>
      <c r="F235" s="163">
        <f t="shared" si="17"/>
        <v>-2.267355565810146E-2</v>
      </c>
      <c r="G235" s="163">
        <f t="shared" si="18"/>
        <v>-4.6099167533722951E-2</v>
      </c>
      <c r="H235" s="165">
        <f t="shared" si="19"/>
        <v>-2.8903564160683487E-2</v>
      </c>
      <c r="K235" s="123">
        <v>44802</v>
      </c>
      <c r="M235" s="151">
        <v>17188.650390999999</v>
      </c>
      <c r="N235" s="152">
        <v>17777.650390999999</v>
      </c>
      <c r="O235" s="152">
        <v>17166.199218999998</v>
      </c>
      <c r="P235" s="152">
        <v>17539.449218999998</v>
      </c>
      <c r="Q235" s="153">
        <v>1134400</v>
      </c>
      <c r="T235" s="12">
        <v>1029</v>
      </c>
      <c r="U235" s="12">
        <v>1080.5</v>
      </c>
      <c r="V235" s="12">
        <v>1017.3</v>
      </c>
      <c r="W235" s="12">
        <v>1056.4000000000001</v>
      </c>
      <c r="X235" s="12">
        <v>19130000</v>
      </c>
      <c r="AA235" s="12">
        <v>405</v>
      </c>
      <c r="AB235" s="12">
        <v>415.95</v>
      </c>
      <c r="AC235" s="12">
        <v>399</v>
      </c>
      <c r="AD235" s="12">
        <v>407.7</v>
      </c>
      <c r="AE235" s="12">
        <v>34360000</v>
      </c>
      <c r="AH235" s="12">
        <v>875.65</v>
      </c>
      <c r="AI235" s="12">
        <v>945.25</v>
      </c>
      <c r="AJ235" s="12">
        <v>875.65</v>
      </c>
      <c r="AK235" s="12">
        <v>924.45</v>
      </c>
      <c r="AL235" s="12">
        <v>13280000</v>
      </c>
      <c r="AO235" s="12">
        <v>1453.35</v>
      </c>
      <c r="AP235" s="12">
        <v>1496.1</v>
      </c>
      <c r="AQ235" s="12">
        <v>1448</v>
      </c>
      <c r="AR235" s="12">
        <v>1453</v>
      </c>
      <c r="AS235" s="12">
        <v>29700000</v>
      </c>
      <c r="AV235" s="12">
        <v>3145</v>
      </c>
      <c r="AW235" s="12">
        <v>3226.95</v>
      </c>
      <c r="AX235" s="12">
        <v>3081</v>
      </c>
      <c r="AY235" s="12">
        <v>3130.4</v>
      </c>
      <c r="AZ235" s="12">
        <v>12340000</v>
      </c>
    </row>
    <row r="236" spans="2:52" ht="15" thickBot="1" x14ac:dyDescent="0.35">
      <c r="B236" s="123">
        <v>44809</v>
      </c>
      <c r="C236" s="164">
        <v>1.6617692861952197E-2</v>
      </c>
      <c r="D236" s="163">
        <f t="shared" si="15"/>
        <v>6.4381726377153364E-2</v>
      </c>
      <c r="E236" s="163">
        <f t="shared" si="16"/>
        <v>2.2914259522875832E-2</v>
      </c>
      <c r="F236" s="163">
        <f t="shared" si="17"/>
        <v>2.5682823298707032E-2</v>
      </c>
      <c r="G236" s="163">
        <f t="shared" si="18"/>
        <v>3.9571384891740655E-2</v>
      </c>
      <c r="H236" s="165">
        <f t="shared" si="19"/>
        <v>2.7490487534018514E-2</v>
      </c>
      <c r="K236" s="123">
        <v>44809</v>
      </c>
      <c r="M236" s="151">
        <v>17546.449218999998</v>
      </c>
      <c r="N236" s="152">
        <v>17925.949218999998</v>
      </c>
      <c r="O236" s="152">
        <v>17484.300781000002</v>
      </c>
      <c r="P236" s="152">
        <v>17833.349609000001</v>
      </c>
      <c r="Q236" s="153">
        <v>1385700</v>
      </c>
      <c r="T236" s="12">
        <v>1056</v>
      </c>
      <c r="U236" s="12">
        <v>1132.3499999999999</v>
      </c>
      <c r="V236" s="12">
        <v>1044</v>
      </c>
      <c r="W236" s="12">
        <v>1126.6500000000001</v>
      </c>
      <c r="X236" s="12">
        <v>14570000</v>
      </c>
      <c r="AA236" s="12">
        <v>407</v>
      </c>
      <c r="AB236" s="12">
        <v>419.45</v>
      </c>
      <c r="AC236" s="12">
        <v>401</v>
      </c>
      <c r="AD236" s="12">
        <v>417.15</v>
      </c>
      <c r="AE236" s="12">
        <v>41050000</v>
      </c>
      <c r="AH236" s="12">
        <v>926</v>
      </c>
      <c r="AI236" s="12">
        <v>953</v>
      </c>
      <c r="AJ236" s="12">
        <v>922.5</v>
      </c>
      <c r="AK236" s="12">
        <v>948.5</v>
      </c>
      <c r="AL236" s="12">
        <v>13290000</v>
      </c>
      <c r="AO236" s="12">
        <v>1451</v>
      </c>
      <c r="AP236" s="12">
        <v>1520</v>
      </c>
      <c r="AQ236" s="12">
        <v>1437.3</v>
      </c>
      <c r="AR236" s="12">
        <v>1511.65</v>
      </c>
      <c r="AS236" s="12">
        <v>20580000</v>
      </c>
      <c r="AV236" s="12">
        <v>3123.65</v>
      </c>
      <c r="AW236" s="12">
        <v>3233.5</v>
      </c>
      <c r="AX236" s="12">
        <v>3102</v>
      </c>
      <c r="AY236" s="12">
        <v>3217.65</v>
      </c>
      <c r="AZ236" s="12">
        <v>8980000</v>
      </c>
    </row>
    <row r="237" spans="2:52" ht="15" thickBot="1" x14ac:dyDescent="0.35">
      <c r="B237" s="123">
        <v>44816</v>
      </c>
      <c r="C237" s="164">
        <v>-1.7108114127794966E-2</v>
      </c>
      <c r="D237" s="163">
        <f t="shared" si="15"/>
        <v>-8.6587845578445025E-2</v>
      </c>
      <c r="E237" s="163">
        <f t="shared" si="16"/>
        <v>-3.786480672826207E-2</v>
      </c>
      <c r="F237" s="163">
        <f t="shared" si="17"/>
        <v>-5.5937416251111483E-2</v>
      </c>
      <c r="G237" s="163">
        <f t="shared" si="18"/>
        <v>-9.3258239571966051E-2</v>
      </c>
      <c r="H237" s="165">
        <f t="shared" si="19"/>
        <v>-6.7143187667948953E-2</v>
      </c>
      <c r="K237" s="123">
        <v>44816</v>
      </c>
      <c r="M237" s="151">
        <v>17890.849609000001</v>
      </c>
      <c r="N237" s="152">
        <v>18096.150390999999</v>
      </c>
      <c r="O237" s="152">
        <v>17497.25</v>
      </c>
      <c r="P237" s="152">
        <v>17530.849609000001</v>
      </c>
      <c r="Q237" s="153">
        <v>1612100</v>
      </c>
      <c r="T237" s="12">
        <v>1139.95</v>
      </c>
      <c r="U237" s="12">
        <v>1165.75</v>
      </c>
      <c r="V237" s="12">
        <v>1028</v>
      </c>
      <c r="W237" s="12">
        <v>1033.2</v>
      </c>
      <c r="X237" s="12">
        <v>23830000</v>
      </c>
      <c r="AA237" s="12">
        <v>418.5</v>
      </c>
      <c r="AB237" s="12">
        <v>426</v>
      </c>
      <c r="AC237" s="12">
        <v>400.15</v>
      </c>
      <c r="AD237" s="12">
        <v>401.65</v>
      </c>
      <c r="AE237" s="12">
        <v>37930000</v>
      </c>
      <c r="AH237" s="12">
        <v>952</v>
      </c>
      <c r="AI237" s="12">
        <v>963.5</v>
      </c>
      <c r="AJ237" s="12">
        <v>893</v>
      </c>
      <c r="AK237" s="12">
        <v>896.9</v>
      </c>
      <c r="AL237" s="12">
        <v>20970000</v>
      </c>
      <c r="AO237" s="12">
        <v>1525</v>
      </c>
      <c r="AP237" s="12">
        <v>1553</v>
      </c>
      <c r="AQ237" s="12">
        <v>1368.35</v>
      </c>
      <c r="AR237" s="12">
        <v>1377.05</v>
      </c>
      <c r="AS237" s="12">
        <v>60100000</v>
      </c>
      <c r="AV237" s="12">
        <v>3233.85</v>
      </c>
      <c r="AW237" s="12">
        <v>3269.8</v>
      </c>
      <c r="AX237" s="12">
        <v>3000</v>
      </c>
      <c r="AY237" s="12">
        <v>3008.7</v>
      </c>
      <c r="AZ237" s="12">
        <v>17450000</v>
      </c>
    </row>
    <row r="238" spans="2:52" ht="15" thickBot="1" x14ac:dyDescent="0.35">
      <c r="B238" s="123">
        <v>44823</v>
      </c>
      <c r="C238" s="164">
        <v>-1.167600831228093E-2</v>
      </c>
      <c r="D238" s="163">
        <f t="shared" si="15"/>
        <v>1.8372581680190347E-3</v>
      </c>
      <c r="E238" s="163">
        <f t="shared" si="16"/>
        <v>-1.8342222775821565E-2</v>
      </c>
      <c r="F238" s="163">
        <f t="shared" si="17"/>
        <v>-1.1713848780504112E-3</v>
      </c>
      <c r="G238" s="163">
        <f t="shared" si="18"/>
        <v>-8.4594852706499288E-3</v>
      </c>
      <c r="H238" s="165">
        <f t="shared" si="19"/>
        <v>-8.897108307869132E-3</v>
      </c>
      <c r="K238" s="123">
        <v>44823</v>
      </c>
      <c r="M238" s="151">
        <v>17540.650390999999</v>
      </c>
      <c r="N238" s="152">
        <v>17919.300781000002</v>
      </c>
      <c r="O238" s="152">
        <v>17291.650390999999</v>
      </c>
      <c r="P238" s="152">
        <v>17327.349609000001</v>
      </c>
      <c r="Q238" s="153">
        <v>1441800</v>
      </c>
      <c r="T238" s="12">
        <v>1035</v>
      </c>
      <c r="U238" s="12">
        <v>1072</v>
      </c>
      <c r="V238" s="12">
        <v>1022</v>
      </c>
      <c r="W238" s="12">
        <v>1035.0999999999999</v>
      </c>
      <c r="X238" s="12">
        <v>16110000</v>
      </c>
      <c r="AA238" s="12">
        <v>404.6</v>
      </c>
      <c r="AB238" s="12">
        <v>409.4</v>
      </c>
      <c r="AC238" s="12">
        <v>393.6</v>
      </c>
      <c r="AD238" s="12">
        <v>394.35</v>
      </c>
      <c r="AE238" s="12">
        <v>40290000</v>
      </c>
      <c r="AH238" s="12">
        <v>895.55</v>
      </c>
      <c r="AI238" s="12">
        <v>920.85</v>
      </c>
      <c r="AJ238" s="12">
        <v>887.5</v>
      </c>
      <c r="AK238" s="12">
        <v>895.85</v>
      </c>
      <c r="AL238" s="12">
        <v>12830000</v>
      </c>
      <c r="AO238" s="12">
        <v>1386</v>
      </c>
      <c r="AP238" s="12">
        <v>1413.85</v>
      </c>
      <c r="AQ238" s="12">
        <v>1360</v>
      </c>
      <c r="AR238" s="12">
        <v>1365.45</v>
      </c>
      <c r="AS238" s="12">
        <v>45630000</v>
      </c>
      <c r="AV238" s="12">
        <v>3025</v>
      </c>
      <c r="AW238" s="12">
        <v>3079.95</v>
      </c>
      <c r="AX238" s="12">
        <v>2979</v>
      </c>
      <c r="AY238" s="12">
        <v>2982.05</v>
      </c>
      <c r="AZ238" s="12">
        <v>11930000</v>
      </c>
    </row>
    <row r="239" spans="2:52" ht="15" thickBot="1" x14ac:dyDescent="0.35">
      <c r="B239" s="123">
        <v>44830</v>
      </c>
      <c r="C239" s="164">
        <v>-1.3538178765928258E-2</v>
      </c>
      <c r="D239" s="163">
        <f t="shared" si="15"/>
        <v>-2.5934809747079502E-2</v>
      </c>
      <c r="E239" s="163">
        <f t="shared" si="16"/>
        <v>-2.5361400085221564E-4</v>
      </c>
      <c r="F239" s="163">
        <f t="shared" si="17"/>
        <v>3.9935292424195509E-2</v>
      </c>
      <c r="G239" s="163">
        <f t="shared" si="18"/>
        <v>3.4549479701467475E-2</v>
      </c>
      <c r="H239" s="165">
        <f t="shared" si="19"/>
        <v>7.5168228852184622E-3</v>
      </c>
      <c r="K239" s="123">
        <v>44830</v>
      </c>
      <c r="M239" s="151">
        <v>17156.300781000002</v>
      </c>
      <c r="N239" s="152">
        <v>17196.400390999999</v>
      </c>
      <c r="O239" s="152">
        <v>16747.699218999998</v>
      </c>
      <c r="P239" s="152">
        <v>17094.349609000001</v>
      </c>
      <c r="Q239" s="153">
        <v>1891900</v>
      </c>
      <c r="T239" s="12">
        <v>1025.3</v>
      </c>
      <c r="U239" s="12">
        <v>1052.25</v>
      </c>
      <c r="V239" s="12">
        <v>984.55</v>
      </c>
      <c r="W239" s="12">
        <v>1008.6</v>
      </c>
      <c r="X239" s="12">
        <v>17670000</v>
      </c>
      <c r="AA239" s="12">
        <v>392</v>
      </c>
      <c r="AB239" s="12">
        <v>401.95</v>
      </c>
      <c r="AC239" s="12">
        <v>384.6</v>
      </c>
      <c r="AD239" s="12">
        <v>394.25</v>
      </c>
      <c r="AE239" s="12">
        <v>35200000</v>
      </c>
      <c r="AH239" s="12">
        <v>890</v>
      </c>
      <c r="AI239" s="12">
        <v>935.6</v>
      </c>
      <c r="AJ239" s="12">
        <v>882</v>
      </c>
      <c r="AK239" s="12">
        <v>932.35</v>
      </c>
      <c r="AL239" s="12">
        <v>19220000</v>
      </c>
      <c r="AO239" s="12">
        <v>1363.5</v>
      </c>
      <c r="AP239" s="12">
        <v>1419.7</v>
      </c>
      <c r="AQ239" s="12">
        <v>1355</v>
      </c>
      <c r="AR239" s="12">
        <v>1413.45</v>
      </c>
      <c r="AS239" s="12">
        <v>41030000</v>
      </c>
      <c r="AV239" s="12">
        <v>2978</v>
      </c>
      <c r="AW239" s="12">
        <v>3055.85</v>
      </c>
      <c r="AX239" s="12">
        <v>2926</v>
      </c>
      <c r="AY239" s="12">
        <v>3004.55</v>
      </c>
      <c r="AZ239" s="12">
        <v>13950000</v>
      </c>
    </row>
    <row r="240" spans="2:52" ht="15" thickBot="1" x14ac:dyDescent="0.35">
      <c r="B240" s="123">
        <v>44837</v>
      </c>
      <c r="C240" s="164">
        <v>1.2805009862928606E-2</v>
      </c>
      <c r="D240" s="163">
        <f t="shared" si="15"/>
        <v>1.5006800851944353E-2</v>
      </c>
      <c r="E240" s="163">
        <f t="shared" si="16"/>
        <v>3.452701656861238E-2</v>
      </c>
      <c r="F240" s="163">
        <f t="shared" si="17"/>
        <v>2.6826295857471275E-2</v>
      </c>
      <c r="G240" s="163">
        <f t="shared" si="18"/>
        <v>2.6357276039997171E-2</v>
      </c>
      <c r="H240" s="165">
        <f t="shared" si="19"/>
        <v>1.988713607103066E-2</v>
      </c>
      <c r="K240" s="123">
        <v>44837</v>
      </c>
      <c r="M240" s="151">
        <v>17102.099609000001</v>
      </c>
      <c r="N240" s="152">
        <v>17428.800781000002</v>
      </c>
      <c r="O240" s="152">
        <v>16855.550781000002</v>
      </c>
      <c r="P240" s="152">
        <v>17314.650390999999</v>
      </c>
      <c r="Q240" s="153">
        <v>986200</v>
      </c>
      <c r="T240" s="12">
        <v>1010</v>
      </c>
      <c r="U240" s="12">
        <v>1045</v>
      </c>
      <c r="V240" s="12">
        <v>999.15</v>
      </c>
      <c r="W240" s="12">
        <v>1023.85</v>
      </c>
      <c r="X240" s="12">
        <v>9590000</v>
      </c>
      <c r="AA240" s="12">
        <v>394</v>
      </c>
      <c r="AB240" s="12">
        <v>413</v>
      </c>
      <c r="AC240" s="12">
        <v>390.45</v>
      </c>
      <c r="AD240" s="12">
        <v>408.1</v>
      </c>
      <c r="AE240" s="12">
        <v>21270000</v>
      </c>
      <c r="AH240" s="12">
        <v>930</v>
      </c>
      <c r="AI240" s="12">
        <v>972.95</v>
      </c>
      <c r="AJ240" s="12">
        <v>916</v>
      </c>
      <c r="AK240" s="12">
        <v>957.7</v>
      </c>
      <c r="AL240" s="12">
        <v>10150000</v>
      </c>
      <c r="AO240" s="12">
        <v>1411</v>
      </c>
      <c r="AP240" s="12">
        <v>1459.8</v>
      </c>
      <c r="AQ240" s="12">
        <v>1386</v>
      </c>
      <c r="AR240" s="12">
        <v>1451.2</v>
      </c>
      <c r="AS240" s="12">
        <v>22520000</v>
      </c>
      <c r="AV240" s="12">
        <v>3004.6</v>
      </c>
      <c r="AW240" s="12">
        <v>3124.1</v>
      </c>
      <c r="AX240" s="12">
        <v>2973.85</v>
      </c>
      <c r="AY240" s="12">
        <v>3064.9</v>
      </c>
      <c r="AZ240" s="12">
        <v>8290000</v>
      </c>
    </row>
    <row r="241" spans="2:52" ht="15" thickBot="1" x14ac:dyDescent="0.35">
      <c r="B241" s="123">
        <v>44844</v>
      </c>
      <c r="C241" s="164">
        <v>-7.4753893195460613E-3</v>
      </c>
      <c r="D241" s="163">
        <f t="shared" si="15"/>
        <v>-3.9144738539908996E-3</v>
      </c>
      <c r="E241" s="163">
        <f t="shared" si="16"/>
        <v>-7.847161544149521E-2</v>
      </c>
      <c r="F241" s="163">
        <f t="shared" si="17"/>
        <v>4.5767456721139167E-2</v>
      </c>
      <c r="G241" s="163">
        <f t="shared" si="18"/>
        <v>1.575858551974129E-2</v>
      </c>
      <c r="H241" s="165">
        <f t="shared" si="19"/>
        <v>1.1112937916274502E-2</v>
      </c>
      <c r="K241" s="123">
        <v>44844</v>
      </c>
      <c r="M241" s="151">
        <v>17094.349609000001</v>
      </c>
      <c r="N241" s="152">
        <v>17348.550781000002</v>
      </c>
      <c r="O241" s="152">
        <v>16950.300781000002</v>
      </c>
      <c r="P241" s="152">
        <v>17185.699218999998</v>
      </c>
      <c r="Q241" s="153">
        <v>1266000</v>
      </c>
      <c r="T241" s="12">
        <v>1009</v>
      </c>
      <c r="U241" s="12">
        <v>1050</v>
      </c>
      <c r="V241" s="12">
        <v>998.2</v>
      </c>
      <c r="W241" s="12">
        <v>1019.85</v>
      </c>
      <c r="X241" s="12">
        <v>12440000</v>
      </c>
      <c r="AA241" s="12">
        <v>399.95</v>
      </c>
      <c r="AB241" s="12">
        <v>417.9</v>
      </c>
      <c r="AC241" s="12">
        <v>376.25</v>
      </c>
      <c r="AD241" s="12">
        <v>377.3</v>
      </c>
      <c r="AE241" s="12">
        <v>88480000</v>
      </c>
      <c r="AH241" s="12">
        <v>939.05</v>
      </c>
      <c r="AI241" s="12">
        <v>1023</v>
      </c>
      <c r="AJ241" s="12">
        <v>936</v>
      </c>
      <c r="AK241" s="12">
        <v>1002.55</v>
      </c>
      <c r="AL241" s="12">
        <v>28610000</v>
      </c>
      <c r="AO241" s="12">
        <v>1423.35</v>
      </c>
      <c r="AP241" s="12">
        <v>1494</v>
      </c>
      <c r="AQ241" s="12">
        <v>1413.55</v>
      </c>
      <c r="AR241" s="12">
        <v>1474.25</v>
      </c>
      <c r="AS241" s="12">
        <v>50490000</v>
      </c>
      <c r="AV241" s="12">
        <v>3013.1</v>
      </c>
      <c r="AW241" s="12">
        <v>3150</v>
      </c>
      <c r="AX241" s="12">
        <v>3005</v>
      </c>
      <c r="AY241" s="12">
        <v>3099.15</v>
      </c>
      <c r="AZ241" s="12">
        <v>15750000</v>
      </c>
    </row>
    <row r="242" spans="2:52" ht="15" thickBot="1" x14ac:dyDescent="0.35">
      <c r="B242" s="123">
        <v>44851</v>
      </c>
      <c r="C242" s="164">
        <v>2.2473850876542394E-2</v>
      </c>
      <c r="D242" s="163">
        <f t="shared" si="15"/>
        <v>2.0670313813124185E-2</v>
      </c>
      <c r="E242" s="163">
        <f t="shared" si="16"/>
        <v>1.3818736707596063E-2</v>
      </c>
      <c r="F242" s="163">
        <f t="shared" si="17"/>
        <v>2.4289899686983869E-2</v>
      </c>
      <c r="G242" s="163">
        <f t="shared" si="18"/>
        <v>1.7648999999808204E-2</v>
      </c>
      <c r="H242" s="165">
        <f t="shared" si="19"/>
        <v>1.2266551095213218E-2</v>
      </c>
      <c r="K242" s="123">
        <v>44851</v>
      </c>
      <c r="M242" s="151">
        <v>17144.800781000002</v>
      </c>
      <c r="N242" s="152">
        <v>17670.150390999999</v>
      </c>
      <c r="O242" s="152">
        <v>17098.550781000002</v>
      </c>
      <c r="P242" s="152">
        <v>17576.300781000002</v>
      </c>
      <c r="Q242" s="153">
        <v>1189500</v>
      </c>
      <c r="T242" s="12">
        <v>1018.95</v>
      </c>
      <c r="U242" s="12">
        <v>1044.5999999999999</v>
      </c>
      <c r="V242" s="12">
        <v>1007</v>
      </c>
      <c r="W242" s="12">
        <v>1041.1500000000001</v>
      </c>
      <c r="X242" s="12">
        <v>9220000</v>
      </c>
      <c r="AA242" s="12">
        <v>377.3</v>
      </c>
      <c r="AB242" s="12">
        <v>384.4</v>
      </c>
      <c r="AC242" s="12">
        <v>372.4</v>
      </c>
      <c r="AD242" s="12">
        <v>382.55</v>
      </c>
      <c r="AE242" s="12">
        <v>36580000</v>
      </c>
      <c r="AH242" s="12">
        <v>1003</v>
      </c>
      <c r="AI242" s="12">
        <v>1029.9000000000001</v>
      </c>
      <c r="AJ242" s="12">
        <v>986.1</v>
      </c>
      <c r="AK242" s="12">
        <v>1027.2</v>
      </c>
      <c r="AL242" s="12">
        <v>13540000</v>
      </c>
      <c r="AO242" s="12">
        <v>1475</v>
      </c>
      <c r="AP242" s="12">
        <v>1510.95</v>
      </c>
      <c r="AQ242" s="12">
        <v>1474.2</v>
      </c>
      <c r="AR242" s="12">
        <v>1500.5</v>
      </c>
      <c r="AS242" s="12">
        <v>25440000</v>
      </c>
      <c r="AV242" s="12">
        <v>3082</v>
      </c>
      <c r="AW242" s="12">
        <v>3160.4</v>
      </c>
      <c r="AX242" s="12">
        <v>3071.45</v>
      </c>
      <c r="AY242" s="12">
        <v>3137.4</v>
      </c>
      <c r="AZ242" s="12">
        <v>8540000</v>
      </c>
    </row>
    <row r="243" spans="2:52" ht="15" thickBot="1" x14ac:dyDescent="0.35">
      <c r="B243" s="123">
        <v>44858</v>
      </c>
      <c r="C243" s="164">
        <v>1.1905204970440175E-2</v>
      </c>
      <c r="D243" s="163">
        <f t="shared" si="15"/>
        <v>7.4637923642830312E-3</v>
      </c>
      <c r="E243" s="163">
        <f t="shared" si="16"/>
        <v>1.8281540740626235E-3</v>
      </c>
      <c r="F243" s="163">
        <f t="shared" si="17"/>
        <v>2.7221482879846303E-3</v>
      </c>
      <c r="G243" s="163">
        <f t="shared" si="18"/>
        <v>8.4612698913747418E-3</v>
      </c>
      <c r="H243" s="165">
        <f t="shared" si="19"/>
        <v>8.2055486472332028E-3</v>
      </c>
      <c r="K243" s="123">
        <v>44858</v>
      </c>
      <c r="M243" s="151">
        <v>17736.349609000001</v>
      </c>
      <c r="N243" s="152">
        <v>17838.900390999999</v>
      </c>
      <c r="O243" s="152">
        <v>17637</v>
      </c>
      <c r="P243" s="152">
        <v>17786.800781000002</v>
      </c>
      <c r="Q243" s="153">
        <v>871000</v>
      </c>
      <c r="T243" s="12">
        <v>1049.8</v>
      </c>
      <c r="U243" s="12">
        <v>1098.45</v>
      </c>
      <c r="V243" s="12">
        <v>1045</v>
      </c>
      <c r="W243" s="12">
        <v>1048.95</v>
      </c>
      <c r="X243" s="12">
        <v>7510000</v>
      </c>
      <c r="AA243" s="12">
        <v>385</v>
      </c>
      <c r="AB243" s="12">
        <v>386.95</v>
      </c>
      <c r="AC243" s="12">
        <v>381.1</v>
      </c>
      <c r="AD243" s="12">
        <v>383.25</v>
      </c>
      <c r="AE243" s="12">
        <v>16240000</v>
      </c>
      <c r="AH243" s="12">
        <v>1031</v>
      </c>
      <c r="AI243" s="12">
        <v>1040</v>
      </c>
      <c r="AJ243" s="12">
        <v>1019.6</v>
      </c>
      <c r="AK243" s="12">
        <v>1030</v>
      </c>
      <c r="AL243" s="12">
        <v>9530000</v>
      </c>
      <c r="AO243" s="12">
        <v>1516.05</v>
      </c>
      <c r="AP243" s="12">
        <v>1534.9</v>
      </c>
      <c r="AQ243" s="12">
        <v>1507</v>
      </c>
      <c r="AR243" s="12">
        <v>1513.25</v>
      </c>
      <c r="AS243" s="12">
        <v>17620000</v>
      </c>
      <c r="AV243" s="12">
        <v>3160</v>
      </c>
      <c r="AW243" s="12">
        <v>3184.25</v>
      </c>
      <c r="AX243" s="12">
        <v>3134.35</v>
      </c>
      <c r="AY243" s="12">
        <v>3163.25</v>
      </c>
      <c r="AZ243" s="12">
        <v>6390000</v>
      </c>
    </row>
    <row r="244" spans="2:52" ht="15" thickBot="1" x14ac:dyDescent="0.35">
      <c r="B244" s="123">
        <v>44865</v>
      </c>
      <c r="C244" s="164">
        <v>1.840237198583438E-2</v>
      </c>
      <c r="D244" s="163">
        <f t="shared" si="15"/>
        <v>4.4706628252364758E-3</v>
      </c>
      <c r="E244" s="163">
        <f t="shared" si="16"/>
        <v>1.8868484304382736E-2</v>
      </c>
      <c r="F244" s="163">
        <f t="shared" si="17"/>
        <v>1.4792955328955975E-2</v>
      </c>
      <c r="G244" s="163">
        <f t="shared" si="18"/>
        <v>4.9549922559756542E-4</v>
      </c>
      <c r="H244" s="165">
        <f t="shared" si="19"/>
        <v>1.6973599886834591E-2</v>
      </c>
      <c r="K244" s="123">
        <v>44865</v>
      </c>
      <c r="M244" s="151">
        <v>17910.199218999998</v>
      </c>
      <c r="N244" s="152">
        <v>18178.75</v>
      </c>
      <c r="O244" s="152">
        <v>17899.900390999999</v>
      </c>
      <c r="P244" s="152">
        <v>18117.150390999999</v>
      </c>
      <c r="Q244" s="153">
        <v>1328900</v>
      </c>
      <c r="T244" s="12">
        <v>1050</v>
      </c>
      <c r="U244" s="12">
        <v>1098.7</v>
      </c>
      <c r="V244" s="12">
        <v>1038.75</v>
      </c>
      <c r="W244" s="12">
        <v>1053.6500000000001</v>
      </c>
      <c r="X244" s="12">
        <v>18220000</v>
      </c>
      <c r="AA244" s="12">
        <v>385.6</v>
      </c>
      <c r="AB244" s="12">
        <v>394.85</v>
      </c>
      <c r="AC244" s="12">
        <v>384.6</v>
      </c>
      <c r="AD244" s="12">
        <v>390.55</v>
      </c>
      <c r="AE244" s="12">
        <v>23400000</v>
      </c>
      <c r="AH244" s="12">
        <v>1033</v>
      </c>
      <c r="AI244" s="12">
        <v>1066.4000000000001</v>
      </c>
      <c r="AJ244" s="12">
        <v>1029.95</v>
      </c>
      <c r="AK244" s="12">
        <v>1045.3499999999999</v>
      </c>
      <c r="AL244" s="12">
        <v>14040000</v>
      </c>
      <c r="AO244" s="12">
        <v>1522.2</v>
      </c>
      <c r="AP244" s="12">
        <v>1575</v>
      </c>
      <c r="AQ244" s="12">
        <v>1501.15</v>
      </c>
      <c r="AR244" s="12">
        <v>1514</v>
      </c>
      <c r="AS244" s="12">
        <v>20540000</v>
      </c>
      <c r="AV244" s="12">
        <v>3193</v>
      </c>
      <c r="AW244" s="12">
        <v>3270</v>
      </c>
      <c r="AX244" s="12">
        <v>3166.15</v>
      </c>
      <c r="AY244" s="12">
        <v>3217.4</v>
      </c>
      <c r="AZ244" s="12">
        <v>11160000</v>
      </c>
    </row>
    <row r="245" spans="2:52" ht="15" thickBot="1" x14ac:dyDescent="0.35">
      <c r="B245" s="123">
        <v>44872</v>
      </c>
      <c r="C245" s="164">
        <v>1.2754157973254278E-2</v>
      </c>
      <c r="D245" s="163">
        <f t="shared" si="15"/>
        <v>4.7814137061122017E-3</v>
      </c>
      <c r="E245" s="163">
        <f t="shared" si="16"/>
        <v>2.3158263660971522E-2</v>
      </c>
      <c r="F245" s="163">
        <f t="shared" si="17"/>
        <v>4.2422091211538074E-2</v>
      </c>
      <c r="G245" s="163">
        <f t="shared" si="18"/>
        <v>3.6384156584081867E-2</v>
      </c>
      <c r="H245" s="165">
        <f t="shared" si="19"/>
        <v>3.0170578777577527E-2</v>
      </c>
      <c r="K245" s="123">
        <v>44872</v>
      </c>
      <c r="M245" s="151">
        <v>18211.75</v>
      </c>
      <c r="N245" s="152">
        <v>18362.300781000002</v>
      </c>
      <c r="O245" s="152">
        <v>17969.400390999999</v>
      </c>
      <c r="P245" s="152">
        <v>18349.699218999998</v>
      </c>
      <c r="Q245" s="153">
        <v>1257000</v>
      </c>
      <c r="T245" s="12">
        <v>1058.95</v>
      </c>
      <c r="U245" s="12">
        <v>1067.9000000000001</v>
      </c>
      <c r="V245" s="12">
        <v>1005.25</v>
      </c>
      <c r="W245" s="12">
        <v>1058.7</v>
      </c>
      <c r="X245" s="12">
        <v>15140000</v>
      </c>
      <c r="AA245" s="12">
        <v>393</v>
      </c>
      <c r="AB245" s="12">
        <v>405.85</v>
      </c>
      <c r="AC245" s="12">
        <v>387</v>
      </c>
      <c r="AD245" s="12">
        <v>399.7</v>
      </c>
      <c r="AE245" s="12">
        <v>25670000</v>
      </c>
      <c r="AH245" s="12">
        <v>1048.0999999999999</v>
      </c>
      <c r="AI245" s="12">
        <v>1098.7</v>
      </c>
      <c r="AJ245" s="12">
        <v>1038.5999999999999</v>
      </c>
      <c r="AK245" s="12">
        <v>1090.6500000000001</v>
      </c>
      <c r="AL245" s="12">
        <v>11180000</v>
      </c>
      <c r="AO245" s="12">
        <v>1521.4</v>
      </c>
      <c r="AP245" s="12">
        <v>1573.5</v>
      </c>
      <c r="AQ245" s="12">
        <v>1482</v>
      </c>
      <c r="AR245" s="12">
        <v>1570.1</v>
      </c>
      <c r="AS245" s="12">
        <v>19960000</v>
      </c>
      <c r="AV245" s="12">
        <v>3229</v>
      </c>
      <c r="AW245" s="12">
        <v>3341.6</v>
      </c>
      <c r="AX245" s="12">
        <v>3170</v>
      </c>
      <c r="AY245" s="12">
        <v>3315.95</v>
      </c>
      <c r="AZ245" s="12">
        <v>8130000</v>
      </c>
    </row>
    <row r="246" spans="2:52" ht="15" thickBot="1" x14ac:dyDescent="0.35">
      <c r="B246" s="123">
        <v>44879</v>
      </c>
      <c r="C246" s="164">
        <v>-2.2941563909999051E-3</v>
      </c>
      <c r="D246" s="163">
        <f t="shared" si="15"/>
        <v>2.0287332097913106E-3</v>
      </c>
      <c r="E246" s="163">
        <f t="shared" si="16"/>
        <v>-1.4744139567944455E-2</v>
      </c>
      <c r="F246" s="163">
        <f t="shared" si="17"/>
        <v>1.1395874990205045E-2</v>
      </c>
      <c r="G246" s="163">
        <f t="shared" si="18"/>
        <v>1.473078636478981E-2</v>
      </c>
      <c r="H246" s="165">
        <f t="shared" si="19"/>
        <v>8.2590492593169178E-3</v>
      </c>
      <c r="K246" s="123">
        <v>44879</v>
      </c>
      <c r="M246" s="151">
        <v>18376.400390999999</v>
      </c>
      <c r="N246" s="152">
        <v>18442.150390999999</v>
      </c>
      <c r="O246" s="152">
        <v>18209.800781000002</v>
      </c>
      <c r="P246" s="152">
        <v>18307.650390999999</v>
      </c>
      <c r="Q246" s="153">
        <v>1170900</v>
      </c>
      <c r="T246" s="12">
        <v>1059.1500000000001</v>
      </c>
      <c r="U246" s="12">
        <v>1075</v>
      </c>
      <c r="V246" s="12">
        <v>1045.8499999999999</v>
      </c>
      <c r="W246" s="12">
        <v>1060.8499999999999</v>
      </c>
      <c r="X246" s="12">
        <v>10570000</v>
      </c>
      <c r="AA246" s="12">
        <v>402</v>
      </c>
      <c r="AB246" s="12">
        <v>402.65</v>
      </c>
      <c r="AC246" s="12">
        <v>392.8</v>
      </c>
      <c r="AD246" s="12">
        <v>393.85</v>
      </c>
      <c r="AE246" s="12">
        <v>30740000</v>
      </c>
      <c r="AH246" s="12">
        <v>1098</v>
      </c>
      <c r="AI246" s="12">
        <v>1112.6500000000001</v>
      </c>
      <c r="AJ246" s="12">
        <v>1083.9000000000001</v>
      </c>
      <c r="AK246" s="12">
        <v>1103.1500000000001</v>
      </c>
      <c r="AL246" s="12">
        <v>12190000</v>
      </c>
      <c r="AO246" s="12">
        <v>1572</v>
      </c>
      <c r="AP246" s="12">
        <v>1609</v>
      </c>
      <c r="AQ246" s="12">
        <v>1560.05</v>
      </c>
      <c r="AR246" s="12">
        <v>1593.4</v>
      </c>
      <c r="AS246" s="12">
        <v>25150000</v>
      </c>
      <c r="AV246" s="12">
        <v>3321</v>
      </c>
      <c r="AW246" s="12">
        <v>3367.9</v>
      </c>
      <c r="AX246" s="12">
        <v>3291.8</v>
      </c>
      <c r="AY246" s="12">
        <v>3343.45</v>
      </c>
      <c r="AZ246" s="12">
        <v>7730000</v>
      </c>
    </row>
    <row r="247" spans="2:52" ht="15" thickBot="1" x14ac:dyDescent="0.35">
      <c r="B247" s="123">
        <v>44886</v>
      </c>
      <c r="C247" s="164">
        <v>1.1140657251570226E-2</v>
      </c>
      <c r="D247" s="163">
        <f t="shared" si="15"/>
        <v>1.8029446803860157E-2</v>
      </c>
      <c r="E247" s="163">
        <f t="shared" si="16"/>
        <v>2.2470034695073825E-2</v>
      </c>
      <c r="F247" s="163">
        <f t="shared" si="17"/>
        <v>2.2453718551494993E-2</v>
      </c>
      <c r="G247" s="163">
        <f t="shared" si="18"/>
        <v>2.6170180898446343E-2</v>
      </c>
      <c r="H247" s="165">
        <f t="shared" si="19"/>
        <v>1.3723463213520627E-2</v>
      </c>
      <c r="K247" s="123">
        <v>44886</v>
      </c>
      <c r="M247" s="151">
        <v>18246.400390999999</v>
      </c>
      <c r="N247" s="152">
        <v>18534.900390999999</v>
      </c>
      <c r="O247" s="152">
        <v>18133.349609000001</v>
      </c>
      <c r="P247" s="152">
        <v>18512.75</v>
      </c>
      <c r="Q247" s="153">
        <v>980200</v>
      </c>
      <c r="T247" s="12">
        <v>1059.2</v>
      </c>
      <c r="U247" s="12">
        <v>1082.95</v>
      </c>
      <c r="V247" s="12">
        <v>1036.05</v>
      </c>
      <c r="W247" s="12">
        <v>1080.1500000000001</v>
      </c>
      <c r="X247" s="12">
        <v>9660000</v>
      </c>
      <c r="AA247" s="12">
        <v>393.05</v>
      </c>
      <c r="AB247" s="12">
        <v>404.4</v>
      </c>
      <c r="AC247" s="12">
        <v>384.5</v>
      </c>
      <c r="AD247" s="12">
        <v>402.8</v>
      </c>
      <c r="AE247" s="12">
        <v>32610000</v>
      </c>
      <c r="AH247" s="12">
        <v>1100</v>
      </c>
      <c r="AI247" s="12">
        <v>1137.55</v>
      </c>
      <c r="AJ247" s="12">
        <v>1088</v>
      </c>
      <c r="AK247" s="12">
        <v>1128.2</v>
      </c>
      <c r="AL247" s="12">
        <v>12360000</v>
      </c>
      <c r="AO247" s="12">
        <v>1589.5</v>
      </c>
      <c r="AP247" s="12">
        <v>1644</v>
      </c>
      <c r="AQ247" s="12">
        <v>1562</v>
      </c>
      <c r="AR247" s="12">
        <v>1635.65</v>
      </c>
      <c r="AS247" s="12">
        <v>20740000</v>
      </c>
      <c r="AV247" s="12">
        <v>3330</v>
      </c>
      <c r="AW247" s="12">
        <v>3403.35</v>
      </c>
      <c r="AX247" s="12">
        <v>3255.05</v>
      </c>
      <c r="AY247" s="12">
        <v>3389.65</v>
      </c>
      <c r="AZ247" s="12">
        <v>6840000</v>
      </c>
    </row>
    <row r="248" spans="2:52" ht="15" thickBot="1" x14ac:dyDescent="0.35">
      <c r="B248" s="123">
        <v>44893</v>
      </c>
      <c r="C248" s="164">
        <v>9.8552411548374751E-3</v>
      </c>
      <c r="D248" s="163">
        <f t="shared" si="15"/>
        <v>3.1530244144600525E-2</v>
      </c>
      <c r="E248" s="163">
        <f t="shared" si="16"/>
        <v>2.3553591298397465E-2</v>
      </c>
      <c r="F248" s="163">
        <f t="shared" si="17"/>
        <v>6.4936727357265099E-3</v>
      </c>
      <c r="G248" s="163">
        <f t="shared" si="18"/>
        <v>1.3746546436218818E-3</v>
      </c>
      <c r="H248" s="165">
        <f t="shared" si="19"/>
        <v>1.4497676605054771E-2</v>
      </c>
      <c r="K248" s="123">
        <v>44893</v>
      </c>
      <c r="M248" s="151">
        <v>18430.550781000002</v>
      </c>
      <c r="N248" s="152">
        <v>18887.599609000001</v>
      </c>
      <c r="O248" s="152">
        <v>18365.599609000001</v>
      </c>
      <c r="P248" s="152">
        <v>18696.099609000001</v>
      </c>
      <c r="Q248" s="153">
        <v>1326800</v>
      </c>
      <c r="T248" s="12">
        <v>1075</v>
      </c>
      <c r="U248" s="12">
        <v>1116.3</v>
      </c>
      <c r="V248" s="12">
        <v>1063</v>
      </c>
      <c r="W248" s="12">
        <v>1114.75</v>
      </c>
      <c r="X248" s="12">
        <v>15370000</v>
      </c>
      <c r="AA248" s="12">
        <v>402.8</v>
      </c>
      <c r="AB248" s="12">
        <v>416.35</v>
      </c>
      <c r="AC248" s="12">
        <v>402</v>
      </c>
      <c r="AD248" s="12">
        <v>412.4</v>
      </c>
      <c r="AE248" s="12">
        <v>36860000</v>
      </c>
      <c r="AH248" s="12">
        <v>1125</v>
      </c>
      <c r="AI248" s="12">
        <v>1150.6500000000001</v>
      </c>
      <c r="AJ248" s="12">
        <v>1115</v>
      </c>
      <c r="AK248" s="12">
        <v>1135.55</v>
      </c>
      <c r="AL248" s="12">
        <v>17470000</v>
      </c>
      <c r="AO248" s="12">
        <v>1628</v>
      </c>
      <c r="AP248" s="12">
        <v>1672.6</v>
      </c>
      <c r="AQ248" s="12">
        <v>1613.15</v>
      </c>
      <c r="AR248" s="12">
        <v>1637.9</v>
      </c>
      <c r="AS248" s="12">
        <v>29050000</v>
      </c>
      <c r="AV248" s="12">
        <v>3366</v>
      </c>
      <c r="AW248" s="12">
        <v>3480</v>
      </c>
      <c r="AX248" s="12">
        <v>3365</v>
      </c>
      <c r="AY248" s="12">
        <v>3439.15</v>
      </c>
      <c r="AZ248" s="12">
        <v>12410000</v>
      </c>
    </row>
    <row r="249" spans="2:52" ht="15" thickBot="1" x14ac:dyDescent="0.35">
      <c r="B249" s="123">
        <v>44900</v>
      </c>
      <c r="C249" s="164">
        <v>-1.0728014775331616E-2</v>
      </c>
      <c r="D249" s="163">
        <f t="shared" si="15"/>
        <v>-7.3938924735518607E-2</v>
      </c>
      <c r="E249" s="163">
        <f t="shared" si="16"/>
        <v>-4.5515947343146262E-2</v>
      </c>
      <c r="F249" s="163">
        <f t="shared" si="17"/>
        <v>-9.9988447671212621E-2</v>
      </c>
      <c r="G249" s="163">
        <f t="shared" si="18"/>
        <v>-4.2785273443658879E-2</v>
      </c>
      <c r="H249" s="165">
        <f t="shared" si="19"/>
        <v>-4.3501265932521599E-2</v>
      </c>
      <c r="K249" s="123">
        <v>44900</v>
      </c>
      <c r="M249" s="151">
        <v>18719.550781000002</v>
      </c>
      <c r="N249" s="152">
        <v>18728.599609000001</v>
      </c>
      <c r="O249" s="152">
        <v>18410.099609000001</v>
      </c>
      <c r="P249" s="152">
        <v>18496.599609000001</v>
      </c>
      <c r="Q249" s="153">
        <v>1125300</v>
      </c>
      <c r="T249" s="12">
        <v>1115.05</v>
      </c>
      <c r="U249" s="12">
        <v>1120.05</v>
      </c>
      <c r="V249" s="12">
        <v>1030.2</v>
      </c>
      <c r="W249" s="12">
        <v>1035.3</v>
      </c>
      <c r="X249" s="12">
        <v>10840000</v>
      </c>
      <c r="AA249" s="12">
        <v>412.5</v>
      </c>
      <c r="AB249" s="12">
        <v>415</v>
      </c>
      <c r="AC249" s="12">
        <v>391.25</v>
      </c>
      <c r="AD249" s="12">
        <v>394.05</v>
      </c>
      <c r="AE249" s="12">
        <v>26220000</v>
      </c>
      <c r="AH249" s="12">
        <v>1134.6500000000001</v>
      </c>
      <c r="AI249" s="12">
        <v>1141.95</v>
      </c>
      <c r="AJ249" s="12">
        <v>1020.7</v>
      </c>
      <c r="AK249" s="12">
        <v>1027.5</v>
      </c>
      <c r="AL249" s="12">
        <v>22530000</v>
      </c>
      <c r="AO249" s="12">
        <v>1634.5</v>
      </c>
      <c r="AP249" s="12">
        <v>1644.85</v>
      </c>
      <c r="AQ249" s="12">
        <v>1561.1</v>
      </c>
      <c r="AR249" s="12">
        <v>1569.3</v>
      </c>
      <c r="AS249" s="12">
        <v>27450000</v>
      </c>
      <c r="AV249" s="12">
        <v>3424</v>
      </c>
      <c r="AW249" s="12">
        <v>3439.15</v>
      </c>
      <c r="AX249" s="12">
        <v>3276.35</v>
      </c>
      <c r="AY249" s="12">
        <v>3292.75</v>
      </c>
      <c r="AZ249" s="12">
        <v>7240000</v>
      </c>
    </row>
    <row r="250" spans="2:52" ht="15" thickBot="1" x14ac:dyDescent="0.35">
      <c r="B250" s="123">
        <v>44907</v>
      </c>
      <c r="C250" s="164">
        <v>-1.2381275916733218E-2</v>
      </c>
      <c r="D250" s="163">
        <f t="shared" si="15"/>
        <v>-1.4104606181541935E-2</v>
      </c>
      <c r="E250" s="163">
        <f t="shared" si="16"/>
        <v>-1.097229686177271E-2</v>
      </c>
      <c r="F250" s="163">
        <f t="shared" si="17"/>
        <v>2.0902712809674978E-3</v>
      </c>
      <c r="G250" s="163">
        <f t="shared" si="18"/>
        <v>-3.0473003211383878E-2</v>
      </c>
      <c r="H250" s="165">
        <f t="shared" si="19"/>
        <v>-1.6072594575671492E-2</v>
      </c>
      <c r="K250" s="123">
        <v>44907</v>
      </c>
      <c r="M250" s="151">
        <v>18402.150390999999</v>
      </c>
      <c r="N250" s="152">
        <v>18696.099609000001</v>
      </c>
      <c r="O250" s="152">
        <v>18255.150390999999</v>
      </c>
      <c r="P250" s="152">
        <v>18269</v>
      </c>
      <c r="Q250" s="153">
        <v>1050300</v>
      </c>
      <c r="T250" s="12">
        <v>1035.95</v>
      </c>
      <c r="U250" s="12">
        <v>1068.05</v>
      </c>
      <c r="V250" s="12">
        <v>1011</v>
      </c>
      <c r="W250" s="12">
        <v>1020.8</v>
      </c>
      <c r="X250" s="12">
        <v>14410000</v>
      </c>
      <c r="AA250" s="12">
        <v>393.5</v>
      </c>
      <c r="AB250" s="12">
        <v>404.5</v>
      </c>
      <c r="AC250" s="12">
        <v>388</v>
      </c>
      <c r="AD250" s="12">
        <v>389.75</v>
      </c>
      <c r="AE250" s="12">
        <v>27850000</v>
      </c>
      <c r="AH250" s="12">
        <v>1026</v>
      </c>
      <c r="AI250" s="12">
        <v>1057.3</v>
      </c>
      <c r="AJ250" s="12">
        <v>1012.05</v>
      </c>
      <c r="AK250" s="12">
        <v>1029.6500000000001</v>
      </c>
      <c r="AL250" s="12">
        <v>16440000</v>
      </c>
      <c r="AO250" s="12">
        <v>1557</v>
      </c>
      <c r="AP250" s="12">
        <v>1588.5</v>
      </c>
      <c r="AQ250" s="12">
        <v>1512</v>
      </c>
      <c r="AR250" s="12">
        <v>1522.2</v>
      </c>
      <c r="AS250" s="12">
        <v>36420000</v>
      </c>
      <c r="AV250" s="12">
        <v>3250</v>
      </c>
      <c r="AW250" s="12">
        <v>3378.05</v>
      </c>
      <c r="AX250" s="12">
        <v>3225.1</v>
      </c>
      <c r="AY250" s="12">
        <v>3240.25</v>
      </c>
      <c r="AZ250" s="12">
        <v>8520000</v>
      </c>
    </row>
    <row r="251" spans="2:52" ht="15" thickBot="1" x14ac:dyDescent="0.35">
      <c r="B251" s="123">
        <v>44914</v>
      </c>
      <c r="C251" s="164">
        <v>-2.5625183676840465E-2</v>
      </c>
      <c r="D251" s="163">
        <f t="shared" si="15"/>
        <v>-2.4845690528771835E-2</v>
      </c>
      <c r="E251" s="163">
        <f t="shared" si="16"/>
        <v>-3.1537667178429013E-2</v>
      </c>
      <c r="F251" s="163">
        <f t="shared" si="17"/>
        <v>9.2221824276671476E-4</v>
      </c>
      <c r="G251" s="163">
        <f t="shared" si="18"/>
        <v>-1.6626753377500331E-2</v>
      </c>
      <c r="H251" s="165">
        <f t="shared" si="19"/>
        <v>-3.6793165212118725E-3</v>
      </c>
      <c r="K251" s="123">
        <v>44914</v>
      </c>
      <c r="M251" s="151">
        <v>18288.099609000001</v>
      </c>
      <c r="N251" s="152">
        <v>18473.349609000001</v>
      </c>
      <c r="O251" s="152">
        <v>17779.5</v>
      </c>
      <c r="P251" s="152">
        <v>17806.800781000002</v>
      </c>
      <c r="Q251" s="153">
        <v>928600</v>
      </c>
      <c r="T251" s="12">
        <v>1020</v>
      </c>
      <c r="U251" s="12">
        <v>1035</v>
      </c>
      <c r="V251" s="12">
        <v>993</v>
      </c>
      <c r="W251" s="12">
        <v>995.75</v>
      </c>
      <c r="X251" s="12">
        <v>9650000</v>
      </c>
      <c r="AA251" s="12">
        <v>389.85</v>
      </c>
      <c r="AB251" s="12">
        <v>393.35</v>
      </c>
      <c r="AC251" s="12">
        <v>377</v>
      </c>
      <c r="AD251" s="12">
        <v>377.65</v>
      </c>
      <c r="AE251" s="12">
        <v>25780000</v>
      </c>
      <c r="AH251" s="12">
        <v>1027.0999999999999</v>
      </c>
      <c r="AI251" s="12">
        <v>1054.6500000000001</v>
      </c>
      <c r="AJ251" s="12">
        <v>1011.5</v>
      </c>
      <c r="AK251" s="12">
        <v>1030.5999999999999</v>
      </c>
      <c r="AL251" s="12">
        <v>14300000</v>
      </c>
      <c r="AO251" s="12">
        <v>1515</v>
      </c>
      <c r="AP251" s="12">
        <v>1529.95</v>
      </c>
      <c r="AQ251" s="12">
        <v>1482.45</v>
      </c>
      <c r="AR251" s="12">
        <v>1497.1</v>
      </c>
      <c r="AS251" s="12">
        <v>33940000</v>
      </c>
      <c r="AV251" s="12">
        <v>3234</v>
      </c>
      <c r="AW251" s="12">
        <v>3294</v>
      </c>
      <c r="AX251" s="12">
        <v>3163.65</v>
      </c>
      <c r="AY251" s="12">
        <v>3228.35</v>
      </c>
      <c r="AZ251" s="12">
        <v>8170000</v>
      </c>
    </row>
    <row r="252" spans="2:52" ht="15" thickBot="1" x14ac:dyDescent="0.35">
      <c r="B252" s="123">
        <v>44921</v>
      </c>
      <c r="C252" s="164">
        <v>1.6624305547555489E-2</v>
      </c>
      <c r="D252" s="163">
        <f t="shared" si="15"/>
        <v>2.052602938425533E-2</v>
      </c>
      <c r="E252" s="163">
        <f t="shared" si="16"/>
        <v>3.9205436376273592E-2</v>
      </c>
      <c r="F252" s="163">
        <f t="shared" si="17"/>
        <v>8.4062527002521474E-3</v>
      </c>
      <c r="G252" s="163">
        <f t="shared" si="18"/>
        <v>7.3869833127557559E-3</v>
      </c>
      <c r="H252" s="165">
        <f t="shared" si="19"/>
        <v>8.7432419485990349E-3</v>
      </c>
      <c r="K252" s="123">
        <v>44921</v>
      </c>
      <c r="M252" s="151">
        <v>17830.400390999999</v>
      </c>
      <c r="N252" s="152">
        <v>18265.25</v>
      </c>
      <c r="O252" s="152">
        <v>17774.25</v>
      </c>
      <c r="P252" s="152">
        <v>18105.300781000002</v>
      </c>
      <c r="Q252" s="153">
        <v>1058000</v>
      </c>
      <c r="T252" s="12">
        <v>995.9</v>
      </c>
      <c r="U252" s="12">
        <v>1027.6500000000001</v>
      </c>
      <c r="V252" s="12">
        <v>993</v>
      </c>
      <c r="W252" s="12">
        <v>1016.4</v>
      </c>
      <c r="X252" s="12">
        <v>7330000</v>
      </c>
      <c r="AA252" s="12">
        <v>377.7</v>
      </c>
      <c r="AB252" s="12">
        <v>396.3</v>
      </c>
      <c r="AC252" s="12">
        <v>376.3</v>
      </c>
      <c r="AD252" s="12">
        <v>392.75</v>
      </c>
      <c r="AE252" s="12">
        <v>22090000</v>
      </c>
      <c r="AH252" s="12">
        <v>1029.05</v>
      </c>
      <c r="AI252" s="12">
        <v>1055.25</v>
      </c>
      <c r="AJ252" s="12">
        <v>1026.5</v>
      </c>
      <c r="AK252" s="12">
        <v>1039.3</v>
      </c>
      <c r="AL252" s="12">
        <v>6960000</v>
      </c>
      <c r="AO252" s="12">
        <v>1497.65</v>
      </c>
      <c r="AP252" s="12">
        <v>1530.4</v>
      </c>
      <c r="AQ252" s="12">
        <v>1496.15</v>
      </c>
      <c r="AR252" s="12">
        <v>1508.2</v>
      </c>
      <c r="AS252" s="12">
        <v>24790000</v>
      </c>
      <c r="AV252" s="12">
        <v>3225</v>
      </c>
      <c r="AW252" s="12">
        <v>3299.05</v>
      </c>
      <c r="AX252" s="12">
        <v>3225</v>
      </c>
      <c r="AY252" s="12">
        <v>3256.7</v>
      </c>
      <c r="AZ252" s="12">
        <v>5150000</v>
      </c>
    </row>
    <row r="253" spans="2:52" ht="15" thickBot="1" x14ac:dyDescent="0.35">
      <c r="B253" s="123">
        <v>44928</v>
      </c>
      <c r="C253" s="164">
        <v>-1.3672020054112201E-2</v>
      </c>
      <c r="D253" s="163">
        <f t="shared" si="15"/>
        <v>-3.0213778596496595E-2</v>
      </c>
      <c r="E253" s="163">
        <f t="shared" si="16"/>
        <v>-2.7752668529155373E-2</v>
      </c>
      <c r="F253" s="163">
        <f t="shared" si="17"/>
        <v>-6.2738490619432333E-3</v>
      </c>
      <c r="G253" s="163">
        <f t="shared" si="18"/>
        <v>-4.0388348559141585E-2</v>
      </c>
      <c r="H253" s="165">
        <f t="shared" si="19"/>
        <v>-1.3960726105489516E-2</v>
      </c>
      <c r="K253" s="123">
        <v>44928</v>
      </c>
      <c r="M253" s="151">
        <v>18131.699218999998</v>
      </c>
      <c r="N253" s="152">
        <v>18251.949218999998</v>
      </c>
      <c r="O253" s="152">
        <v>17795.550781000002</v>
      </c>
      <c r="P253" s="152">
        <v>17859.449218999998</v>
      </c>
      <c r="Q253" s="153">
        <v>1208100</v>
      </c>
      <c r="T253" s="12">
        <v>1017.9</v>
      </c>
      <c r="U253" s="12">
        <v>1029.3499999999999</v>
      </c>
      <c r="V253" s="12">
        <v>985</v>
      </c>
      <c r="W253" s="12">
        <v>986.15</v>
      </c>
      <c r="X253" s="12">
        <v>8880000</v>
      </c>
      <c r="AA253" s="12">
        <v>393</v>
      </c>
      <c r="AB253" s="12">
        <v>397.85</v>
      </c>
      <c r="AC253" s="12">
        <v>381.4</v>
      </c>
      <c r="AD253" s="12">
        <v>382</v>
      </c>
      <c r="AE253" s="12">
        <v>21360000</v>
      </c>
      <c r="AH253" s="12">
        <v>1039.0999999999999</v>
      </c>
      <c r="AI253" s="12">
        <v>1049.8</v>
      </c>
      <c r="AJ253" s="12">
        <v>1025</v>
      </c>
      <c r="AK253" s="12">
        <v>1032.8</v>
      </c>
      <c r="AL253" s="12">
        <v>8690000</v>
      </c>
      <c r="AO253" s="12">
        <v>1514</v>
      </c>
      <c r="AP253" s="12">
        <v>1533</v>
      </c>
      <c r="AQ253" s="12">
        <v>1446.5</v>
      </c>
      <c r="AR253" s="12">
        <v>1448.5</v>
      </c>
      <c r="AS253" s="12">
        <v>33150000</v>
      </c>
      <c r="AV253" s="12">
        <v>3261</v>
      </c>
      <c r="AW253" s="12">
        <v>3337.3</v>
      </c>
      <c r="AX253" s="12">
        <v>3200</v>
      </c>
      <c r="AY253" s="12">
        <v>3211.55</v>
      </c>
      <c r="AZ253" s="12">
        <v>7810000</v>
      </c>
    </row>
    <row r="254" spans="2:52" ht="15" thickBot="1" x14ac:dyDescent="0.35">
      <c r="B254" s="123">
        <v>44935</v>
      </c>
      <c r="C254" s="164">
        <v>5.4249774301371916E-3</v>
      </c>
      <c r="D254" s="163">
        <f t="shared" si="15"/>
        <v>1.7091855276697508E-2</v>
      </c>
      <c r="E254" s="163">
        <f t="shared" si="16"/>
        <v>3.0676461370284971E-2</v>
      </c>
      <c r="F254" s="163">
        <f t="shared" si="17"/>
        <v>4.264836596696351E-2</v>
      </c>
      <c r="G254" s="163">
        <f t="shared" si="18"/>
        <v>3.7366947452605388E-2</v>
      </c>
      <c r="H254" s="165">
        <f t="shared" si="19"/>
        <v>4.9508295458235832E-2</v>
      </c>
      <c r="K254" s="123">
        <v>44935</v>
      </c>
      <c r="M254" s="151">
        <v>17952.550781000002</v>
      </c>
      <c r="N254" s="152">
        <v>18141.400390999999</v>
      </c>
      <c r="O254" s="152">
        <v>17761.650390999999</v>
      </c>
      <c r="P254" s="152">
        <v>17956.599609000001</v>
      </c>
      <c r="Q254" s="153">
        <v>1284900</v>
      </c>
      <c r="T254" s="12">
        <v>993.2</v>
      </c>
      <c r="U254" s="12">
        <v>1021</v>
      </c>
      <c r="V254" s="12">
        <v>986.3</v>
      </c>
      <c r="W254" s="12">
        <v>1003.15</v>
      </c>
      <c r="X254" s="12">
        <v>10170000</v>
      </c>
      <c r="AA254" s="12">
        <v>385.5</v>
      </c>
      <c r="AB254" s="12">
        <v>397.9</v>
      </c>
      <c r="AC254" s="12">
        <v>385</v>
      </c>
      <c r="AD254" s="12">
        <v>393.9</v>
      </c>
      <c r="AE254" s="12">
        <v>25000000</v>
      </c>
      <c r="AH254" s="12">
        <v>1042.1500000000001</v>
      </c>
      <c r="AI254" s="12">
        <v>1084</v>
      </c>
      <c r="AJ254" s="12">
        <v>1040.05</v>
      </c>
      <c r="AK254" s="12">
        <v>1077.8</v>
      </c>
      <c r="AL254" s="12">
        <v>24130000</v>
      </c>
      <c r="AO254" s="12">
        <v>1444</v>
      </c>
      <c r="AP254" s="12">
        <v>1519.4</v>
      </c>
      <c r="AQ254" s="12">
        <v>1444</v>
      </c>
      <c r="AR254" s="12">
        <v>1503.65</v>
      </c>
      <c r="AS254" s="12">
        <v>44390000</v>
      </c>
      <c r="AV254" s="12">
        <v>3243.9</v>
      </c>
      <c r="AW254" s="12">
        <v>3379.1</v>
      </c>
      <c r="AX254" s="12">
        <v>3215.3</v>
      </c>
      <c r="AY254" s="12">
        <v>3374.55</v>
      </c>
      <c r="AZ254" s="12">
        <v>13980000</v>
      </c>
    </row>
    <row r="255" spans="2:52" ht="15" thickBot="1" x14ac:dyDescent="0.35">
      <c r="B255" s="123">
        <v>44942</v>
      </c>
      <c r="C255" s="164">
        <v>3.9489984831670936E-3</v>
      </c>
      <c r="D255" s="163">
        <f t="shared" si="15"/>
        <v>4.2306213759844453E-2</v>
      </c>
      <c r="E255" s="163">
        <f t="shared" si="16"/>
        <v>2.321163115417078E-2</v>
      </c>
      <c r="F255" s="163">
        <f t="shared" si="17"/>
        <v>2.7454140099607113E-2</v>
      </c>
      <c r="G255" s="163">
        <f t="shared" si="18"/>
        <v>1.4459515096558821E-2</v>
      </c>
      <c r="H255" s="165">
        <f t="shared" si="19"/>
        <v>-3.3988144300976836E-3</v>
      </c>
      <c r="K255" s="123">
        <v>44942</v>
      </c>
      <c r="M255" s="151">
        <v>18033.150390999999</v>
      </c>
      <c r="N255" s="152">
        <v>18183.75</v>
      </c>
      <c r="O255" s="152">
        <v>17853.650390999999</v>
      </c>
      <c r="P255" s="152">
        <v>18027.650390999999</v>
      </c>
      <c r="Q255" s="153">
        <v>1156100</v>
      </c>
      <c r="T255" s="12">
        <v>1011.95</v>
      </c>
      <c r="U255" s="12">
        <v>1057.5999999999999</v>
      </c>
      <c r="V255" s="12">
        <v>1003.25</v>
      </c>
      <c r="W255" s="12">
        <v>1046.5</v>
      </c>
      <c r="X255" s="12">
        <v>11090000</v>
      </c>
      <c r="AA255" s="12">
        <v>394</v>
      </c>
      <c r="AB255" s="12">
        <v>405.45</v>
      </c>
      <c r="AC255" s="12">
        <v>389</v>
      </c>
      <c r="AD255" s="12">
        <v>403.15</v>
      </c>
      <c r="AE255" s="12">
        <v>37840000</v>
      </c>
      <c r="AH255" s="12">
        <v>1079.05</v>
      </c>
      <c r="AI255" s="12">
        <v>1125.8499999999999</v>
      </c>
      <c r="AJ255" s="12">
        <v>1078.55</v>
      </c>
      <c r="AK255" s="12">
        <v>1107.8</v>
      </c>
      <c r="AL255" s="12">
        <v>23280000</v>
      </c>
      <c r="AO255" s="12">
        <v>1514</v>
      </c>
      <c r="AP255" s="12">
        <v>1551.85</v>
      </c>
      <c r="AQ255" s="12">
        <v>1502.3</v>
      </c>
      <c r="AR255" s="12">
        <v>1525.55</v>
      </c>
      <c r="AS255" s="12">
        <v>31640000</v>
      </c>
      <c r="AV255" s="12">
        <v>3320</v>
      </c>
      <c r="AW255" s="12">
        <v>3408.95</v>
      </c>
      <c r="AX255" s="12">
        <v>3298.05</v>
      </c>
      <c r="AY255" s="12">
        <v>3363.1</v>
      </c>
      <c r="AZ255" s="12">
        <v>9480000</v>
      </c>
    </row>
    <row r="256" spans="2:52" ht="15" thickBot="1" x14ac:dyDescent="0.35">
      <c r="B256" s="123">
        <v>44949</v>
      </c>
      <c r="C256" s="164">
        <v>-2.3760703698520604E-2</v>
      </c>
      <c r="D256" s="163">
        <f t="shared" si="15"/>
        <v>-1.5795377996406828E-2</v>
      </c>
      <c r="E256" s="163">
        <f t="shared" si="16"/>
        <v>-1.27310755964438E-2</v>
      </c>
      <c r="F256" s="163">
        <f t="shared" si="17"/>
        <v>7.0163101543303337E-3</v>
      </c>
      <c r="G256" s="163">
        <f t="shared" si="18"/>
        <v>-4.2040328610851987E-3</v>
      </c>
      <c r="H256" s="165">
        <f t="shared" si="19"/>
        <v>1.4156994115621786E-2</v>
      </c>
      <c r="K256" s="123">
        <v>44949</v>
      </c>
      <c r="M256" s="151">
        <v>18118.449218999998</v>
      </c>
      <c r="N256" s="152">
        <v>18201.25</v>
      </c>
      <c r="O256" s="152">
        <v>17493.550781000002</v>
      </c>
      <c r="P256" s="152">
        <v>17604.349609000001</v>
      </c>
      <c r="Q256" s="153">
        <v>1152900</v>
      </c>
      <c r="T256" s="12">
        <v>1050.05</v>
      </c>
      <c r="U256" s="12">
        <v>1077.5</v>
      </c>
      <c r="V256" s="12">
        <v>1021.5</v>
      </c>
      <c r="W256" s="12">
        <v>1030.0999999999999</v>
      </c>
      <c r="X256" s="12">
        <v>5880000</v>
      </c>
      <c r="AA256" s="12">
        <v>404.05</v>
      </c>
      <c r="AB256" s="12">
        <v>410.35</v>
      </c>
      <c r="AC256" s="12">
        <v>394.2</v>
      </c>
      <c r="AD256" s="12">
        <v>398.05</v>
      </c>
      <c r="AE256" s="12">
        <v>17110000</v>
      </c>
      <c r="AH256" s="12">
        <v>1109.05</v>
      </c>
      <c r="AI256" s="12">
        <v>1143.7</v>
      </c>
      <c r="AJ256" s="12">
        <v>1105</v>
      </c>
      <c r="AK256" s="12">
        <v>1115.5999999999999</v>
      </c>
      <c r="AL256" s="12">
        <v>14670000</v>
      </c>
      <c r="AO256" s="12">
        <v>1534</v>
      </c>
      <c r="AP256" s="12">
        <v>1568.8</v>
      </c>
      <c r="AQ256" s="12">
        <v>1507.4</v>
      </c>
      <c r="AR256" s="12">
        <v>1519.15</v>
      </c>
      <c r="AS256" s="12">
        <v>22790000</v>
      </c>
      <c r="AV256" s="12">
        <v>3375.3</v>
      </c>
      <c r="AW256" s="12">
        <v>3451.95</v>
      </c>
      <c r="AX256" s="12">
        <v>3355.6</v>
      </c>
      <c r="AY256" s="12">
        <v>3411.05</v>
      </c>
      <c r="AZ256" s="12">
        <v>5350000</v>
      </c>
    </row>
    <row r="257" spans="2:52" ht="15" thickBot="1" x14ac:dyDescent="0.35">
      <c r="B257" s="123">
        <v>44956</v>
      </c>
      <c r="C257" s="164">
        <v>1.4084408603892182E-2</v>
      </c>
      <c r="D257" s="163">
        <f t="shared" si="15"/>
        <v>-1.8419252981522943E-2</v>
      </c>
      <c r="E257" s="163">
        <f t="shared" si="16"/>
        <v>2.4444420788925576E-2</v>
      </c>
      <c r="F257" s="163">
        <f t="shared" si="17"/>
        <v>2.7016123008351649E-2</v>
      </c>
      <c r="G257" s="163">
        <f t="shared" si="18"/>
        <v>5.1477591000305453E-2</v>
      </c>
      <c r="H257" s="165">
        <f t="shared" si="19"/>
        <v>2.0672833228474168E-2</v>
      </c>
      <c r="K257" s="123">
        <v>44956</v>
      </c>
      <c r="M257" s="151">
        <v>17541.949218999998</v>
      </c>
      <c r="N257" s="152">
        <v>17972.199218999998</v>
      </c>
      <c r="O257" s="152">
        <v>17353.400390999999</v>
      </c>
      <c r="P257" s="152">
        <v>17854.050781000002</v>
      </c>
      <c r="Q257" s="153">
        <v>2257800</v>
      </c>
      <c r="T257" s="12">
        <v>1030</v>
      </c>
      <c r="U257" s="12">
        <v>1047.95</v>
      </c>
      <c r="V257" s="12">
        <v>996.05</v>
      </c>
      <c r="W257" s="12">
        <v>1011.3</v>
      </c>
      <c r="X257" s="12">
        <v>17710000</v>
      </c>
      <c r="AA257" s="12">
        <v>398</v>
      </c>
      <c r="AB257" s="12">
        <v>413</v>
      </c>
      <c r="AC257" s="12">
        <v>395.05</v>
      </c>
      <c r="AD257" s="12">
        <v>407.9</v>
      </c>
      <c r="AE257" s="12">
        <v>23240000</v>
      </c>
      <c r="AH257" s="12">
        <v>1110.05</v>
      </c>
      <c r="AI257" s="12">
        <v>1156.8</v>
      </c>
      <c r="AJ257" s="12">
        <v>1105.8</v>
      </c>
      <c r="AK257" s="12">
        <v>1146.1500000000001</v>
      </c>
      <c r="AL257" s="12">
        <v>15690000</v>
      </c>
      <c r="AO257" s="12">
        <v>1529</v>
      </c>
      <c r="AP257" s="12">
        <v>1604.65</v>
      </c>
      <c r="AQ257" s="12">
        <v>1513</v>
      </c>
      <c r="AR257" s="12">
        <v>1599.4</v>
      </c>
      <c r="AS257" s="12">
        <v>37580000</v>
      </c>
      <c r="AV257" s="12">
        <v>3413.55</v>
      </c>
      <c r="AW257" s="12">
        <v>3504</v>
      </c>
      <c r="AX257" s="12">
        <v>3347.7</v>
      </c>
      <c r="AY257" s="12">
        <v>3482.3</v>
      </c>
      <c r="AZ257" s="12">
        <v>10950000</v>
      </c>
    </row>
    <row r="258" spans="2:52" ht="15" thickBot="1" x14ac:dyDescent="0.35">
      <c r="B258" s="123">
        <v>44963</v>
      </c>
      <c r="C258" s="164">
        <v>1.371706092611422E-4</v>
      </c>
      <c r="D258" s="163">
        <f t="shared" si="15"/>
        <v>5.9645753937873185E-3</v>
      </c>
      <c r="E258" s="163">
        <f t="shared" si="16"/>
        <v>-5.1616189317983145E-3</v>
      </c>
      <c r="F258" s="163">
        <f t="shared" si="17"/>
        <v>-2.6971305081173159E-2</v>
      </c>
      <c r="G258" s="163">
        <f t="shared" si="18"/>
        <v>5.7045931598394811E-3</v>
      </c>
      <c r="H258" s="165">
        <f t="shared" si="19"/>
        <v>1.5741402129607448E-2</v>
      </c>
      <c r="K258" s="123">
        <v>44963</v>
      </c>
      <c r="M258" s="151">
        <v>17818.550781000002</v>
      </c>
      <c r="N258" s="152">
        <v>17916.900390999999</v>
      </c>
      <c r="O258" s="152">
        <v>17652.550781000002</v>
      </c>
      <c r="P258" s="152">
        <v>17856.5</v>
      </c>
      <c r="Q258" s="153">
        <v>1420800</v>
      </c>
      <c r="T258" s="12">
        <v>1013.85</v>
      </c>
      <c r="U258" s="12">
        <v>1021.6</v>
      </c>
      <c r="V258" s="12">
        <v>996.6</v>
      </c>
      <c r="W258" s="12">
        <v>1017.35</v>
      </c>
      <c r="X258" s="12">
        <v>9520000</v>
      </c>
      <c r="AA258" s="12">
        <v>404.4</v>
      </c>
      <c r="AB258" s="12">
        <v>408.95</v>
      </c>
      <c r="AC258" s="12">
        <v>399</v>
      </c>
      <c r="AD258" s="12">
        <v>405.8</v>
      </c>
      <c r="AE258" s="12">
        <v>16560000</v>
      </c>
      <c r="AH258" s="12">
        <v>1135</v>
      </c>
      <c r="AI258" s="12">
        <v>1153</v>
      </c>
      <c r="AJ258" s="12">
        <v>1100</v>
      </c>
      <c r="AK258" s="12">
        <v>1115.6500000000001</v>
      </c>
      <c r="AL258" s="12">
        <v>11830000</v>
      </c>
      <c r="AO258" s="12">
        <v>1598</v>
      </c>
      <c r="AP258" s="12">
        <v>1620</v>
      </c>
      <c r="AQ258" s="12">
        <v>1555.1</v>
      </c>
      <c r="AR258" s="12">
        <v>1608.55</v>
      </c>
      <c r="AS258" s="12">
        <v>29600000</v>
      </c>
      <c r="AV258" s="12">
        <v>3475</v>
      </c>
      <c r="AW258" s="12">
        <v>3547.95</v>
      </c>
      <c r="AX258" s="12">
        <v>3436.85</v>
      </c>
      <c r="AY258" s="12">
        <v>3537.55</v>
      </c>
      <c r="AZ258" s="12">
        <v>7660000</v>
      </c>
    </row>
    <row r="259" spans="2:52" ht="15" thickBot="1" x14ac:dyDescent="0.35">
      <c r="B259" s="123">
        <v>44970</v>
      </c>
      <c r="C259" s="164">
        <v>4.8993118198999569E-3</v>
      </c>
      <c r="D259" s="163">
        <f t="shared" si="15"/>
        <v>0.1043082100774223</v>
      </c>
      <c r="E259" s="163">
        <f t="shared" si="16"/>
        <v>1.2313756019667673E-3</v>
      </c>
      <c r="F259" s="163">
        <f t="shared" si="17"/>
        <v>-5.4826669785260204E-3</v>
      </c>
      <c r="G259" s="163">
        <f t="shared" si="18"/>
        <v>-1.5506129281316968E-2</v>
      </c>
      <c r="H259" s="165">
        <f t="shared" si="19"/>
        <v>-1.0342911188917751E-2</v>
      </c>
      <c r="K259" s="123">
        <v>44970</v>
      </c>
      <c r="M259" s="151">
        <v>17859.099609000001</v>
      </c>
      <c r="N259" s="152">
        <v>18134.75</v>
      </c>
      <c r="O259" s="152">
        <v>17719.75</v>
      </c>
      <c r="P259" s="152">
        <v>17944.199218999998</v>
      </c>
      <c r="Q259" s="153">
        <v>1143400</v>
      </c>
      <c r="T259" s="12">
        <v>1015</v>
      </c>
      <c r="U259" s="12">
        <v>1141.05</v>
      </c>
      <c r="V259" s="12">
        <v>1000.5</v>
      </c>
      <c r="W259" s="12">
        <v>1129.2</v>
      </c>
      <c r="X259" s="12">
        <v>32290000</v>
      </c>
      <c r="AA259" s="12">
        <v>405.1</v>
      </c>
      <c r="AB259" s="12">
        <v>413.25</v>
      </c>
      <c r="AC259" s="12">
        <v>399.2</v>
      </c>
      <c r="AD259" s="12">
        <v>406.3</v>
      </c>
      <c r="AE259" s="12">
        <v>16950000</v>
      </c>
      <c r="AH259" s="12">
        <v>1121.25</v>
      </c>
      <c r="AI259" s="12">
        <v>1152.1500000000001</v>
      </c>
      <c r="AJ259" s="12">
        <v>1105</v>
      </c>
      <c r="AK259" s="12">
        <v>1109.55</v>
      </c>
      <c r="AL259" s="12">
        <v>12200000</v>
      </c>
      <c r="AO259" s="12">
        <v>1597</v>
      </c>
      <c r="AP259" s="12">
        <v>1614.45</v>
      </c>
      <c r="AQ259" s="12">
        <v>1565.6</v>
      </c>
      <c r="AR259" s="12">
        <v>1583.8</v>
      </c>
      <c r="AS259" s="12">
        <v>20570000</v>
      </c>
      <c r="AV259" s="12">
        <v>3549</v>
      </c>
      <c r="AW259" s="12">
        <v>3575</v>
      </c>
      <c r="AX259" s="12">
        <v>3460.15</v>
      </c>
      <c r="AY259" s="12">
        <v>3501.15</v>
      </c>
      <c r="AZ259" s="12">
        <v>7080000</v>
      </c>
    </row>
    <row r="260" spans="2:52" ht="15" thickBot="1" x14ac:dyDescent="0.35">
      <c r="B260" s="123">
        <v>44977</v>
      </c>
      <c r="C260" s="164">
        <v>-2.7022171595667329E-2</v>
      </c>
      <c r="D260" s="163">
        <f t="shared" si="15"/>
        <v>-9.0739880674091233E-3</v>
      </c>
      <c r="E260" s="163">
        <f t="shared" si="16"/>
        <v>-3.2519123555917254E-2</v>
      </c>
      <c r="F260" s="163">
        <f t="shared" si="17"/>
        <v>-1.3337160136235378E-2</v>
      </c>
      <c r="G260" s="163">
        <f t="shared" si="18"/>
        <v>-2.1152824928975755E-2</v>
      </c>
      <c r="H260" s="165">
        <f t="shared" si="19"/>
        <v>-2.91837101507544E-2</v>
      </c>
      <c r="K260" s="123">
        <v>44977</v>
      </c>
      <c r="M260" s="151">
        <v>17965.550781000002</v>
      </c>
      <c r="N260" s="152">
        <v>18004.349609000001</v>
      </c>
      <c r="O260" s="152">
        <v>17421.800781000002</v>
      </c>
      <c r="P260" s="152">
        <v>17465.800781000002</v>
      </c>
      <c r="Q260" s="153">
        <v>1027000</v>
      </c>
      <c r="T260" s="12">
        <v>1128.9000000000001</v>
      </c>
      <c r="U260" s="12">
        <v>1157.75</v>
      </c>
      <c r="V260" s="12">
        <v>1116</v>
      </c>
      <c r="W260" s="12">
        <v>1119</v>
      </c>
      <c r="X260" s="12">
        <v>15670000</v>
      </c>
      <c r="AA260" s="12">
        <v>404.05</v>
      </c>
      <c r="AB260" s="12">
        <v>408</v>
      </c>
      <c r="AC260" s="12">
        <v>392.55</v>
      </c>
      <c r="AD260" s="12">
        <v>393.3</v>
      </c>
      <c r="AE260" s="12">
        <v>16090000</v>
      </c>
      <c r="AH260" s="12">
        <v>1106.0999999999999</v>
      </c>
      <c r="AI260" s="12">
        <v>1134.7</v>
      </c>
      <c r="AJ260" s="12">
        <v>1082</v>
      </c>
      <c r="AK260" s="12">
        <v>1094.8499999999999</v>
      </c>
      <c r="AL260" s="12">
        <v>9310000</v>
      </c>
      <c r="AO260" s="12">
        <v>1589</v>
      </c>
      <c r="AP260" s="12">
        <v>1603</v>
      </c>
      <c r="AQ260" s="12">
        <v>1545</v>
      </c>
      <c r="AR260" s="12">
        <v>1550.65</v>
      </c>
      <c r="AS260" s="12">
        <v>17440000</v>
      </c>
      <c r="AV260" s="12">
        <v>3506</v>
      </c>
      <c r="AW260" s="12">
        <v>3522</v>
      </c>
      <c r="AX260" s="12">
        <v>3382.3</v>
      </c>
      <c r="AY260" s="12">
        <v>3400.45</v>
      </c>
      <c r="AZ260" s="12">
        <v>6340000</v>
      </c>
    </row>
    <row r="261" spans="2:52" ht="15" thickBot="1" x14ac:dyDescent="0.35">
      <c r="B261" s="123">
        <v>44984</v>
      </c>
      <c r="C261" s="164">
        <v>7.3330777317591536E-3</v>
      </c>
      <c r="D261" s="163">
        <f t="shared" si="15"/>
        <v>-3.07172030449302E-2</v>
      </c>
      <c r="E261" s="163">
        <f t="shared" si="16"/>
        <v>-7.2727593290798087E-3</v>
      </c>
      <c r="F261" s="163">
        <f t="shared" si="17"/>
        <v>2.1818061746174403E-2</v>
      </c>
      <c r="G261" s="163">
        <f t="shared" si="18"/>
        <v>-4.7105194949146167E-2</v>
      </c>
      <c r="H261" s="165">
        <f t="shared" si="19"/>
        <v>-1.7293463336026542E-2</v>
      </c>
      <c r="K261" s="123">
        <v>44984</v>
      </c>
      <c r="M261" s="151">
        <v>17428.599609000001</v>
      </c>
      <c r="N261" s="152">
        <v>17644.75</v>
      </c>
      <c r="O261" s="152">
        <v>17255.199218999998</v>
      </c>
      <c r="P261" s="152">
        <v>17594.349609000001</v>
      </c>
      <c r="Q261" s="153">
        <v>1607100</v>
      </c>
      <c r="T261" s="12">
        <v>1114.45</v>
      </c>
      <c r="U261" s="12">
        <v>1135.5</v>
      </c>
      <c r="V261" s="12">
        <v>1082.0999999999999</v>
      </c>
      <c r="W261" s="12">
        <v>1085.1500000000001</v>
      </c>
      <c r="X261" s="12">
        <v>12850000</v>
      </c>
      <c r="AA261" s="12">
        <v>392.75</v>
      </c>
      <c r="AB261" s="12">
        <v>393.3</v>
      </c>
      <c r="AC261" s="12">
        <v>385.4</v>
      </c>
      <c r="AD261" s="12">
        <v>390.45</v>
      </c>
      <c r="AE261" s="12">
        <v>15970000</v>
      </c>
      <c r="AH261" s="12">
        <v>1090</v>
      </c>
      <c r="AI261" s="12">
        <v>1129.7</v>
      </c>
      <c r="AJ261" s="12">
        <v>1068.0999999999999</v>
      </c>
      <c r="AK261" s="12">
        <v>1119</v>
      </c>
      <c r="AL261" s="12">
        <v>31890000</v>
      </c>
      <c r="AO261" s="12">
        <v>1540</v>
      </c>
      <c r="AP261" s="12">
        <v>1544.95</v>
      </c>
      <c r="AQ261" s="12">
        <v>1467.3</v>
      </c>
      <c r="AR261" s="12">
        <v>1479.3</v>
      </c>
      <c r="AS261" s="12">
        <v>30070000</v>
      </c>
      <c r="AV261" s="12">
        <v>3390</v>
      </c>
      <c r="AW261" s="12">
        <v>3397.9</v>
      </c>
      <c r="AX261" s="12">
        <v>3299.9</v>
      </c>
      <c r="AY261" s="12">
        <v>3342.15</v>
      </c>
      <c r="AZ261" s="12">
        <v>9710000</v>
      </c>
    </row>
    <row r="262" spans="2:52" ht="15" thickBot="1" x14ac:dyDescent="0.35">
      <c r="B262" s="123">
        <v>44991</v>
      </c>
      <c r="C262" s="164">
        <v>-1.0366472255403986E-2</v>
      </c>
      <c r="D262" s="163">
        <f t="shared" ref="D262:D265" si="20">LN(W262/W261)</f>
        <v>-2.2270767641437907E-2</v>
      </c>
      <c r="E262" s="163">
        <f t="shared" ref="E262:E265" si="21">LN(AD262/AD261)</f>
        <v>-3.4635401181761093E-3</v>
      </c>
      <c r="F262" s="163">
        <f t="shared" ref="F262:F265" si="22">LN(AK262/AK261)</f>
        <v>-2.4157842912387963E-3</v>
      </c>
      <c r="G262" s="163">
        <f t="shared" ref="G262:G265" si="23">LN(AR262/AR261)</f>
        <v>-5.2527358688720027E-3</v>
      </c>
      <c r="H262" s="165">
        <f t="shared" ref="H262:H265" si="24">LN(AY262/AY261)</f>
        <v>-3.3417532578452489E-3</v>
      </c>
      <c r="K262" s="123">
        <v>44991</v>
      </c>
      <c r="M262" s="151">
        <v>17680.349609000001</v>
      </c>
      <c r="N262" s="152">
        <v>17799.949218999998</v>
      </c>
      <c r="O262" s="152">
        <v>17324.349609000001</v>
      </c>
      <c r="P262" s="152">
        <v>17412.900390999999</v>
      </c>
      <c r="Q262" s="153">
        <v>1128100</v>
      </c>
      <c r="T262" s="12">
        <v>1090</v>
      </c>
      <c r="U262" s="12">
        <v>1096</v>
      </c>
      <c r="V262" s="12">
        <v>1041</v>
      </c>
      <c r="W262" s="12">
        <v>1061.25</v>
      </c>
      <c r="X262" s="12">
        <v>8650000</v>
      </c>
      <c r="AA262" s="12">
        <v>391.15</v>
      </c>
      <c r="AB262" s="12">
        <v>396.65</v>
      </c>
      <c r="AC262" s="12">
        <v>386.6</v>
      </c>
      <c r="AD262" s="12">
        <v>389.1</v>
      </c>
      <c r="AE262" s="12">
        <v>11150000</v>
      </c>
      <c r="AH262" s="12">
        <v>1125.05</v>
      </c>
      <c r="AI262" s="12">
        <v>1148</v>
      </c>
      <c r="AJ262" s="12">
        <v>1102</v>
      </c>
      <c r="AK262" s="12">
        <v>1116.3</v>
      </c>
      <c r="AL262" s="12">
        <v>10600000</v>
      </c>
      <c r="AO262" s="12">
        <v>1489.9</v>
      </c>
      <c r="AP262" s="12">
        <v>1520.4</v>
      </c>
      <c r="AQ262" s="12">
        <v>1457.1</v>
      </c>
      <c r="AR262" s="12">
        <v>1471.55</v>
      </c>
      <c r="AS262" s="12">
        <v>20450000</v>
      </c>
      <c r="AV262" s="12">
        <v>3356</v>
      </c>
      <c r="AW262" s="12">
        <v>3404.95</v>
      </c>
      <c r="AX262" s="12">
        <v>3290</v>
      </c>
      <c r="AY262" s="12">
        <v>3331</v>
      </c>
      <c r="AZ262" s="12">
        <v>6040000</v>
      </c>
    </row>
    <row r="263" spans="2:52" ht="15" thickBot="1" x14ac:dyDescent="0.35">
      <c r="B263" s="123">
        <v>44998</v>
      </c>
      <c r="C263" s="164">
        <v>-1.8129900146232197E-2</v>
      </c>
      <c r="D263" s="163">
        <f t="shared" si="20"/>
        <v>6.0244864274584725E-2</v>
      </c>
      <c r="E263" s="163">
        <f t="shared" si="21"/>
        <v>-3.2918332750559699E-2</v>
      </c>
      <c r="F263" s="163">
        <f t="shared" si="22"/>
        <v>-7.0570019807243501E-3</v>
      </c>
      <c r="G263" s="163">
        <f t="shared" si="23"/>
        <v>-3.5166559151286657E-2</v>
      </c>
      <c r="H263" s="165">
        <f t="shared" si="24"/>
        <v>-4.6611512436857447E-2</v>
      </c>
      <c r="K263" s="123">
        <v>44998</v>
      </c>
      <c r="M263" s="151">
        <v>17421.900390999999</v>
      </c>
      <c r="N263" s="152">
        <v>17529.900390999999</v>
      </c>
      <c r="O263" s="152">
        <v>16850.150390999999</v>
      </c>
      <c r="P263" s="152">
        <v>17100.050781000002</v>
      </c>
      <c r="Q263" s="153">
        <v>1551600</v>
      </c>
      <c r="T263" s="12">
        <v>1115</v>
      </c>
      <c r="U263" s="12">
        <v>1164.7</v>
      </c>
      <c r="V263" s="12">
        <v>1098.4000000000001</v>
      </c>
      <c r="W263" s="12">
        <v>1127.1500000000001</v>
      </c>
      <c r="X263" s="12">
        <v>25980000</v>
      </c>
      <c r="AA263" s="12">
        <v>387.8</v>
      </c>
      <c r="AB263" s="12">
        <v>392.65</v>
      </c>
      <c r="AC263" s="12">
        <v>370</v>
      </c>
      <c r="AD263" s="12">
        <v>376.5</v>
      </c>
      <c r="AE263" s="12">
        <v>21030000</v>
      </c>
      <c r="AH263" s="12">
        <v>1111.5999999999999</v>
      </c>
      <c r="AI263" s="12">
        <v>1133.5999999999999</v>
      </c>
      <c r="AJ263" s="12">
        <v>1065.8</v>
      </c>
      <c r="AK263" s="12">
        <v>1108.45</v>
      </c>
      <c r="AL263" s="12">
        <v>15880000</v>
      </c>
      <c r="AO263" s="12">
        <v>1462</v>
      </c>
      <c r="AP263" s="12">
        <v>1478.35</v>
      </c>
      <c r="AQ263" s="12">
        <v>1398.7</v>
      </c>
      <c r="AR263" s="12">
        <v>1420.7</v>
      </c>
      <c r="AS263" s="12">
        <v>42140000</v>
      </c>
      <c r="AV263" s="12">
        <v>3331.05</v>
      </c>
      <c r="AW263" s="12">
        <v>3369.8</v>
      </c>
      <c r="AX263" s="12">
        <v>3144</v>
      </c>
      <c r="AY263" s="12">
        <v>3179.3</v>
      </c>
      <c r="AZ263" s="12">
        <v>15730000</v>
      </c>
    </row>
    <row r="264" spans="2:52" ht="15" thickBot="1" x14ac:dyDescent="0.35">
      <c r="B264" s="123">
        <v>45005</v>
      </c>
      <c r="C264" s="164">
        <v>-9.1056312855841079E-3</v>
      </c>
      <c r="D264" s="163">
        <f t="shared" si="20"/>
        <v>-2.2610985267441288E-2</v>
      </c>
      <c r="E264" s="163">
        <f t="shared" si="21"/>
        <v>-3.9964681728354989E-2</v>
      </c>
      <c r="F264" s="163">
        <f t="shared" si="22"/>
        <v>-5.2507199569331843E-2</v>
      </c>
      <c r="G264" s="163">
        <f t="shared" si="23"/>
        <v>-2.8595305126533584E-2</v>
      </c>
      <c r="H264" s="165">
        <f t="shared" si="24"/>
        <v>-1.8667801382724492E-2</v>
      </c>
      <c r="K264" s="123">
        <v>45005</v>
      </c>
      <c r="M264" s="151">
        <v>17066.599609000001</v>
      </c>
      <c r="N264" s="152">
        <v>17207.25</v>
      </c>
      <c r="O264" s="152">
        <v>16828.349609000001</v>
      </c>
      <c r="P264" s="152">
        <v>16945.050781000002</v>
      </c>
      <c r="Q264" s="153">
        <v>935700</v>
      </c>
      <c r="T264" s="12">
        <v>1120.2</v>
      </c>
      <c r="U264" s="12">
        <v>1136.8</v>
      </c>
      <c r="V264" s="12">
        <v>1081.2</v>
      </c>
      <c r="W264" s="12">
        <v>1101.95</v>
      </c>
      <c r="X264" s="12">
        <v>13180000</v>
      </c>
      <c r="AA264" s="12">
        <v>375.5</v>
      </c>
      <c r="AB264" s="12">
        <v>375.95</v>
      </c>
      <c r="AC264" s="12">
        <v>360.35</v>
      </c>
      <c r="AD264" s="12">
        <v>361.75</v>
      </c>
      <c r="AE264" s="12">
        <v>20460000</v>
      </c>
      <c r="AH264" s="12">
        <v>1100</v>
      </c>
      <c r="AI264" s="12">
        <v>1108.3</v>
      </c>
      <c r="AJ264" s="12">
        <v>1047</v>
      </c>
      <c r="AK264" s="12">
        <v>1051.75</v>
      </c>
      <c r="AL264" s="12">
        <v>10940000</v>
      </c>
      <c r="AO264" s="12">
        <v>1418.8</v>
      </c>
      <c r="AP264" s="12">
        <v>1419.7</v>
      </c>
      <c r="AQ264" s="12">
        <v>1370</v>
      </c>
      <c r="AR264" s="12">
        <v>1380.65</v>
      </c>
      <c r="AS264" s="12">
        <v>41630000</v>
      </c>
      <c r="AV264" s="12">
        <v>3173.5</v>
      </c>
      <c r="AW264" s="12">
        <v>3173.5</v>
      </c>
      <c r="AX264" s="12">
        <v>3095.05</v>
      </c>
      <c r="AY264" s="12">
        <v>3120.5</v>
      </c>
      <c r="AZ264" s="12">
        <v>8110000</v>
      </c>
    </row>
    <row r="265" spans="2:52" ht="15" thickBot="1" x14ac:dyDescent="0.35">
      <c r="B265" s="124">
        <v>45012</v>
      </c>
      <c r="C265" s="166">
        <v>2.4178506339107342E-2</v>
      </c>
      <c r="D265" s="163">
        <f t="shared" si="20"/>
        <v>9.5240262080193306E-4</v>
      </c>
      <c r="E265" s="163">
        <f t="shared" si="21"/>
        <v>-1.3831260849513527E-3</v>
      </c>
      <c r="F265" s="163">
        <f t="shared" si="22"/>
        <v>-2.3772732787584046E-4</v>
      </c>
      <c r="G265" s="163">
        <f t="shared" si="23"/>
        <v>5.9936632347036556E-3</v>
      </c>
      <c r="H265" s="165">
        <f t="shared" si="24"/>
        <v>5.7666433327394995E-4</v>
      </c>
      <c r="K265" s="124">
        <v>45012</v>
      </c>
      <c r="M265" s="154">
        <v>16984.300781000002</v>
      </c>
      <c r="N265" s="155">
        <v>17381.599609000001</v>
      </c>
      <c r="O265" s="155">
        <v>16913.75</v>
      </c>
      <c r="P265" s="155">
        <v>17359.75</v>
      </c>
      <c r="Q265" s="156">
        <v>1067000</v>
      </c>
      <c r="T265" s="12">
        <v>1090.0999999999999</v>
      </c>
      <c r="U265" s="12">
        <v>1113.6500000000001</v>
      </c>
      <c r="V265" s="12">
        <v>1090.0999999999999</v>
      </c>
      <c r="W265" s="12">
        <v>1103</v>
      </c>
      <c r="X265" s="12">
        <v>1500000</v>
      </c>
      <c r="AA265" s="12">
        <v>361.05</v>
      </c>
      <c r="AB265" s="12">
        <v>364</v>
      </c>
      <c r="AC265" s="12">
        <v>359.2</v>
      </c>
      <c r="AD265" s="12">
        <v>361.25</v>
      </c>
      <c r="AE265" s="12">
        <v>3260000</v>
      </c>
      <c r="AH265" s="12">
        <v>1053.3</v>
      </c>
      <c r="AI265" s="12">
        <v>1065.5</v>
      </c>
      <c r="AJ265" s="12">
        <v>1044.8</v>
      </c>
      <c r="AK265" s="12">
        <v>1051.5</v>
      </c>
      <c r="AL265" s="12">
        <v>1480000</v>
      </c>
      <c r="AO265" s="12">
        <v>1386.25</v>
      </c>
      <c r="AP265" s="12">
        <v>1395.75</v>
      </c>
      <c r="AQ265" s="12">
        <v>1374.05</v>
      </c>
      <c r="AR265" s="12">
        <v>1388.95</v>
      </c>
      <c r="AS265" s="12">
        <v>4260000</v>
      </c>
      <c r="AV265" s="12">
        <v>3135</v>
      </c>
      <c r="AW265" s="12">
        <v>3152.75</v>
      </c>
      <c r="AX265" s="12">
        <v>3105.85</v>
      </c>
      <c r="AY265" s="12">
        <v>3122.3</v>
      </c>
      <c r="AZ265" s="12">
        <v>1600000</v>
      </c>
    </row>
  </sheetData>
  <mergeCells count="7">
    <mergeCell ref="AV2:AZ2"/>
    <mergeCell ref="C3:H3"/>
    <mergeCell ref="M2:Q2"/>
    <mergeCell ref="T2:X2"/>
    <mergeCell ref="AA2:AE2"/>
    <mergeCell ref="AH2:AL2"/>
    <mergeCell ref="AO2:A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0FAE-4BCF-4739-8050-AF860406354F}">
  <dimension ref="B2:T63"/>
  <sheetViews>
    <sheetView showGridLines="0" zoomScale="87" workbookViewId="0">
      <selection activeCell="G31" sqref="G31"/>
    </sheetView>
  </sheetViews>
  <sheetFormatPr defaultRowHeight="14.4" x14ac:dyDescent="0.3"/>
  <cols>
    <col min="2" max="2" width="12.21875" customWidth="1"/>
    <col min="4" max="4" width="12" customWidth="1"/>
    <col min="6" max="6" width="14.77734375" customWidth="1"/>
    <col min="7" max="7" width="20.33203125" customWidth="1"/>
    <col min="8" max="8" width="13.88671875" customWidth="1"/>
    <col min="9" max="9" width="21.77734375" customWidth="1"/>
    <col min="10" max="10" width="17.33203125" customWidth="1"/>
    <col min="12" max="12" width="16.77734375" customWidth="1"/>
    <col min="13" max="13" width="12.88671875" customWidth="1"/>
    <col min="14" max="14" width="12.109375" customWidth="1"/>
    <col min="15" max="15" width="12.88671875" customWidth="1"/>
    <col min="17" max="17" width="12.5546875" customWidth="1"/>
  </cols>
  <sheetData>
    <row r="2" spans="2:15" ht="15" thickBot="1" x14ac:dyDescent="0.35"/>
    <row r="3" spans="2:15" x14ac:dyDescent="0.3">
      <c r="G3" s="215" t="s">
        <v>428</v>
      </c>
      <c r="H3" s="216"/>
      <c r="I3" s="216"/>
      <c r="J3" s="216"/>
      <c r="K3" s="216"/>
      <c r="L3" s="216"/>
      <c r="M3" s="216"/>
      <c r="N3" s="216"/>
      <c r="O3" s="217"/>
    </row>
    <row r="4" spans="2:15" ht="15" thickBot="1" x14ac:dyDescent="0.35">
      <c r="G4" s="5"/>
      <c r="O4" s="6"/>
    </row>
    <row r="5" spans="2:15" ht="18.600000000000001" thickBot="1" x14ac:dyDescent="0.4">
      <c r="B5" s="162"/>
      <c r="C5" s="173" t="s">
        <v>323</v>
      </c>
      <c r="D5" s="174" t="s">
        <v>324</v>
      </c>
      <c r="G5" s="228" t="s">
        <v>325</v>
      </c>
      <c r="H5" s="229"/>
      <c r="O5" s="6"/>
    </row>
    <row r="6" spans="2:15" ht="18" x14ac:dyDescent="0.35">
      <c r="B6" s="175" t="s">
        <v>319</v>
      </c>
      <c r="C6" s="167">
        <f>H20</f>
        <v>0.77792541014862204</v>
      </c>
      <c r="D6" s="170">
        <f>K20</f>
        <v>3.988814823533657E-17</v>
      </c>
      <c r="G6" s="221" t="s">
        <v>326</v>
      </c>
      <c r="H6" s="219">
        <v>0.48940907961690783</v>
      </c>
      <c r="O6" s="6"/>
    </row>
    <row r="7" spans="2:15" ht="18" x14ac:dyDescent="0.35">
      <c r="B7" s="176" t="s">
        <v>320</v>
      </c>
      <c r="C7" s="168">
        <f>C41</f>
        <v>0.81817550000577854</v>
      </c>
      <c r="D7" s="171">
        <f>F41</f>
        <v>1.3905436887827295E-19</v>
      </c>
      <c r="G7" s="222" t="s">
        <v>327</v>
      </c>
      <c r="H7" s="219">
        <v>0.23952124721146884</v>
      </c>
      <c r="O7" s="6"/>
    </row>
    <row r="8" spans="2:15" ht="18" x14ac:dyDescent="0.35">
      <c r="B8" s="176" t="s">
        <v>328</v>
      </c>
      <c r="C8" s="168">
        <f>M41</f>
        <v>0.85981060127042463</v>
      </c>
      <c r="D8" s="171">
        <f>P41</f>
        <v>1.5680044568043566E-22</v>
      </c>
      <c r="G8" s="222" t="s">
        <v>329</v>
      </c>
      <c r="H8" s="219">
        <v>0.23658503581074092</v>
      </c>
      <c r="O8" s="6"/>
    </row>
    <row r="9" spans="2:15" ht="18" x14ac:dyDescent="0.35">
      <c r="B9" s="176" t="s">
        <v>310</v>
      </c>
      <c r="C9" s="168">
        <f>C62</f>
        <v>0.77952824850225644</v>
      </c>
      <c r="D9" s="171">
        <f>F62</f>
        <v>4.7580368838870375E-19</v>
      </c>
      <c r="G9" s="222" t="s">
        <v>330</v>
      </c>
      <c r="H9" s="219">
        <v>3.5302526264072064E-2</v>
      </c>
      <c r="O9" s="6"/>
    </row>
    <row r="10" spans="2:15" ht="18.600000000000001" thickBot="1" x14ac:dyDescent="0.4">
      <c r="B10" s="177" t="s">
        <v>322</v>
      </c>
      <c r="C10" s="169">
        <f>M62</f>
        <v>0.68277134016935126</v>
      </c>
      <c r="D10" s="172">
        <f>P62</f>
        <v>1.7545284044085985E-17</v>
      </c>
      <c r="G10" s="223" t="s">
        <v>331</v>
      </c>
      <c r="H10" s="220">
        <v>261</v>
      </c>
      <c r="O10" s="6"/>
    </row>
    <row r="11" spans="2:15" ht="15" thickBot="1" x14ac:dyDescent="0.35">
      <c r="G11" s="5"/>
      <c r="O11" s="6"/>
    </row>
    <row r="12" spans="2:15" ht="15" thickBot="1" x14ac:dyDescent="0.35">
      <c r="G12" s="3" t="s">
        <v>332</v>
      </c>
      <c r="H12" s="218"/>
      <c r="I12" s="218"/>
      <c r="J12" s="218"/>
      <c r="K12" s="218"/>
      <c r="L12" s="4"/>
      <c r="O12" s="6"/>
    </row>
    <row r="13" spans="2:15" x14ac:dyDescent="0.3">
      <c r="G13" s="224"/>
      <c r="H13" s="270" t="s">
        <v>333</v>
      </c>
      <c r="I13" s="270" t="s">
        <v>334</v>
      </c>
      <c r="J13" s="270" t="s">
        <v>335</v>
      </c>
      <c r="K13" s="270" t="s">
        <v>336</v>
      </c>
      <c r="L13" s="271" t="s">
        <v>337</v>
      </c>
      <c r="O13" s="6"/>
    </row>
    <row r="14" spans="2:15" x14ac:dyDescent="0.3">
      <c r="G14" s="222" t="s">
        <v>338</v>
      </c>
      <c r="H14" s="268">
        <v>1</v>
      </c>
      <c r="I14" s="268">
        <v>0.10166425756102182</v>
      </c>
      <c r="J14" s="268">
        <v>0.10166425756102182</v>
      </c>
      <c r="K14" s="268">
        <v>81.574932633286849</v>
      </c>
      <c r="L14" s="219">
        <v>3.9888148235332866E-17</v>
      </c>
      <c r="O14" s="6"/>
    </row>
    <row r="15" spans="2:15" x14ac:dyDescent="0.3">
      <c r="G15" s="222" t="s">
        <v>339</v>
      </c>
      <c r="H15" s="268">
        <v>259</v>
      </c>
      <c r="I15" s="268">
        <v>0.32278350540200396</v>
      </c>
      <c r="J15" s="268">
        <v>1.2462683606254978E-3</v>
      </c>
      <c r="K15" s="268"/>
      <c r="L15" s="219"/>
      <c r="O15" s="6"/>
    </row>
    <row r="16" spans="2:15" ht="15" thickBot="1" x14ac:dyDescent="0.35">
      <c r="G16" s="223" t="s">
        <v>340</v>
      </c>
      <c r="H16" s="269">
        <v>260</v>
      </c>
      <c r="I16" s="269">
        <v>0.42444776296302578</v>
      </c>
      <c r="J16" s="269"/>
      <c r="K16" s="269"/>
      <c r="L16" s="220"/>
      <c r="O16" s="6"/>
    </row>
    <row r="17" spans="2:20" ht="15" thickBot="1" x14ac:dyDescent="0.35">
      <c r="G17" s="7"/>
      <c r="H17" s="2"/>
      <c r="I17" s="2"/>
      <c r="J17" s="2"/>
      <c r="K17" s="2"/>
      <c r="L17" s="8"/>
      <c r="O17" s="6"/>
    </row>
    <row r="18" spans="2:20" x14ac:dyDescent="0.3">
      <c r="G18" s="178"/>
      <c r="H18" s="160" t="s">
        <v>341</v>
      </c>
      <c r="I18" s="160" t="s">
        <v>330</v>
      </c>
      <c r="J18" s="160" t="s">
        <v>342</v>
      </c>
      <c r="K18" s="160" t="s">
        <v>324</v>
      </c>
      <c r="L18" s="160" t="s">
        <v>343</v>
      </c>
      <c r="M18" s="160" t="s">
        <v>344</v>
      </c>
      <c r="N18" s="160" t="s">
        <v>345</v>
      </c>
      <c r="O18" s="179" t="s">
        <v>346</v>
      </c>
    </row>
    <row r="19" spans="2:20" x14ac:dyDescent="0.3">
      <c r="G19" s="5" t="s">
        <v>347</v>
      </c>
      <c r="H19">
        <v>4.8302517879989133E-4</v>
      </c>
      <c r="I19">
        <v>2.1924327893740755E-3</v>
      </c>
      <c r="J19">
        <v>0.22031470298243064</v>
      </c>
      <c r="K19">
        <v>0.82579963028977665</v>
      </c>
      <c r="L19">
        <v>-3.8342379546663077E-3</v>
      </c>
      <c r="M19">
        <v>4.8002883122660904E-3</v>
      </c>
      <c r="N19">
        <v>-3.8342379546663077E-3</v>
      </c>
      <c r="O19" s="6">
        <v>4.8002883122660904E-3</v>
      </c>
    </row>
    <row r="20" spans="2:20" ht="15" thickBot="1" x14ac:dyDescent="0.35">
      <c r="G20" s="51" t="s">
        <v>318</v>
      </c>
      <c r="H20" s="39">
        <v>0.77792541014862204</v>
      </c>
      <c r="I20" s="2">
        <v>8.6131021043557673E-2</v>
      </c>
      <c r="J20" s="2">
        <v>9.0318842238641768</v>
      </c>
      <c r="K20" s="39">
        <v>3.988814823533657E-17</v>
      </c>
      <c r="L20" s="2">
        <v>0.60831917017566783</v>
      </c>
      <c r="M20" s="2">
        <v>0.94753165012157625</v>
      </c>
      <c r="N20" s="2">
        <v>0.60831917017566783</v>
      </c>
      <c r="O20" s="8">
        <v>0.94753165012157625</v>
      </c>
    </row>
    <row r="21" spans="2:20" x14ac:dyDescent="0.3">
      <c r="H21">
        <f>_xlfn.COVARIANCE.P('Historical Weekly Data'!D5:D265,'Historical Weekly Data'!C5:C265)/_xlfn.VAR.P('Historical Weekly Data'!C5:C265)</f>
        <v>0.77792541014862227</v>
      </c>
    </row>
    <row r="23" spans="2:20" ht="15" thickBot="1" x14ac:dyDescent="0.35"/>
    <row r="24" spans="2:20" x14ac:dyDescent="0.3">
      <c r="B24" s="215" t="s">
        <v>348</v>
      </c>
      <c r="C24" s="216"/>
      <c r="D24" s="216"/>
      <c r="E24" s="216"/>
      <c r="F24" s="216"/>
      <c r="G24" s="216"/>
      <c r="H24" s="216"/>
      <c r="I24" s="216"/>
      <c r="J24" s="217"/>
      <c r="L24" s="215" t="s">
        <v>349</v>
      </c>
      <c r="M24" s="216"/>
      <c r="N24" s="216"/>
      <c r="O24" s="216"/>
      <c r="P24" s="216"/>
      <c r="Q24" s="216"/>
      <c r="R24" s="216"/>
      <c r="S24" s="216"/>
      <c r="T24" s="217"/>
    </row>
    <row r="25" spans="2:20" ht="15" thickBot="1" x14ac:dyDescent="0.35">
      <c r="B25" s="5"/>
      <c r="J25" s="6"/>
      <c r="L25" s="5"/>
      <c r="T25" s="6"/>
    </row>
    <row r="26" spans="2:20" x14ac:dyDescent="0.3">
      <c r="B26" s="230" t="s">
        <v>325</v>
      </c>
      <c r="C26" s="229"/>
      <c r="J26" s="6"/>
      <c r="L26" s="230" t="s">
        <v>325</v>
      </c>
      <c r="M26" s="229"/>
      <c r="T26" s="6"/>
    </row>
    <row r="27" spans="2:20" x14ac:dyDescent="0.3">
      <c r="B27" s="221" t="s">
        <v>326</v>
      </c>
      <c r="C27" s="219">
        <v>0.52124203920646472</v>
      </c>
      <c r="J27" s="6"/>
      <c r="L27" s="221" t="s">
        <v>326</v>
      </c>
      <c r="M27" s="219">
        <v>0.55547528846200933</v>
      </c>
      <c r="T27" s="6"/>
    </row>
    <row r="28" spans="2:20" x14ac:dyDescent="0.3">
      <c r="B28" s="222" t="s">
        <v>327</v>
      </c>
      <c r="C28" s="219">
        <v>0.27169326343611372</v>
      </c>
      <c r="J28" s="6"/>
      <c r="L28" s="222" t="s">
        <v>327</v>
      </c>
      <c r="M28" s="219">
        <v>0.30855279609195246</v>
      </c>
      <c r="T28" s="6"/>
    </row>
    <row r="29" spans="2:20" x14ac:dyDescent="0.3">
      <c r="B29" s="222" t="s">
        <v>329</v>
      </c>
      <c r="C29" s="219">
        <v>0.26888126831424541</v>
      </c>
      <c r="J29" s="6"/>
      <c r="L29" s="222" t="s">
        <v>329</v>
      </c>
      <c r="M29" s="219">
        <v>0.30588311576798316</v>
      </c>
      <c r="T29" s="6"/>
    </row>
    <row r="30" spans="2:20" x14ac:dyDescent="0.3">
      <c r="B30" s="222" t="s">
        <v>330</v>
      </c>
      <c r="C30" s="219">
        <v>3.4116188557497013E-2</v>
      </c>
      <c r="J30" s="6"/>
      <c r="L30" s="222" t="s">
        <v>330</v>
      </c>
      <c r="M30" s="219">
        <v>3.2780371561232258E-2</v>
      </c>
      <c r="T30" s="6"/>
    </row>
    <row r="31" spans="2:20" ht="15" thickBot="1" x14ac:dyDescent="0.35">
      <c r="B31" s="223" t="s">
        <v>331</v>
      </c>
      <c r="C31" s="220">
        <v>261</v>
      </c>
      <c r="J31" s="6"/>
      <c r="L31" s="223" t="s">
        <v>331</v>
      </c>
      <c r="M31" s="220">
        <v>261</v>
      </c>
      <c r="T31" s="6"/>
    </row>
    <row r="32" spans="2:20" ht="15" thickBot="1" x14ac:dyDescent="0.35">
      <c r="B32" s="5"/>
      <c r="J32" s="6"/>
      <c r="L32" s="5"/>
      <c r="T32" s="6"/>
    </row>
    <row r="33" spans="2:20" ht="15" thickBot="1" x14ac:dyDescent="0.35">
      <c r="B33" s="5" t="s">
        <v>332</v>
      </c>
      <c r="J33" s="6"/>
      <c r="L33" s="3" t="s">
        <v>332</v>
      </c>
      <c r="M33" s="218"/>
      <c r="N33" s="218"/>
      <c r="O33" s="218"/>
      <c r="P33" s="218"/>
      <c r="Q33" s="4"/>
      <c r="T33" s="6"/>
    </row>
    <row r="34" spans="2:20" x14ac:dyDescent="0.3">
      <c r="B34" s="273"/>
      <c r="C34" s="270" t="s">
        <v>333</v>
      </c>
      <c r="D34" s="270" t="s">
        <v>334</v>
      </c>
      <c r="E34" s="270" t="s">
        <v>335</v>
      </c>
      <c r="F34" s="270" t="s">
        <v>336</v>
      </c>
      <c r="G34" s="271" t="s">
        <v>337</v>
      </c>
      <c r="J34" s="6"/>
      <c r="L34" s="274"/>
      <c r="M34" s="270" t="s">
        <v>333</v>
      </c>
      <c r="N34" s="270" t="s">
        <v>334</v>
      </c>
      <c r="O34" s="270" t="s">
        <v>335</v>
      </c>
      <c r="P34" s="270" t="s">
        <v>336</v>
      </c>
      <c r="Q34" s="271" t="s">
        <v>337</v>
      </c>
      <c r="T34" s="6"/>
    </row>
    <row r="35" spans="2:20" x14ac:dyDescent="0.3">
      <c r="B35" s="222" t="s">
        <v>338</v>
      </c>
      <c r="C35" s="268">
        <v>1</v>
      </c>
      <c r="D35" s="268">
        <v>0.11245669594550112</v>
      </c>
      <c r="E35" s="268">
        <v>0.11245669594550112</v>
      </c>
      <c r="F35" s="268">
        <v>96.619393584011988</v>
      </c>
      <c r="G35" s="219">
        <v>1.3905436887828097E-19</v>
      </c>
      <c r="J35" s="6"/>
      <c r="L35" s="221" t="s">
        <v>338</v>
      </c>
      <c r="M35" s="268">
        <v>1</v>
      </c>
      <c r="N35" s="268">
        <v>0.12419324350357724</v>
      </c>
      <c r="O35" s="268">
        <v>0.12419324350357724</v>
      </c>
      <c r="P35" s="268">
        <v>115.57668284163493</v>
      </c>
      <c r="Q35" s="219">
        <v>1.5680044568046594E-22</v>
      </c>
      <c r="T35" s="6"/>
    </row>
    <row r="36" spans="2:20" x14ac:dyDescent="0.3">
      <c r="B36" s="222" t="s">
        <v>339</v>
      </c>
      <c r="C36" s="268">
        <v>259</v>
      </c>
      <c r="D36" s="268">
        <v>0.30145380931788873</v>
      </c>
      <c r="E36" s="268">
        <v>1.16391432169069E-3</v>
      </c>
      <c r="F36" s="268"/>
      <c r="G36" s="219"/>
      <c r="J36" s="6"/>
      <c r="L36" s="222" t="s">
        <v>339</v>
      </c>
      <c r="M36" s="268">
        <v>259</v>
      </c>
      <c r="N36" s="268">
        <v>0.27830916476034318</v>
      </c>
      <c r="O36" s="268">
        <v>1.0745527596924447E-3</v>
      </c>
      <c r="P36" s="268"/>
      <c r="Q36" s="219"/>
      <c r="T36" s="6"/>
    </row>
    <row r="37" spans="2:20" ht="15" thickBot="1" x14ac:dyDescent="0.35">
      <c r="B37" s="223" t="s">
        <v>340</v>
      </c>
      <c r="C37" s="269">
        <v>260</v>
      </c>
      <c r="D37" s="269">
        <v>0.41391050526338985</v>
      </c>
      <c r="E37" s="269"/>
      <c r="F37" s="269"/>
      <c r="G37" s="220"/>
      <c r="J37" s="6"/>
      <c r="L37" s="223" t="s">
        <v>340</v>
      </c>
      <c r="M37" s="269">
        <v>260</v>
      </c>
      <c r="N37" s="269">
        <v>0.40250240826392042</v>
      </c>
      <c r="O37" s="269"/>
      <c r="P37" s="269"/>
      <c r="Q37" s="220"/>
      <c r="T37" s="6"/>
    </row>
    <row r="38" spans="2:20" ht="15" thickBot="1" x14ac:dyDescent="0.35">
      <c r="B38" s="7"/>
      <c r="C38" s="2"/>
      <c r="D38" s="2"/>
      <c r="E38" s="2"/>
      <c r="F38" s="2"/>
      <c r="G38" s="8"/>
      <c r="J38" s="6"/>
      <c r="L38" s="5"/>
      <c r="T38" s="6"/>
    </row>
    <row r="39" spans="2:20" x14ac:dyDescent="0.3">
      <c r="B39" s="178"/>
      <c r="C39" s="160" t="s">
        <v>341</v>
      </c>
      <c r="D39" s="160" t="s">
        <v>330</v>
      </c>
      <c r="E39" s="160" t="s">
        <v>342</v>
      </c>
      <c r="F39" s="160" t="s">
        <v>324</v>
      </c>
      <c r="G39" s="160" t="s">
        <v>343</v>
      </c>
      <c r="H39" s="160" t="s">
        <v>344</v>
      </c>
      <c r="I39" s="160" t="s">
        <v>345</v>
      </c>
      <c r="J39" s="179" t="s">
        <v>346</v>
      </c>
      <c r="L39" s="178"/>
      <c r="M39" s="160" t="s">
        <v>341</v>
      </c>
      <c r="N39" s="160" t="s">
        <v>330</v>
      </c>
      <c r="O39" s="160" t="s">
        <v>342</v>
      </c>
      <c r="P39" s="160" t="s">
        <v>324</v>
      </c>
      <c r="Q39" s="160" t="s">
        <v>343</v>
      </c>
      <c r="R39" s="160" t="s">
        <v>344</v>
      </c>
      <c r="S39" s="160" t="s">
        <v>345</v>
      </c>
      <c r="T39" s="179" t="s">
        <v>346</v>
      </c>
    </row>
    <row r="40" spans="2:20" x14ac:dyDescent="0.3">
      <c r="B40" s="5" t="s">
        <v>347</v>
      </c>
      <c r="C40">
        <v>3.6914022196344611E-4</v>
      </c>
      <c r="D40">
        <v>2.1187563145600614E-3</v>
      </c>
      <c r="E40">
        <v>0.1742249542463756</v>
      </c>
      <c r="F40">
        <v>0.86182477873829</v>
      </c>
      <c r="G40">
        <v>-3.8030417349850893E-3</v>
      </c>
      <c r="H40">
        <v>4.541322178911982E-3</v>
      </c>
      <c r="I40">
        <v>-3.8030417349850893E-3</v>
      </c>
      <c r="J40" s="6">
        <v>4.541322178911982E-3</v>
      </c>
      <c r="L40" s="5" t="s">
        <v>347</v>
      </c>
      <c r="M40">
        <v>1.190591153874305E-3</v>
      </c>
      <c r="N40">
        <v>2.0357965580455649E-3</v>
      </c>
      <c r="O40">
        <v>0.58482815936053734</v>
      </c>
      <c r="P40">
        <v>0.55917238412040859</v>
      </c>
      <c r="Q40">
        <v>-2.8182293079820038E-3</v>
      </c>
      <c r="R40">
        <v>5.1994116157306142E-3</v>
      </c>
      <c r="S40">
        <v>-2.8182293079820038E-3</v>
      </c>
      <c r="T40" s="6">
        <v>5.1994116157306142E-3</v>
      </c>
    </row>
    <row r="41" spans="2:20" ht="15" thickBot="1" x14ac:dyDescent="0.35">
      <c r="B41" s="51" t="s">
        <v>318</v>
      </c>
      <c r="C41" s="39">
        <v>0.81817550000577854</v>
      </c>
      <c r="D41" s="2">
        <v>8.3236597080653577E-2</v>
      </c>
      <c r="E41" s="2">
        <v>9.8295164471103131</v>
      </c>
      <c r="F41" s="39">
        <v>1.3905436887827295E-19</v>
      </c>
      <c r="G41" s="2">
        <v>0.65426886000607343</v>
      </c>
      <c r="H41" s="2">
        <v>0.98208214000548366</v>
      </c>
      <c r="I41" s="2">
        <v>0.65426886000607343</v>
      </c>
      <c r="J41" s="8">
        <v>0.98208214000548366</v>
      </c>
      <c r="L41" s="51" t="s">
        <v>318</v>
      </c>
      <c r="M41" s="39">
        <v>0.85981060127042463</v>
      </c>
      <c r="N41" s="2">
        <v>7.9977473896239562E-2</v>
      </c>
      <c r="O41" s="2">
        <v>10.750659646814023</v>
      </c>
      <c r="P41" s="39">
        <v>1.5680044568043566E-22</v>
      </c>
      <c r="Q41" s="2">
        <v>0.70232171438939672</v>
      </c>
      <c r="R41" s="2">
        <v>1.0172994881514525</v>
      </c>
      <c r="S41" s="2">
        <v>0.70232171438939672</v>
      </c>
      <c r="T41" s="8">
        <v>1.0172994881514525</v>
      </c>
    </row>
    <row r="42" spans="2:20" x14ac:dyDescent="0.3">
      <c r="C42">
        <f>_xlfn.COVARIANCE.P('Historical Weekly Data'!E5:E265,'Historical Weekly Data'!C5:C265)/_xlfn.VAR.P('Historical Weekly Data'!C5:C265)</f>
        <v>0.8181755000057781</v>
      </c>
      <c r="M42">
        <f>_xlfn.COVARIANCE.P('Historical Weekly Data'!F5:F265,'Historical Weekly Data'!C5:C265)/_xlfn.VAR.P('Historical Weekly Data'!C5:C265)</f>
        <v>0.85981060127042441</v>
      </c>
    </row>
    <row r="44" spans="2:20" ht="15" thickBot="1" x14ac:dyDescent="0.35"/>
    <row r="45" spans="2:20" x14ac:dyDescent="0.3">
      <c r="B45" s="215" t="s">
        <v>350</v>
      </c>
      <c r="C45" s="216"/>
      <c r="D45" s="216"/>
      <c r="E45" s="216"/>
      <c r="F45" s="216"/>
      <c r="G45" s="216"/>
      <c r="H45" s="216"/>
      <c r="I45" s="216"/>
      <c r="J45" s="217"/>
      <c r="L45" s="215" t="s">
        <v>351</v>
      </c>
      <c r="M45" s="216"/>
      <c r="N45" s="216"/>
      <c r="O45" s="216"/>
      <c r="P45" s="216"/>
      <c r="Q45" s="216"/>
      <c r="R45" s="216"/>
      <c r="S45" s="216"/>
      <c r="T45" s="217"/>
    </row>
    <row r="46" spans="2:20" ht="15" thickBot="1" x14ac:dyDescent="0.35">
      <c r="B46" s="5"/>
      <c r="J46" s="6"/>
      <c r="L46" s="5"/>
      <c r="T46" s="6"/>
    </row>
    <row r="47" spans="2:20" x14ac:dyDescent="0.3">
      <c r="B47" s="230" t="s">
        <v>325</v>
      </c>
      <c r="C47" s="229"/>
      <c r="J47" s="6"/>
      <c r="L47" s="230" t="s">
        <v>325</v>
      </c>
      <c r="M47" s="229"/>
      <c r="T47" s="6"/>
    </row>
    <row r="48" spans="2:20" x14ac:dyDescent="0.3">
      <c r="B48" s="221" t="s">
        <v>326</v>
      </c>
      <c r="C48" s="219">
        <v>0.51459968584160487</v>
      </c>
      <c r="J48" s="6"/>
      <c r="L48" s="221" t="s">
        <v>326</v>
      </c>
      <c r="M48" s="219">
        <v>0.49424019088147625</v>
      </c>
      <c r="T48" s="6"/>
    </row>
    <row r="49" spans="2:20" x14ac:dyDescent="0.3">
      <c r="B49" s="222" t="s">
        <v>327</v>
      </c>
      <c r="C49" s="219">
        <v>0.26481283666827843</v>
      </c>
      <c r="J49" s="6"/>
      <c r="L49" s="222" t="s">
        <v>327</v>
      </c>
      <c r="M49" s="219">
        <v>0.24427336628255808</v>
      </c>
      <c r="T49" s="6"/>
    </row>
    <row r="50" spans="2:20" x14ac:dyDescent="0.3">
      <c r="B50" s="222" t="s">
        <v>329</v>
      </c>
      <c r="C50" s="219">
        <v>0.26197427619209418</v>
      </c>
      <c r="J50" s="6"/>
      <c r="L50" s="222" t="s">
        <v>329</v>
      </c>
      <c r="M50" s="219">
        <v>0.24135550283191159</v>
      </c>
      <c r="T50" s="6"/>
    </row>
    <row r="51" spans="2:20" x14ac:dyDescent="0.3">
      <c r="B51" s="222" t="s">
        <v>330</v>
      </c>
      <c r="C51" s="219">
        <v>3.3079398648911129E-2</v>
      </c>
      <c r="J51" s="6"/>
      <c r="L51" s="222" t="s">
        <v>330</v>
      </c>
      <c r="M51" s="219">
        <v>3.0585521898901326E-2</v>
      </c>
      <c r="T51" s="6"/>
    </row>
    <row r="52" spans="2:20" ht="15" thickBot="1" x14ac:dyDescent="0.35">
      <c r="B52" s="223" t="s">
        <v>331</v>
      </c>
      <c r="C52" s="220">
        <v>261</v>
      </c>
      <c r="J52" s="6"/>
      <c r="L52" s="223" t="s">
        <v>331</v>
      </c>
      <c r="M52" s="220">
        <v>261</v>
      </c>
      <c r="T52" s="6"/>
    </row>
    <row r="53" spans="2:20" ht="15" thickBot="1" x14ac:dyDescent="0.35">
      <c r="B53" s="5"/>
      <c r="J53" s="6"/>
      <c r="L53" s="5"/>
      <c r="T53" s="6"/>
    </row>
    <row r="54" spans="2:20" ht="15" thickBot="1" x14ac:dyDescent="0.35">
      <c r="B54" s="5" t="s">
        <v>332</v>
      </c>
      <c r="J54" s="6"/>
      <c r="L54" s="3" t="s">
        <v>332</v>
      </c>
      <c r="M54" s="218"/>
      <c r="N54" s="218"/>
      <c r="O54" s="218"/>
      <c r="P54" s="218"/>
      <c r="Q54" s="4"/>
      <c r="T54" s="6"/>
    </row>
    <row r="55" spans="2:20" x14ac:dyDescent="0.3">
      <c r="B55" s="273"/>
      <c r="C55" s="270" t="s">
        <v>333</v>
      </c>
      <c r="D55" s="270" t="s">
        <v>334</v>
      </c>
      <c r="E55" s="270" t="s">
        <v>335</v>
      </c>
      <c r="F55" s="270" t="s">
        <v>336</v>
      </c>
      <c r="G55" s="271" t="s">
        <v>337</v>
      </c>
      <c r="J55" s="6"/>
      <c r="L55" s="273"/>
      <c r="M55" s="270" t="s">
        <v>333</v>
      </c>
      <c r="N55" s="270" t="s">
        <v>334</v>
      </c>
      <c r="O55" s="270" t="s">
        <v>335</v>
      </c>
      <c r="P55" s="270" t="s">
        <v>336</v>
      </c>
      <c r="Q55" s="271" t="s">
        <v>337</v>
      </c>
      <c r="T55" s="6"/>
    </row>
    <row r="56" spans="2:20" x14ac:dyDescent="0.3">
      <c r="B56" s="222" t="s">
        <v>338</v>
      </c>
      <c r="C56" s="268">
        <v>1</v>
      </c>
      <c r="D56" s="268">
        <v>0.1020836274432107</v>
      </c>
      <c r="E56" s="268">
        <v>0.1020836274432107</v>
      </c>
      <c r="F56" s="268">
        <v>93.291243533501955</v>
      </c>
      <c r="G56" s="219">
        <v>4.7580368838871395E-19</v>
      </c>
      <c r="J56" s="6"/>
      <c r="L56" s="222" t="s">
        <v>338</v>
      </c>
      <c r="M56" s="268">
        <v>1</v>
      </c>
      <c r="N56" s="268">
        <v>7.8314637923927483E-2</v>
      </c>
      <c r="O56" s="268">
        <v>7.8314637923927483E-2</v>
      </c>
      <c r="P56" s="268">
        <v>83.716517381385984</v>
      </c>
      <c r="Q56" s="219">
        <v>1.7545284044086869E-17</v>
      </c>
      <c r="T56" s="6"/>
    </row>
    <row r="57" spans="2:20" x14ac:dyDescent="0.3">
      <c r="B57" s="222" t="s">
        <v>339</v>
      </c>
      <c r="C57" s="268">
        <v>259</v>
      </c>
      <c r="D57" s="268">
        <v>0.28340987327815803</v>
      </c>
      <c r="E57" s="268">
        <v>1.0942466149735832E-3</v>
      </c>
      <c r="F57" s="268"/>
      <c r="G57" s="219"/>
      <c r="J57" s="6"/>
      <c r="L57" s="222" t="s">
        <v>339</v>
      </c>
      <c r="M57" s="268">
        <v>259</v>
      </c>
      <c r="N57" s="268">
        <v>0.24228780480549669</v>
      </c>
      <c r="O57" s="268">
        <v>9.354741498281726E-4</v>
      </c>
      <c r="P57" s="268"/>
      <c r="Q57" s="219"/>
      <c r="T57" s="6"/>
    </row>
    <row r="58" spans="2:20" ht="15" thickBot="1" x14ac:dyDescent="0.35">
      <c r="B58" s="223" t="s">
        <v>340</v>
      </c>
      <c r="C58" s="269">
        <v>260</v>
      </c>
      <c r="D58" s="269">
        <v>0.38549350072136873</v>
      </c>
      <c r="E58" s="269"/>
      <c r="F58" s="269"/>
      <c r="G58" s="220"/>
      <c r="J58" s="6"/>
      <c r="L58" s="272" t="s">
        <v>340</v>
      </c>
      <c r="M58" s="269">
        <v>260</v>
      </c>
      <c r="N58" s="269">
        <v>0.32060244272942418</v>
      </c>
      <c r="O58" s="269"/>
      <c r="P58" s="269"/>
      <c r="Q58" s="220"/>
      <c r="T58" s="6"/>
    </row>
    <row r="59" spans="2:20" ht="15" thickBot="1" x14ac:dyDescent="0.35">
      <c r="B59" s="7"/>
      <c r="C59" s="2"/>
      <c r="D59" s="2"/>
      <c r="E59" s="2"/>
      <c r="F59" s="2"/>
      <c r="G59" s="8"/>
      <c r="J59" s="6"/>
      <c r="L59" s="7"/>
      <c r="M59" s="2"/>
      <c r="N59" s="2"/>
      <c r="O59" s="2"/>
      <c r="P59" s="2"/>
      <c r="Q59" s="8"/>
      <c r="T59" s="6"/>
    </row>
    <row r="60" spans="2:20" x14ac:dyDescent="0.3">
      <c r="B60" s="178"/>
      <c r="C60" s="160" t="s">
        <v>341</v>
      </c>
      <c r="D60" s="160" t="s">
        <v>330</v>
      </c>
      <c r="E60" s="160" t="s">
        <v>342</v>
      </c>
      <c r="F60" s="160" t="s">
        <v>324</v>
      </c>
      <c r="G60" s="160" t="s">
        <v>343</v>
      </c>
      <c r="H60" s="160" t="s">
        <v>344</v>
      </c>
      <c r="I60" s="160" t="s">
        <v>345</v>
      </c>
      <c r="J60" s="179" t="s">
        <v>346</v>
      </c>
      <c r="L60" s="178"/>
      <c r="M60" s="160" t="s">
        <v>341</v>
      </c>
      <c r="N60" s="160" t="s">
        <v>330</v>
      </c>
      <c r="O60" s="160" t="s">
        <v>342</v>
      </c>
      <c r="P60" s="160" t="s">
        <v>324</v>
      </c>
      <c r="Q60" s="160" t="s">
        <v>343</v>
      </c>
      <c r="R60" s="160" t="s">
        <v>344</v>
      </c>
      <c r="S60" s="160" t="s">
        <v>345</v>
      </c>
      <c r="T60" s="179" t="s">
        <v>346</v>
      </c>
    </row>
    <row r="61" spans="2:20" x14ac:dyDescent="0.3">
      <c r="B61" s="5" t="s">
        <v>347</v>
      </c>
      <c r="C61">
        <v>1.826572486599218E-3</v>
      </c>
      <c r="D61">
        <v>2.0543673760950762E-3</v>
      </c>
      <c r="E61">
        <v>0.88911677037587666</v>
      </c>
      <c r="F61">
        <v>0.37476536595622212</v>
      </c>
      <c r="G61">
        <v>-2.218816990513588E-3</v>
      </c>
      <c r="H61">
        <v>5.8719619637120236E-3</v>
      </c>
      <c r="I61">
        <v>-2.218816990513588E-3</v>
      </c>
      <c r="J61" s="6">
        <v>5.8719619637120236E-3</v>
      </c>
      <c r="L61" s="5" t="s">
        <v>347</v>
      </c>
      <c r="M61">
        <v>1.5931937371065914E-3</v>
      </c>
      <c r="N61">
        <v>1.8994873225125183E-3</v>
      </c>
      <c r="O61">
        <v>0.83874933947925401</v>
      </c>
      <c r="P61">
        <v>0.40238342069376443</v>
      </c>
      <c r="Q61">
        <v>-2.1472112731244983E-3</v>
      </c>
      <c r="R61">
        <v>5.3335987473376806E-3</v>
      </c>
      <c r="S61">
        <v>-2.1472112731244983E-3</v>
      </c>
      <c r="T61" s="6">
        <v>5.3335987473376806E-3</v>
      </c>
    </row>
    <row r="62" spans="2:20" ht="15" thickBot="1" x14ac:dyDescent="0.35">
      <c r="B62" s="51" t="s">
        <v>318</v>
      </c>
      <c r="C62" s="39">
        <v>0.77952824850225644</v>
      </c>
      <c r="D62" s="2">
        <v>8.0707039485648224E-2</v>
      </c>
      <c r="E62" s="2">
        <v>9.658739231054021</v>
      </c>
      <c r="F62" s="39">
        <v>4.7580368838870375E-19</v>
      </c>
      <c r="G62" s="2">
        <v>0.62060272619146062</v>
      </c>
      <c r="H62" s="2">
        <v>0.93845377081305226</v>
      </c>
      <c r="I62" s="2">
        <v>0.62060272619146062</v>
      </c>
      <c r="J62" s="8">
        <v>0.93845377081305226</v>
      </c>
      <c r="L62" s="51" t="s">
        <v>318</v>
      </c>
      <c r="M62" s="39">
        <v>0.68277134016935126</v>
      </c>
      <c r="N62" s="2">
        <v>7.4622484821532331E-2</v>
      </c>
      <c r="O62" s="2">
        <v>9.1496730751096287</v>
      </c>
      <c r="P62" s="39">
        <v>1.7545284044085985E-17</v>
      </c>
      <c r="Q62" s="2">
        <v>0.53582731332891231</v>
      </c>
      <c r="R62" s="2">
        <v>0.82971536700979021</v>
      </c>
      <c r="S62" s="2">
        <v>0.53582731332891231</v>
      </c>
      <c r="T62" s="8">
        <v>0.82971536700979021</v>
      </c>
    </row>
    <row r="63" spans="2:20" x14ac:dyDescent="0.3">
      <c r="C63">
        <f>_xlfn.COVARIANCE.P('Historical Weekly Data'!G5:G265,'Historical Weekly Data'!C5:C265)/_xlfn.VAR.P('Historical Weekly Data'!C5:C265)</f>
        <v>0.77952824850225677</v>
      </c>
      <c r="M63">
        <f>_xlfn.COVARIANCE.P('Historical Weekly Data'!H5:H265,'Historical Weekly Data'!C5:C265)/_xlfn.VAR.P('Historical Weekly Data'!C5:C265)</f>
        <v>0.68277134016935148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O75"/>
  <sheetViews>
    <sheetView showGridLines="0" topLeftCell="A60" workbookViewId="0">
      <selection activeCell="C2" sqref="C2"/>
    </sheetView>
  </sheetViews>
  <sheetFormatPr defaultRowHeight="14.4" x14ac:dyDescent="0.3"/>
  <cols>
    <col min="2" max="2" width="39.6640625" bestFit="1" customWidth="1"/>
    <col min="3" max="3" width="21.33203125" bestFit="1" customWidth="1"/>
    <col min="4" max="4" width="10.88671875" bestFit="1" customWidth="1"/>
  </cols>
  <sheetData>
    <row r="2" spans="2:15" x14ac:dyDescent="0.3">
      <c r="B2" s="231" t="s">
        <v>319</v>
      </c>
    </row>
    <row r="3" spans="2:15" ht="15" thickBot="1" x14ac:dyDescent="0.35"/>
    <row r="4" spans="2:15" x14ac:dyDescent="0.3">
      <c r="B4" s="46" t="s">
        <v>352</v>
      </c>
      <c r="C4" s="191">
        <v>7.3499999999999996E-2</v>
      </c>
      <c r="D4" s="187" t="s">
        <v>353</v>
      </c>
    </row>
    <row r="5" spans="2:15" x14ac:dyDescent="0.3">
      <c r="B5" s="18" t="s">
        <v>354</v>
      </c>
      <c r="C5" s="63">
        <f>'TECH M Income Statement'!H49</f>
        <v>0.22184985908614943</v>
      </c>
    </row>
    <row r="6" spans="2:15" x14ac:dyDescent="0.3">
      <c r="B6" s="18" t="s">
        <v>355</v>
      </c>
      <c r="C6" s="41">
        <f>'Company Betas'!C6</f>
        <v>0.77792541014862204</v>
      </c>
    </row>
    <row r="7" spans="2:15" x14ac:dyDescent="0.3">
      <c r="B7" s="18" t="s">
        <v>356</v>
      </c>
      <c r="C7" s="41">
        <f>'TECH M Balance Sheet'!D10</f>
        <v>283947</v>
      </c>
    </row>
    <row r="8" spans="2:15" ht="15" thickBot="1" x14ac:dyDescent="0.35">
      <c r="B8" s="19" t="s">
        <v>269</v>
      </c>
      <c r="C8" s="64">
        <f>'TECH M Balance Sheet'!D17</f>
        <v>25870</v>
      </c>
    </row>
    <row r="11" spans="2:15" s="52" customFormat="1" ht="23.4" x14ac:dyDescent="0.45">
      <c r="B11" s="65" t="s">
        <v>357</v>
      </c>
    </row>
    <row r="12" spans="2:15" x14ac:dyDescent="0.3">
      <c r="K12" s="188"/>
    </row>
    <row r="13" spans="2:15" x14ac:dyDescent="0.3">
      <c r="B13" s="120" t="s">
        <v>358</v>
      </c>
      <c r="K13" s="189"/>
    </row>
    <row r="14" spans="2:15" ht="15" thickBot="1" x14ac:dyDescent="0.35">
      <c r="I14" s="2"/>
      <c r="J14" s="2"/>
    </row>
    <row r="15" spans="2:15" x14ac:dyDescent="0.3">
      <c r="B15" s="43" t="s">
        <v>297</v>
      </c>
      <c r="C15" s="214"/>
      <c r="D15" s="214" t="s">
        <v>359</v>
      </c>
      <c r="E15" s="214"/>
      <c r="F15" s="214" t="s">
        <v>360</v>
      </c>
      <c r="G15" s="214"/>
      <c r="H15" s="214" t="s">
        <v>361</v>
      </c>
      <c r="I15" s="214"/>
      <c r="J15" s="66" t="s">
        <v>322</v>
      </c>
    </row>
    <row r="16" spans="2:15" ht="15" thickBot="1" x14ac:dyDescent="0.35">
      <c r="B16" s="45"/>
      <c r="C16" s="67"/>
      <c r="D16" s="67"/>
      <c r="E16" s="67"/>
      <c r="F16" s="67"/>
      <c r="G16" s="67"/>
      <c r="H16" s="67"/>
      <c r="I16" s="2"/>
      <c r="J16" s="68"/>
      <c r="O16" s="108" t="s">
        <v>362</v>
      </c>
    </row>
    <row r="17" spans="2:15" x14ac:dyDescent="0.3">
      <c r="B17" s="44" t="s">
        <v>355</v>
      </c>
      <c r="C17" s="40"/>
      <c r="D17" s="40">
        <f>'Company Betas'!C7</f>
        <v>0.81817550000577854</v>
      </c>
      <c r="E17" s="40"/>
      <c r="F17" s="40">
        <f>'Company Betas'!C8</f>
        <v>0.85981060127042463</v>
      </c>
      <c r="G17" s="40"/>
      <c r="H17" s="40">
        <f>'Company Betas'!C9</f>
        <v>0.77952824850225644</v>
      </c>
      <c r="I17" s="40"/>
      <c r="J17" s="41">
        <f>'Company Betas'!C10</f>
        <v>0.68277134016935126</v>
      </c>
      <c r="O17" s="108" t="s">
        <v>363</v>
      </c>
    </row>
    <row r="18" spans="2:15" x14ac:dyDescent="0.3">
      <c r="B18" s="44" t="s">
        <v>356</v>
      </c>
      <c r="C18" s="40"/>
      <c r="D18" s="40">
        <v>627623</v>
      </c>
      <c r="E18" s="40"/>
      <c r="F18" s="40">
        <v>411040</v>
      </c>
      <c r="G18" s="40"/>
      <c r="H18" s="198">
        <v>677450</v>
      </c>
      <c r="I18" s="40"/>
      <c r="J18" s="186">
        <v>745380</v>
      </c>
      <c r="O18" s="108" t="s">
        <v>364</v>
      </c>
    </row>
    <row r="19" spans="2:15" x14ac:dyDescent="0.3">
      <c r="B19" s="44" t="s">
        <v>365</v>
      </c>
      <c r="C19" s="40"/>
      <c r="D19" s="40">
        <v>37205</v>
      </c>
      <c r="E19" s="40"/>
      <c r="F19" s="40">
        <v>15890</v>
      </c>
      <c r="G19" s="40"/>
      <c r="H19" s="198">
        <v>61500</v>
      </c>
      <c r="I19" s="40"/>
      <c r="J19" s="186">
        <v>59650</v>
      </c>
      <c r="O19" s="108" t="s">
        <v>366</v>
      </c>
    </row>
    <row r="20" spans="2:15" x14ac:dyDescent="0.3">
      <c r="B20" s="44" t="s">
        <v>367</v>
      </c>
      <c r="C20" s="40"/>
      <c r="D20" s="40">
        <f>D19/D18</f>
        <v>5.9279216982169231E-2</v>
      </c>
      <c r="E20" s="40"/>
      <c r="F20" s="40">
        <f>F19/F18</f>
        <v>3.8658038147138966E-2</v>
      </c>
      <c r="G20" s="40"/>
      <c r="H20" s="40">
        <f>H19/H18</f>
        <v>9.0781607498708394E-2</v>
      </c>
      <c r="I20" s="40"/>
      <c r="J20" s="41">
        <f t="shared" ref="J20" si="0">J19/J18</f>
        <v>8.0026295312458071E-2</v>
      </c>
    </row>
    <row r="21" spans="2:15" x14ac:dyDescent="0.3">
      <c r="B21" s="44" t="s">
        <v>368</v>
      </c>
      <c r="C21" s="40"/>
      <c r="D21" s="40">
        <f>1/(1+D20)</f>
        <v>0.94403815723766149</v>
      </c>
      <c r="E21" s="40"/>
      <c r="F21" s="40">
        <f>1/(1+F20)</f>
        <v>0.96278078373503861</v>
      </c>
      <c r="G21" s="40"/>
      <c r="H21" s="40">
        <f>1/(1+H20)</f>
        <v>0.91677380066310299</v>
      </c>
      <c r="I21" s="40"/>
      <c r="J21" s="41">
        <f t="shared" ref="J21" si="1">1/(1+J20)</f>
        <v>0.92590338248264048</v>
      </c>
    </row>
    <row r="22" spans="2:15" ht="15" thickBot="1" x14ac:dyDescent="0.35">
      <c r="B22" s="45" t="s">
        <v>369</v>
      </c>
      <c r="C22" s="39"/>
      <c r="D22" s="39">
        <f>D17/(1+(1-C5)*D20)</f>
        <v>0.78209874653326428</v>
      </c>
      <c r="E22" s="39"/>
      <c r="F22" s="39">
        <f>F17/(1+(1-C5)*F20)</f>
        <v>0.83470131835005978</v>
      </c>
      <c r="G22" s="39"/>
      <c r="H22" s="39">
        <f>H17/(1+(1-C5)*H20)</f>
        <v>0.72809440679768123</v>
      </c>
      <c r="I22" s="39"/>
      <c r="J22" s="213">
        <f t="shared" ref="J22" si="2">J17/(1+(1-E5)*J20)</f>
        <v>0.63218029332500791</v>
      </c>
    </row>
    <row r="24" spans="2:15" x14ac:dyDescent="0.3">
      <c r="B24" s="113" t="s">
        <v>370</v>
      </c>
      <c r="C24" s="113">
        <f>AVERAGE(D22,F22,H22,J22)</f>
        <v>0.7442686912515033</v>
      </c>
    </row>
    <row r="27" spans="2:15" ht="18" x14ac:dyDescent="0.35">
      <c r="B27" s="23" t="s">
        <v>442</v>
      </c>
    </row>
    <row r="29" spans="2:15" x14ac:dyDescent="0.3">
      <c r="B29" s="113" t="s">
        <v>371</v>
      </c>
      <c r="C29" s="113">
        <f>C8/C7</f>
        <v>9.1108551948074823E-2</v>
      </c>
    </row>
    <row r="30" spans="2:15" x14ac:dyDescent="0.3">
      <c r="B30" s="113" t="s">
        <v>372</v>
      </c>
      <c r="C30" s="113">
        <f>((1+(1-C5)*C29))*C24</f>
        <v>0.79703446302949876</v>
      </c>
    </row>
    <row r="33" spans="2:3" s="52" customFormat="1" ht="23.4" x14ac:dyDescent="0.45">
      <c r="B33" s="65" t="s">
        <v>373</v>
      </c>
    </row>
    <row r="34" spans="2:3" ht="15" thickBot="1" x14ac:dyDescent="0.35"/>
    <row r="35" spans="2:3" x14ac:dyDescent="0.3">
      <c r="B35" s="9" t="s">
        <v>374</v>
      </c>
      <c r="C35" s="184">
        <v>0.1135</v>
      </c>
    </row>
    <row r="36" spans="2:3" x14ac:dyDescent="0.3">
      <c r="B36" s="10" t="s">
        <v>375</v>
      </c>
      <c r="C36" s="69">
        <v>7.3499999999999996E-2</v>
      </c>
    </row>
    <row r="37" spans="2:3" ht="15" thickBot="1" x14ac:dyDescent="0.35">
      <c r="B37" s="10" t="s">
        <v>376</v>
      </c>
      <c r="C37" s="69">
        <f>C35-C36</f>
        <v>4.0000000000000008E-2</v>
      </c>
    </row>
    <row r="38" spans="2:3" ht="16.2" thickBot="1" x14ac:dyDescent="0.35">
      <c r="B38" s="74" t="s">
        <v>377</v>
      </c>
      <c r="C38" s="114">
        <f>C36+C37*C30</f>
        <v>0.10538137852117996</v>
      </c>
    </row>
    <row r="41" spans="2:3" ht="18" x14ac:dyDescent="0.35">
      <c r="B41" s="23" t="s">
        <v>378</v>
      </c>
    </row>
    <row r="42" spans="2:3" ht="15" thickBot="1" x14ac:dyDescent="0.35"/>
    <row r="43" spans="2:3" x14ac:dyDescent="0.3">
      <c r="B43" s="9" t="s">
        <v>379</v>
      </c>
      <c r="C43" s="24">
        <f>'TECH M Income Statement'!D23/'TECH M Income Statement'!D25</f>
        <v>39.639069264069263</v>
      </c>
    </row>
    <row r="44" spans="2:3" x14ac:dyDescent="0.3">
      <c r="B44" s="10" t="s">
        <v>380</v>
      </c>
      <c r="C44" s="185">
        <v>7.4999999999999997E-3</v>
      </c>
    </row>
    <row r="45" spans="2:3" ht="15" thickBot="1" x14ac:dyDescent="0.35">
      <c r="B45" s="10" t="s">
        <v>381</v>
      </c>
      <c r="C45" s="69">
        <f>C36</f>
        <v>7.3499999999999996E-2</v>
      </c>
    </row>
    <row r="46" spans="2:3" ht="16.2" thickBot="1" x14ac:dyDescent="0.35">
      <c r="B46" s="74" t="s">
        <v>382</v>
      </c>
      <c r="C46" s="115">
        <f>C44+C45</f>
        <v>8.0999999999999989E-2</v>
      </c>
    </row>
    <row r="47" spans="2:3" x14ac:dyDescent="0.3">
      <c r="C47" s="1"/>
    </row>
    <row r="49" spans="2:4" ht="18" x14ac:dyDescent="0.35">
      <c r="B49" s="23" t="s">
        <v>383</v>
      </c>
    </row>
    <row r="50" spans="2:4" ht="15" thickBot="1" x14ac:dyDescent="0.35"/>
    <row r="51" spans="2:4" x14ac:dyDescent="0.3">
      <c r="B51" s="9" t="s">
        <v>384</v>
      </c>
      <c r="C51" s="24">
        <v>1101.8499999999999</v>
      </c>
      <c r="D51" t="s">
        <v>353</v>
      </c>
    </row>
    <row r="52" spans="2:4" ht="15" thickBot="1" x14ac:dyDescent="0.35">
      <c r="B52" s="10" t="s">
        <v>385</v>
      </c>
      <c r="C52" s="70">
        <f>'TECH M Balance Sheet'!Z88*10^6</f>
        <v>879911800</v>
      </c>
    </row>
    <row r="53" spans="2:4" ht="16.2" thickBot="1" x14ac:dyDescent="0.35">
      <c r="B53" s="74" t="s">
        <v>386</v>
      </c>
      <c r="C53" s="116">
        <f>C52*C51/10000000</f>
        <v>96953.081682999982</v>
      </c>
    </row>
    <row r="56" spans="2:4" ht="18" x14ac:dyDescent="0.35">
      <c r="B56" s="23" t="s">
        <v>387</v>
      </c>
    </row>
    <row r="57" spans="2:4" ht="15" thickBot="1" x14ac:dyDescent="0.35"/>
    <row r="58" spans="2:4" x14ac:dyDescent="0.3">
      <c r="B58" s="3" t="s">
        <v>388</v>
      </c>
      <c r="C58" s="62">
        <f>'TECH M Balance Sheet'!D13</f>
        <v>9191</v>
      </c>
    </row>
    <row r="59" spans="2:4" x14ac:dyDescent="0.3">
      <c r="B59" s="5" t="s">
        <v>389</v>
      </c>
      <c r="C59" s="59">
        <v>5</v>
      </c>
    </row>
    <row r="60" spans="2:4" x14ac:dyDescent="0.3">
      <c r="B60" s="5" t="s">
        <v>121</v>
      </c>
      <c r="C60" s="59">
        <f>'TECH M Income Statement'!D25</f>
        <v>1848</v>
      </c>
    </row>
    <row r="61" spans="2:4" x14ac:dyDescent="0.3">
      <c r="B61" s="5" t="s">
        <v>390</v>
      </c>
      <c r="C61" s="72">
        <f>C46</f>
        <v>8.0999999999999989E-2</v>
      </c>
    </row>
    <row r="62" spans="2:4" ht="15" thickBot="1" x14ac:dyDescent="0.35">
      <c r="B62" s="5"/>
      <c r="C62" s="59"/>
    </row>
    <row r="63" spans="2:4" ht="16.2" thickBot="1" x14ac:dyDescent="0.35">
      <c r="B63" s="73" t="s">
        <v>391</v>
      </c>
      <c r="C63" s="116">
        <f>C60/C61*((1-(1/(1+C61)^C59)))+(C58/(1+C61)^C59)</f>
        <v>13585.482960510886</v>
      </c>
    </row>
    <row r="66" spans="2:3" ht="18" x14ac:dyDescent="0.35">
      <c r="B66" s="23" t="s">
        <v>392</v>
      </c>
    </row>
    <row r="67" spans="2:3" ht="15" thickBot="1" x14ac:dyDescent="0.35"/>
    <row r="68" spans="2:3" x14ac:dyDescent="0.3">
      <c r="B68" s="3" t="s">
        <v>393</v>
      </c>
      <c r="C68" s="62">
        <f>C53+C63</f>
        <v>110538.56464351086</v>
      </c>
    </row>
    <row r="69" spans="2:3" x14ac:dyDescent="0.3">
      <c r="B69" s="5" t="s">
        <v>394</v>
      </c>
      <c r="C69" s="59">
        <f>C63/C68</f>
        <v>0.12290265396809111</v>
      </c>
    </row>
    <row r="70" spans="2:3" x14ac:dyDescent="0.3">
      <c r="B70" s="5" t="s">
        <v>395</v>
      </c>
      <c r="C70" s="59">
        <f>C53/C68</f>
        <v>0.87709734603190892</v>
      </c>
    </row>
    <row r="71" spans="2:3" x14ac:dyDescent="0.3">
      <c r="B71" s="5" t="s">
        <v>396</v>
      </c>
      <c r="C71" s="72">
        <f>C5</f>
        <v>0.22184985908614943</v>
      </c>
    </row>
    <row r="72" spans="2:3" ht="15" thickBot="1" x14ac:dyDescent="0.35">
      <c r="B72" s="5"/>
      <c r="C72" s="59"/>
    </row>
    <row r="73" spans="2:3" ht="16.2" thickBot="1" x14ac:dyDescent="0.35">
      <c r="B73" s="73" t="s">
        <v>397</v>
      </c>
      <c r="C73" s="117">
        <f>(C38*C70)+(C61*(1-C71)*C69)</f>
        <v>0.1001763015399314</v>
      </c>
    </row>
    <row r="75" spans="2:3" s="52" customFormat="1" x14ac:dyDescent="0.3"/>
  </sheetData>
  <hyperlinks>
    <hyperlink ref="O16" r:id="rId1" xr:uid="{64D41019-1F5A-4AE3-912A-8F85169D5750}"/>
    <hyperlink ref="O17" r:id="rId2" xr:uid="{A96BF8A9-4723-4887-A6C3-E054BD8C54B3}"/>
    <hyperlink ref="O18" r:id="rId3" xr:uid="{4E516088-EB4B-4415-AF34-270E35716EE6}"/>
    <hyperlink ref="O19" r:id="rId4" xr:uid="{048E0476-ECE7-40AA-B5D9-A8AE92C91760}"/>
  </hyperlinks>
  <pageMargins left="0.7" right="0.7" top="0.75" bottom="0.75" header="0.3" footer="0.3"/>
  <pageSetup paperSize="9" orientation="portrait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49"/>
  <sheetViews>
    <sheetView showGridLines="0" topLeftCell="A12" workbookViewId="0">
      <selection activeCell="H28" sqref="H28"/>
    </sheetView>
  </sheetViews>
  <sheetFormatPr defaultRowHeight="14.4" x14ac:dyDescent="0.3"/>
  <cols>
    <col min="2" max="2" width="35.33203125" customWidth="1"/>
    <col min="3" max="3" width="20.33203125" bestFit="1" customWidth="1"/>
    <col min="4" max="4" width="13.5546875" customWidth="1"/>
    <col min="7" max="7" width="12.44140625" customWidth="1"/>
    <col min="8" max="8" width="12.88671875" customWidth="1"/>
    <col min="9" max="9" width="17.6640625" customWidth="1"/>
    <col min="12" max="12" width="20.88671875" bestFit="1" customWidth="1"/>
    <col min="17" max="17" width="14.88671875" customWidth="1"/>
  </cols>
  <sheetData>
    <row r="2" spans="2:6" ht="15" thickBot="1" x14ac:dyDescent="0.35"/>
    <row r="3" spans="2:6" x14ac:dyDescent="0.3">
      <c r="B3" s="38" t="s">
        <v>398</v>
      </c>
      <c r="C3" s="193"/>
      <c r="D3" s="197" t="s">
        <v>25</v>
      </c>
      <c r="E3" s="197" t="s">
        <v>26</v>
      </c>
      <c r="F3" s="196" t="s">
        <v>27</v>
      </c>
    </row>
    <row r="4" spans="2:6" ht="15" thickBot="1" x14ac:dyDescent="0.35">
      <c r="B4" s="17"/>
      <c r="C4" s="57"/>
      <c r="D4" s="85"/>
      <c r="E4" s="85"/>
      <c r="F4" s="58"/>
    </row>
    <row r="5" spans="2:6" x14ac:dyDescent="0.3">
      <c r="B5" s="16" t="s">
        <v>298</v>
      </c>
      <c r="C5" s="55"/>
      <c r="D5" s="84">
        <f>'TECH M Income Statement'!D38</f>
        <v>62350</v>
      </c>
      <c r="E5" s="84">
        <f>'TECH M Income Statement'!E38</f>
        <v>73374</v>
      </c>
      <c r="F5" s="56">
        <f>'TECH M Income Statement'!F38</f>
        <v>62066.999999999985</v>
      </c>
    </row>
    <row r="6" spans="2:6" x14ac:dyDescent="0.3">
      <c r="B6" s="16" t="s">
        <v>159</v>
      </c>
      <c r="C6" s="55"/>
      <c r="D6" s="84">
        <f>'TECH M Balance Sheet'!D50</f>
        <v>381510</v>
      </c>
      <c r="E6" s="84">
        <f>'TECH M Balance Sheet'!E50</f>
        <v>375834</v>
      </c>
      <c r="F6" s="56">
        <f>'TECH M Balance Sheet'!F50</f>
        <v>352040</v>
      </c>
    </row>
    <row r="7" spans="2:6" x14ac:dyDescent="0.3">
      <c r="B7" s="16" t="s">
        <v>399</v>
      </c>
      <c r="C7" s="55"/>
      <c r="D7" s="84">
        <f>'TECH M Balance Sheet'!D10</f>
        <v>283947</v>
      </c>
      <c r="E7" s="84">
        <f>'TECH M Balance Sheet'!E10</f>
        <v>273811</v>
      </c>
      <c r="F7" s="56">
        <f>'TECH M Balance Sheet'!F10</f>
        <v>252445</v>
      </c>
    </row>
    <row r="8" spans="2:6" x14ac:dyDescent="0.3">
      <c r="B8" s="16" t="s">
        <v>400</v>
      </c>
      <c r="C8" s="55"/>
      <c r="D8" s="195">
        <f>'TECH M Balance Sheet'!Z88*10</f>
        <v>8799.1180000000004</v>
      </c>
      <c r="E8" s="195">
        <f>'TECH M Balance Sheet'!Y88*10</f>
        <v>8775.9789999999994</v>
      </c>
      <c r="F8" s="194">
        <f>'TECH M Balance Sheet'!X88*10</f>
        <v>8739.5939999999991</v>
      </c>
    </row>
    <row r="9" spans="2:6" x14ac:dyDescent="0.3">
      <c r="B9" s="16" t="s">
        <v>401</v>
      </c>
      <c r="C9" s="55"/>
      <c r="D9" s="84">
        <f>D8/D5</f>
        <v>0.14112458700882119</v>
      </c>
      <c r="E9" s="84">
        <f t="shared" ref="E9:F9" si="0">E8/E5</f>
        <v>0.11960611388230162</v>
      </c>
      <c r="F9" s="56">
        <f t="shared" si="0"/>
        <v>0.14080902895258351</v>
      </c>
    </row>
    <row r="10" spans="2:6" x14ac:dyDescent="0.3">
      <c r="B10" s="16" t="s">
        <v>402</v>
      </c>
      <c r="C10" s="55"/>
      <c r="D10" s="84">
        <f>1-D9</f>
        <v>0.85887541299117887</v>
      </c>
      <c r="E10" s="84">
        <f t="shared" ref="E10:F10" si="1">1-E9</f>
        <v>0.88039388611769842</v>
      </c>
      <c r="F10" s="56">
        <f t="shared" si="1"/>
        <v>0.85919097104741649</v>
      </c>
    </row>
    <row r="11" spans="2:6" x14ac:dyDescent="0.3">
      <c r="B11" s="16" t="s">
        <v>403</v>
      </c>
      <c r="C11" s="55"/>
      <c r="D11" s="84">
        <f>D5/D6</f>
        <v>0.16342953002542529</v>
      </c>
      <c r="E11" s="84">
        <f t="shared" ref="E11:F11" si="2">E5/E6</f>
        <v>0.19522980890499528</v>
      </c>
      <c r="F11" s="56">
        <f t="shared" si="2"/>
        <v>0.17630666969662534</v>
      </c>
    </row>
    <row r="12" spans="2:6" ht="15" thickBot="1" x14ac:dyDescent="0.35">
      <c r="B12" s="17" t="s">
        <v>404</v>
      </c>
      <c r="C12" s="57"/>
      <c r="D12" s="85">
        <f>D5/D7</f>
        <v>0.21958323208204347</v>
      </c>
      <c r="E12" s="85">
        <f t="shared" ref="E12:F12" si="3">E5/E7</f>
        <v>0.26797316397076815</v>
      </c>
      <c r="F12" s="58">
        <f t="shared" si="3"/>
        <v>0.245863455406128</v>
      </c>
    </row>
    <row r="15" spans="2:6" s="52" customFormat="1" ht="18" x14ac:dyDescent="0.35">
      <c r="B15" s="53" t="s">
        <v>405</v>
      </c>
    </row>
    <row r="16" spans="2:6" ht="15" thickBot="1" x14ac:dyDescent="0.35"/>
    <row r="17" spans="2:3" x14ac:dyDescent="0.3">
      <c r="B17" s="46" t="s">
        <v>403</v>
      </c>
      <c r="C17" s="192">
        <f>AVERAGE(D11:F11)</f>
        <v>0.17832200287568198</v>
      </c>
    </row>
    <row r="18" spans="2:3" x14ac:dyDescent="0.3">
      <c r="B18" s="18" t="s">
        <v>406</v>
      </c>
      <c r="C18" s="201">
        <f>AVERAGE(D10:F10)</f>
        <v>0.86615342338543133</v>
      </c>
    </row>
    <row r="19" spans="2:3" x14ac:dyDescent="0.3">
      <c r="B19" s="18" t="s">
        <v>407</v>
      </c>
      <c r="C19" s="201">
        <f>C17*C18</f>
        <v>0.15445421325571868</v>
      </c>
    </row>
    <row r="20" spans="2:3" x14ac:dyDescent="0.3">
      <c r="B20" s="18" t="s">
        <v>397</v>
      </c>
      <c r="C20" s="201">
        <f>'1.2'!C73</f>
        <v>0.1001763015399314</v>
      </c>
    </row>
    <row r="21" spans="2:3" x14ac:dyDescent="0.3">
      <c r="B21" s="18" t="s">
        <v>408</v>
      </c>
      <c r="C21" s="56">
        <f>'FCFF and FCFE'!D13</f>
        <v>82801.660310944164</v>
      </c>
    </row>
    <row r="22" spans="2:3" x14ac:dyDescent="0.3">
      <c r="B22" s="18"/>
      <c r="C22" s="56"/>
    </row>
    <row r="23" spans="2:3" x14ac:dyDescent="0.3">
      <c r="B23" s="18" t="s">
        <v>409</v>
      </c>
      <c r="C23" s="56">
        <f>C21*((1+C19)/(C20-C19))</f>
        <v>-1761134.9182163689</v>
      </c>
    </row>
    <row r="24" spans="2:3" ht="15" thickBot="1" x14ac:dyDescent="0.35">
      <c r="B24" s="19" t="s">
        <v>410</v>
      </c>
      <c r="C24" s="58">
        <f>C23/(1+C20)^5</f>
        <v>-1092650.3248959663</v>
      </c>
    </row>
    <row r="27" spans="2:3" s="52" customFormat="1" ht="18" x14ac:dyDescent="0.35">
      <c r="B27" s="53" t="s">
        <v>411</v>
      </c>
    </row>
    <row r="28" spans="2:3" ht="15" thickBot="1" x14ac:dyDescent="0.35"/>
    <row r="29" spans="2:3" x14ac:dyDescent="0.3">
      <c r="B29" s="232" t="s">
        <v>404</v>
      </c>
      <c r="C29" s="192">
        <f>AVERAGE(D12:F12)</f>
        <v>0.24447328381964653</v>
      </c>
    </row>
    <row r="30" spans="2:3" x14ac:dyDescent="0.3">
      <c r="B30" s="233" t="s">
        <v>406</v>
      </c>
      <c r="C30" s="201">
        <f>C18</f>
        <v>0.86615342338543133</v>
      </c>
    </row>
    <row r="31" spans="2:3" x14ac:dyDescent="0.3">
      <c r="B31" s="233" t="s">
        <v>407</v>
      </c>
      <c r="C31" s="200">
        <f>C29*C30</f>
        <v>0.21175137170666503</v>
      </c>
    </row>
    <row r="32" spans="2:3" x14ac:dyDescent="0.3">
      <c r="B32" s="233" t="s">
        <v>397</v>
      </c>
      <c r="C32" s="201">
        <f>C20</f>
        <v>0.1001763015399314</v>
      </c>
    </row>
    <row r="33" spans="2:9" ht="15" thickBot="1" x14ac:dyDescent="0.35">
      <c r="B33" s="234" t="s">
        <v>412</v>
      </c>
      <c r="C33" s="58">
        <f>'FCFF and FCFE'!D26</f>
        <v>111113.88313649638</v>
      </c>
    </row>
    <row r="34" spans="2:9" ht="15.6" x14ac:dyDescent="0.3">
      <c r="B34" s="42" t="s">
        <v>413</v>
      </c>
    </row>
    <row r="35" spans="2:9" ht="15" thickBot="1" x14ac:dyDescent="0.35"/>
    <row r="36" spans="2:9" x14ac:dyDescent="0.3">
      <c r="B36" s="235" t="s">
        <v>414</v>
      </c>
      <c r="C36" s="196">
        <f>C33*((1+C31)/(C32-C31))</f>
        <v>-1206742.6899673825</v>
      </c>
    </row>
    <row r="37" spans="2:9" ht="15" thickBot="1" x14ac:dyDescent="0.35">
      <c r="B37" s="236" t="s">
        <v>410</v>
      </c>
      <c r="C37" s="58">
        <f>C36/(1+C32)^5</f>
        <v>-748692.0954324631</v>
      </c>
    </row>
    <row r="39" spans="2:9" s="52" customFormat="1" ht="21" x14ac:dyDescent="0.4">
      <c r="F39" s="54" t="s">
        <v>415</v>
      </c>
    </row>
    <row r="40" spans="2:9" ht="15" thickBot="1" x14ac:dyDescent="0.35"/>
    <row r="41" spans="2:9" ht="15" thickBot="1" x14ac:dyDescent="0.35">
      <c r="C41" s="12"/>
      <c r="D41" s="246">
        <v>2023</v>
      </c>
      <c r="E41" s="246">
        <v>2024</v>
      </c>
      <c r="F41" s="246">
        <v>2025</v>
      </c>
      <c r="G41" s="246">
        <v>2026</v>
      </c>
      <c r="H41" s="246">
        <v>2027</v>
      </c>
      <c r="I41" s="247" t="s">
        <v>416</v>
      </c>
    </row>
    <row r="42" spans="2:9" x14ac:dyDescent="0.3">
      <c r="C42" s="243" t="s">
        <v>302</v>
      </c>
      <c r="D42" s="62">
        <f>'FCFF and FCFE'!H13</f>
        <v>1685.4032714295608</v>
      </c>
      <c r="E42" s="62">
        <f>'FCFF and FCFE'!G13</f>
        <v>49571.402788464467</v>
      </c>
      <c r="F42" s="62">
        <f>'FCFF and FCFE'!F13</f>
        <v>58816.677458411708</v>
      </c>
      <c r="G42" s="62">
        <f>'FCFF and FCFE'!E13</f>
        <v>69786.23465648343</v>
      </c>
      <c r="H42" s="62">
        <f>'FCFF and FCFE'!D13</f>
        <v>82801.660310944164</v>
      </c>
      <c r="I42" s="24">
        <f>C24</f>
        <v>-1092650.3248959663</v>
      </c>
    </row>
    <row r="43" spans="2:9" ht="15" thickBot="1" x14ac:dyDescent="0.35">
      <c r="C43" s="244"/>
      <c r="D43" s="60"/>
      <c r="E43" s="60"/>
      <c r="F43" s="60"/>
      <c r="G43" s="60"/>
      <c r="H43" s="60"/>
      <c r="I43" s="26"/>
    </row>
    <row r="44" spans="2:9" ht="15" thickBot="1" x14ac:dyDescent="0.35">
      <c r="C44" s="245" t="s">
        <v>417</v>
      </c>
      <c r="D44" s="31">
        <f>NPV(C20,D42:H42)+I42</f>
        <v>-906988.28675617999</v>
      </c>
      <c r="E44" s="60"/>
      <c r="F44" s="60"/>
      <c r="G44" s="60"/>
      <c r="H44" s="60"/>
      <c r="I44" s="26"/>
    </row>
    <row r="45" spans="2:9" ht="15" thickBot="1" x14ac:dyDescent="0.35"/>
    <row r="46" spans="2:9" ht="15" thickBot="1" x14ac:dyDescent="0.35">
      <c r="C46" s="12"/>
      <c r="D46" s="246">
        <v>2023</v>
      </c>
      <c r="E46" s="246">
        <v>2024</v>
      </c>
      <c r="F46" s="246">
        <v>2025</v>
      </c>
      <c r="G46" s="246">
        <v>2026</v>
      </c>
      <c r="H46" s="246">
        <v>2027</v>
      </c>
      <c r="I46" s="247" t="s">
        <v>416</v>
      </c>
    </row>
    <row r="47" spans="2:9" x14ac:dyDescent="0.3">
      <c r="C47" s="243" t="s">
        <v>305</v>
      </c>
      <c r="D47" s="62">
        <f>'FCFF and FCFE'!H26</f>
        <v>30051.146814145381</v>
      </c>
      <c r="E47" s="62">
        <f>'FCFF and FCFE'!G26</f>
        <v>77883.625614016695</v>
      </c>
      <c r="F47" s="62">
        <f>'FCFF and FCFE'!F26</f>
        <v>87128.900283963929</v>
      </c>
      <c r="G47" s="62">
        <f>'FCFF and FCFE'!E26</f>
        <v>98098.45748203565</v>
      </c>
      <c r="H47" s="62">
        <f>'FCFF and FCFE'!D26</f>
        <v>111113.88313649638</v>
      </c>
      <c r="I47" s="24">
        <f>C37</f>
        <v>-748692.0954324631</v>
      </c>
    </row>
    <row r="48" spans="2:9" ht="15" thickBot="1" x14ac:dyDescent="0.35">
      <c r="C48" s="244"/>
      <c r="D48" s="60"/>
      <c r="E48" s="60"/>
      <c r="F48" s="60"/>
      <c r="G48" s="60"/>
      <c r="H48" s="60"/>
      <c r="I48" s="26"/>
    </row>
    <row r="49" spans="3:9" ht="15" thickBot="1" x14ac:dyDescent="0.35">
      <c r="C49" s="245" t="s">
        <v>417</v>
      </c>
      <c r="D49" s="31">
        <f>NPV(C20,D47:H47)+I47</f>
        <v>-455704.13114301214</v>
      </c>
      <c r="E49" s="60"/>
      <c r="F49" s="60"/>
      <c r="G49" s="60"/>
      <c r="H49" s="60"/>
      <c r="I49" s="2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2"/>
  <sheetViews>
    <sheetView showGridLines="0" zoomScale="77" workbookViewId="0">
      <selection activeCell="I16" sqref="I16"/>
    </sheetView>
  </sheetViews>
  <sheetFormatPr defaultRowHeight="14.4" x14ac:dyDescent="0.3"/>
  <cols>
    <col min="1" max="1" width="48.44140625" customWidth="1"/>
    <col min="2" max="2" width="41" customWidth="1"/>
    <col min="3" max="3" width="12" customWidth="1"/>
    <col min="4" max="4" width="13.109375" customWidth="1"/>
    <col min="5" max="5" width="14.5546875" customWidth="1"/>
    <col min="6" max="6" width="11.6640625" customWidth="1"/>
    <col min="7" max="7" width="13.21875" customWidth="1"/>
    <col min="9" max="9" width="14" customWidth="1"/>
    <col min="10" max="10" width="13.77734375" customWidth="1"/>
    <col min="13" max="13" width="14.5546875" customWidth="1"/>
  </cols>
  <sheetData>
    <row r="1" spans="1:14" ht="26.4" thickBot="1" x14ac:dyDescent="0.55000000000000004">
      <c r="A1" s="263" t="s">
        <v>418</v>
      </c>
      <c r="D1" s="260" t="s">
        <v>432</v>
      </c>
      <c r="E1" s="261"/>
      <c r="F1" s="261"/>
      <c r="G1" s="261"/>
      <c r="H1" s="262"/>
    </row>
    <row r="3" spans="1:14" ht="15" thickBot="1" x14ac:dyDescent="0.35"/>
    <row r="4" spans="1:14" ht="15" thickBot="1" x14ac:dyDescent="0.35">
      <c r="B4" s="199" t="s">
        <v>429</v>
      </c>
      <c r="C4" s="210"/>
      <c r="D4" s="204" t="s">
        <v>320</v>
      </c>
      <c r="E4" s="203"/>
      <c r="F4" s="202"/>
      <c r="G4" s="204" t="s">
        <v>328</v>
      </c>
      <c r="H4" s="203"/>
      <c r="I4" s="204"/>
      <c r="J4" s="204" t="s">
        <v>310</v>
      </c>
      <c r="K4" s="203"/>
      <c r="L4" s="204"/>
      <c r="M4" s="204" t="s">
        <v>322</v>
      </c>
      <c r="N4" s="20"/>
    </row>
    <row r="5" spans="1:14" x14ac:dyDescent="0.3">
      <c r="B5" s="209" t="s">
        <v>430</v>
      </c>
      <c r="C5" s="5"/>
      <c r="D5" s="208">
        <v>5482733329</v>
      </c>
      <c r="E5" s="6"/>
      <c r="F5" s="5"/>
      <c r="G5" s="208">
        <v>2708045977</v>
      </c>
      <c r="H5" s="6"/>
      <c r="J5" s="208">
        <v>4258823529</v>
      </c>
      <c r="K5" s="6"/>
      <c r="M5" s="208">
        <v>3659616656</v>
      </c>
      <c r="N5" s="6"/>
    </row>
    <row r="6" spans="1:14" x14ac:dyDescent="0.3">
      <c r="B6" s="209" t="s">
        <v>431</v>
      </c>
      <c r="C6" s="5"/>
      <c r="D6" s="211">
        <f>'Historical Weekly Data'!AD265</f>
        <v>361.25</v>
      </c>
      <c r="E6" s="6"/>
      <c r="F6" s="5"/>
      <c r="G6" s="211">
        <f>'Historical Weekly Data'!AK265</f>
        <v>1051.5</v>
      </c>
      <c r="H6" s="6"/>
      <c r="J6" s="211">
        <f>'Historical Weekly Data'!AR265</f>
        <v>1388.95</v>
      </c>
      <c r="K6" s="6"/>
      <c r="M6" s="211">
        <f>'Historical Weekly Data'!AY265</f>
        <v>3122.3</v>
      </c>
      <c r="N6" s="6"/>
    </row>
    <row r="7" spans="1:14" x14ac:dyDescent="0.3">
      <c r="B7" s="209" t="s">
        <v>419</v>
      </c>
      <c r="C7" s="5"/>
      <c r="D7" s="207">
        <f>D5*D6/(10^9)</f>
        <v>1980.6374151012501</v>
      </c>
      <c r="E7" s="6"/>
      <c r="F7" s="5"/>
      <c r="G7" s="207">
        <f>G5*G6/(10^9)</f>
        <v>2847.5103448155</v>
      </c>
      <c r="H7" s="6"/>
      <c r="J7" s="207">
        <f>J5*J6/(10^9)</f>
        <v>5915.2929406045496</v>
      </c>
      <c r="K7" s="6"/>
      <c r="M7" s="207">
        <f>M5*M6/(10^9)</f>
        <v>11426.4210850288</v>
      </c>
      <c r="N7" s="6"/>
    </row>
    <row r="8" spans="1:14" x14ac:dyDescent="0.3">
      <c r="B8" s="209" t="s">
        <v>420</v>
      </c>
      <c r="C8" s="5"/>
      <c r="D8" s="212">
        <v>26.46</v>
      </c>
      <c r="E8" s="6"/>
      <c r="F8" s="5"/>
      <c r="G8" s="212">
        <v>38.32</v>
      </c>
      <c r="H8" s="6"/>
      <c r="J8" s="212">
        <v>62.12</v>
      </c>
      <c r="K8" s="6"/>
      <c r="M8" s="212">
        <v>113.42</v>
      </c>
      <c r="N8" s="6"/>
    </row>
    <row r="9" spans="1:14" ht="15" thickBot="1" x14ac:dyDescent="0.35">
      <c r="B9" s="206" t="s">
        <v>421</v>
      </c>
      <c r="C9" s="7"/>
      <c r="D9" s="205">
        <f>D7/D8</f>
        <v>74.854021734741124</v>
      </c>
      <c r="E9" s="8"/>
      <c r="F9" s="7"/>
      <c r="G9" s="205">
        <f>G7/G8</f>
        <v>74.308725073473383</v>
      </c>
      <c r="H9" s="8"/>
      <c r="I9" s="2"/>
      <c r="J9" s="205">
        <f>J7/J8</f>
        <v>95.223646822352705</v>
      </c>
      <c r="K9" s="8"/>
      <c r="L9" s="2"/>
      <c r="M9" s="205">
        <f>M7/M8</f>
        <v>100.74432273874801</v>
      </c>
      <c r="N9" s="8"/>
    </row>
    <row r="12" spans="1:14" x14ac:dyDescent="0.3">
      <c r="A12" s="239" t="s">
        <v>422</v>
      </c>
      <c r="B12" s="240">
        <f>AVERAGE(D9,G9,J9)</f>
        <v>81.462131210189071</v>
      </c>
    </row>
    <row r="14" spans="1:14" ht="21" x14ac:dyDescent="0.4">
      <c r="C14" s="264"/>
      <c r="D14" s="265" t="s">
        <v>433</v>
      </c>
      <c r="E14" s="266"/>
      <c r="F14" s="261"/>
      <c r="G14" s="262"/>
    </row>
    <row r="15" spans="1:14" ht="15" thickBot="1" x14ac:dyDescent="0.35"/>
    <row r="16" spans="1:14" ht="15" thickBot="1" x14ac:dyDescent="0.35">
      <c r="A16" s="13"/>
      <c r="B16" s="14"/>
      <c r="C16" s="241" t="s">
        <v>319</v>
      </c>
      <c r="D16" s="20"/>
    </row>
    <row r="17" spans="1:10" x14ac:dyDescent="0.3">
      <c r="A17" s="22" t="s">
        <v>440</v>
      </c>
      <c r="B17" s="5"/>
      <c r="C17" s="242">
        <f>'TECH M Balance Sheet'!Z88*10^6</f>
        <v>879911800</v>
      </c>
      <c r="D17" s="6"/>
    </row>
    <row r="18" spans="1:10" x14ac:dyDescent="0.3">
      <c r="A18" s="22" t="s">
        <v>441</v>
      </c>
      <c r="B18" s="5"/>
      <c r="C18" s="242">
        <f>'Historical Weekly Data'!W265</f>
        <v>1103</v>
      </c>
      <c r="D18" s="6"/>
    </row>
    <row r="19" spans="1:10" x14ac:dyDescent="0.3">
      <c r="A19" s="22" t="s">
        <v>419</v>
      </c>
      <c r="B19" s="5"/>
      <c r="C19" s="242">
        <f>C17*C18/(10^9)</f>
        <v>970.54271540000002</v>
      </c>
      <c r="D19" s="6"/>
    </row>
    <row r="20" spans="1:10" x14ac:dyDescent="0.3">
      <c r="A20" s="22" t="s">
        <v>420</v>
      </c>
      <c r="B20" s="5"/>
      <c r="C20" s="242">
        <f>48313/1000</f>
        <v>48.313000000000002</v>
      </c>
      <c r="D20" s="6"/>
    </row>
    <row r="21" spans="1:10" ht="15" thickBot="1" x14ac:dyDescent="0.35">
      <c r="A21" s="21" t="s">
        <v>421</v>
      </c>
      <c r="B21" s="7"/>
      <c r="C21" s="109">
        <f>C19/C20</f>
        <v>20.08864519694492</v>
      </c>
      <c r="D21" s="8"/>
    </row>
    <row r="23" spans="1:10" ht="18" x14ac:dyDescent="0.35">
      <c r="C23" s="264"/>
      <c r="D23" s="267" t="s">
        <v>435</v>
      </c>
      <c r="E23" s="261"/>
      <c r="F23" s="261"/>
      <c r="G23" s="261"/>
      <c r="H23" s="262"/>
    </row>
    <row r="24" spans="1:10" ht="15" thickBot="1" x14ac:dyDescent="0.35"/>
    <row r="25" spans="1:10" x14ac:dyDescent="0.3">
      <c r="A25" s="29" t="s">
        <v>423</v>
      </c>
      <c r="B25" s="24">
        <f>B12</f>
        <v>81.462131210189071</v>
      </c>
    </row>
    <row r="26" spans="1:10" x14ac:dyDescent="0.3">
      <c r="A26" s="30" t="s">
        <v>439</v>
      </c>
      <c r="B26" s="25">
        <f>C20</f>
        <v>48.313000000000002</v>
      </c>
    </row>
    <row r="27" spans="1:10" x14ac:dyDescent="0.3">
      <c r="A27" s="30" t="s">
        <v>424</v>
      </c>
      <c r="B27" s="25">
        <f>B26*B25</f>
        <v>3935.6799451578649</v>
      </c>
    </row>
    <row r="28" spans="1:10" ht="15" thickBot="1" x14ac:dyDescent="0.35">
      <c r="A28" s="31" t="s">
        <v>425</v>
      </c>
      <c r="B28" s="26">
        <f>(B27/C17)*10^9</f>
        <v>4472.8118717783591</v>
      </c>
    </row>
    <row r="30" spans="1:10" x14ac:dyDescent="0.3">
      <c r="C30" s="231" t="s">
        <v>436</v>
      </c>
      <c r="D30" s="231"/>
      <c r="E30" s="231"/>
      <c r="F30" s="237"/>
      <c r="G30" s="237"/>
      <c r="H30" s="237"/>
      <c r="I30" s="237"/>
      <c r="J30" s="237"/>
    </row>
    <row r="31" spans="1:10" x14ac:dyDescent="0.3">
      <c r="C31" s="231" t="s">
        <v>437</v>
      </c>
      <c r="D31" s="231"/>
      <c r="E31" s="231"/>
      <c r="F31" s="237"/>
      <c r="G31" s="237"/>
      <c r="H31" s="237"/>
      <c r="I31" s="237"/>
      <c r="J31" s="237"/>
    </row>
    <row r="32" spans="1:10" x14ac:dyDescent="0.3">
      <c r="C32" s="231" t="s">
        <v>438</v>
      </c>
      <c r="D32" s="231"/>
      <c r="E32" s="231"/>
      <c r="F32" s="237"/>
      <c r="G32" s="237"/>
      <c r="H32" s="237"/>
      <c r="I32" s="237"/>
      <c r="J32" s="23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Name of Group Members</vt:lpstr>
      <vt:lpstr>TECH M Income Statement</vt:lpstr>
      <vt:lpstr>TECH M Balance Sheet</vt:lpstr>
      <vt:lpstr>FCFF and FCFE</vt:lpstr>
      <vt:lpstr>Historical Weekly Data</vt:lpstr>
      <vt:lpstr>Company Betas</vt:lpstr>
      <vt:lpstr>1.2</vt:lpstr>
      <vt:lpstr>1.3</vt:lpstr>
      <vt:lpstr>Question2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Swaraj</dc:creator>
  <cp:keywords/>
  <dc:description/>
  <cp:lastModifiedBy>Shubham Agrawal</cp:lastModifiedBy>
  <cp:revision/>
  <dcterms:created xsi:type="dcterms:W3CDTF">2020-06-16T16:02:57Z</dcterms:created>
  <dcterms:modified xsi:type="dcterms:W3CDTF">2023-11-26T17:05:04Z</dcterms:modified>
  <cp:category/>
  <cp:contentStatus/>
</cp:coreProperties>
</file>