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filterPrivacy="1" defaultThemeVersion="124226"/>
  <xr:revisionPtr revIDLastSave="0" documentId="13_ncr:1_{D02E6CBB-00F3-4C82-AB28-D7662FB7A3DD}" xr6:coauthVersionLast="47" xr6:coauthVersionMax="47" xr10:uidLastSave="{00000000-0000-0000-0000-000000000000}"/>
  <bookViews>
    <workbookView xWindow="-108" yWindow="-108" windowWidth="23256" windowHeight="12456" activeTab="1" xr2:uid="{00000000-000D-0000-FFFF-FFFF00000000}"/>
  </bookViews>
  <sheets>
    <sheet name="The 19th Hole" sheetId="1" r:id="rId1"/>
    <sheet name="Gopher drugs and practice que" sheetId="3" r:id="rId2"/>
    <sheet name="Exercise Equipment" sheetId="2" r:id="rId3"/>
    <sheet name="Module 3 Assessment"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3" l="1"/>
  <c r="F6" i="3"/>
  <c r="F7" i="3" s="1"/>
  <c r="F8" i="3" s="1"/>
  <c r="F9" i="3" s="1"/>
  <c r="F10" i="3" s="1"/>
  <c r="F11" i="3" s="1"/>
  <c r="F12" i="3" s="1"/>
  <c r="F13" i="3" s="1"/>
  <c r="F14" i="3" s="1"/>
  <c r="F15" i="3" s="1"/>
  <c r="F16" i="3" s="1"/>
  <c r="F17" i="3" s="1"/>
  <c r="F18" i="3" s="1"/>
  <c r="F19" i="3" s="1"/>
  <c r="F20" i="3" s="1"/>
  <c r="F21" i="3" s="1"/>
  <c r="F22" i="3" s="1"/>
  <c r="F23" i="3" s="1"/>
  <c r="F24" i="3" s="1"/>
  <c r="F115" i="4"/>
  <c r="E115" i="4"/>
  <c r="E116" i="4" s="1"/>
  <c r="E117" i="4" s="1"/>
  <c r="E118" i="4" s="1"/>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35" i="4"/>
  <c r="D6" i="4"/>
  <c r="D7" i="4"/>
  <c r="D8" i="4"/>
  <c r="D9" i="4"/>
  <c r="D10" i="4"/>
  <c r="D11" i="4"/>
  <c r="D12" i="4"/>
  <c r="D13" i="4"/>
  <c r="D14" i="4"/>
  <c r="D15" i="4"/>
  <c r="D16" i="4"/>
  <c r="D17" i="4"/>
  <c r="D18" i="4"/>
  <c r="D19" i="4"/>
  <c r="D20" i="4"/>
  <c r="D21" i="4"/>
  <c r="D22" i="4"/>
  <c r="D23" i="4"/>
  <c r="D5" i="4"/>
  <c r="B33" i="4"/>
  <c r="C33" i="4" s="1"/>
  <c r="B34" i="4"/>
  <c r="C34" i="4" s="1"/>
  <c r="B35" i="4"/>
  <c r="C35" i="4" s="1"/>
  <c r="B36" i="4"/>
  <c r="C36" i="4" s="1"/>
  <c r="B37" i="4"/>
  <c r="C37" i="4" s="1"/>
  <c r="B38" i="4"/>
  <c r="C38" i="4" s="1"/>
  <c r="B39" i="4"/>
  <c r="C39" i="4" s="1"/>
  <c r="B40" i="4"/>
  <c r="C40" i="4" s="1"/>
  <c r="B41" i="4"/>
  <c r="C41" i="4" s="1"/>
  <c r="B42" i="4"/>
  <c r="C42" i="4" s="1"/>
  <c r="B43" i="4"/>
  <c r="C43" i="4" s="1"/>
  <c r="B44" i="4"/>
  <c r="C44" i="4" s="1"/>
  <c r="B45" i="4"/>
  <c r="C45" i="4" s="1"/>
  <c r="B46" i="4"/>
  <c r="C46" i="4" s="1"/>
  <c r="B47" i="4"/>
  <c r="C47" i="4" s="1"/>
  <c r="B48" i="4"/>
  <c r="C48" i="4" s="1"/>
  <c r="B49" i="4"/>
  <c r="C49" i="4" s="1"/>
  <c r="B50" i="4"/>
  <c r="C50" i="4" s="1"/>
  <c r="B51" i="4"/>
  <c r="C51" i="4" s="1"/>
  <c r="B32" i="4"/>
  <c r="C32" i="4" s="1"/>
  <c r="B46" i="3"/>
  <c r="B47" i="3" s="1"/>
  <c r="C11" i="3"/>
  <c r="D55" i="1"/>
  <c r="D53" i="1"/>
  <c r="D51" i="1"/>
  <c r="D50" i="1"/>
  <c r="D54" i="1"/>
  <c r="J115" i="4" l="1"/>
  <c r="E119" i="4"/>
  <c r="J119" i="4" s="1"/>
  <c r="G119" i="4" s="1"/>
  <c r="J118" i="4"/>
  <c r="J116" i="4"/>
  <c r="G116" i="4" s="1"/>
  <c r="J117" i="4"/>
  <c r="D24" i="4"/>
  <c r="C52" i="4"/>
  <c r="B11" i="3"/>
  <c r="B13" i="3" s="1"/>
  <c r="C71" i="2"/>
  <c r="C63" i="2"/>
  <c r="C72" i="2" s="1"/>
  <c r="D63" i="2"/>
  <c r="D72" i="2" s="1"/>
  <c r="C64" i="2"/>
  <c r="C73" i="2" s="1"/>
  <c r="D64" i="2"/>
  <c r="D73" i="2" s="1"/>
  <c r="C65" i="2"/>
  <c r="C74" i="2" s="1"/>
  <c r="D65" i="2"/>
  <c r="D74" i="2" s="1"/>
  <c r="C66" i="2"/>
  <c r="C75" i="2" s="1"/>
  <c r="D66" i="2"/>
  <c r="D75" i="2" s="1"/>
  <c r="C67" i="2"/>
  <c r="C76" i="2" s="1"/>
  <c r="D67" i="2"/>
  <c r="D76" i="2" s="1"/>
  <c r="D62" i="2"/>
  <c r="D71" i="2" s="1"/>
  <c r="C62" i="2"/>
  <c r="C39" i="2"/>
  <c r="C40" i="2"/>
  <c r="C41" i="2"/>
  <c r="C42" i="2"/>
  <c r="C43" i="2"/>
  <c r="C44" i="2"/>
  <c r="C45" i="2"/>
  <c r="C38" i="2"/>
  <c r="E28" i="2"/>
  <c r="E24" i="2"/>
  <c r="D25" i="2"/>
  <c r="F25" i="2" s="1"/>
  <c r="D26" i="2"/>
  <c r="F26" i="2" s="1"/>
  <c r="D27" i="2"/>
  <c r="F27" i="2" s="1"/>
  <c r="D28" i="2"/>
  <c r="F28" i="2" s="1"/>
  <c r="D24" i="2"/>
  <c r="F24" i="2" s="1"/>
  <c r="F29" i="2" s="1"/>
  <c r="C25" i="2"/>
  <c r="E25" i="2" s="1"/>
  <c r="E29" i="2" s="1"/>
  <c r="C26" i="2"/>
  <c r="E26" i="2" s="1"/>
  <c r="C27" i="2"/>
  <c r="E27" i="2" s="1"/>
  <c r="C28" i="2"/>
  <c r="C24" i="2"/>
  <c r="D77" i="2" l="1"/>
  <c r="C77" i="2"/>
  <c r="H115" i="4"/>
  <c r="G115" i="4"/>
  <c r="H119" i="4"/>
  <c r="I119" i="4" s="1"/>
  <c r="K119" i="4" s="1"/>
  <c r="G118" i="4"/>
  <c r="H118" i="4"/>
  <c r="H116" i="4"/>
  <c r="I116" i="4" s="1"/>
  <c r="K116" i="4" s="1"/>
  <c r="H117" i="4"/>
  <c r="G117" i="4"/>
  <c r="G94" i="1"/>
  <c r="B50" i="1"/>
  <c r="B51" i="1" s="1"/>
  <c r="D43" i="1"/>
  <c r="H43" i="1" s="1"/>
  <c r="C43" i="1"/>
  <c r="G43" i="1" s="1"/>
  <c r="B43" i="1"/>
  <c r="F43" i="1" s="1"/>
  <c r="H42" i="1"/>
  <c r="G42" i="1"/>
  <c r="F42" i="1"/>
  <c r="D42" i="1"/>
  <c r="C42" i="1"/>
  <c r="B42" i="1"/>
  <c r="D41" i="1"/>
  <c r="H41" i="1" s="1"/>
  <c r="C41" i="1"/>
  <c r="G41" i="1" s="1"/>
  <c r="B41" i="1"/>
  <c r="F41" i="1" s="1"/>
  <c r="H40" i="1"/>
  <c r="G40" i="1"/>
  <c r="F40" i="1"/>
  <c r="D40" i="1"/>
  <c r="C40" i="1"/>
  <c r="B40" i="1"/>
  <c r="D39" i="1"/>
  <c r="H39" i="1" s="1"/>
  <c r="C39" i="1"/>
  <c r="G39" i="1" s="1"/>
  <c r="B39" i="1"/>
  <c r="F39" i="1" s="1"/>
  <c r="H38" i="1"/>
  <c r="G38" i="1"/>
  <c r="F38" i="1"/>
  <c r="D38" i="1"/>
  <c r="C38" i="1"/>
  <c r="B38" i="1"/>
  <c r="D37" i="1"/>
  <c r="H37" i="1" s="1"/>
  <c r="C37" i="1"/>
  <c r="G37" i="1" s="1"/>
  <c r="B37" i="1"/>
  <c r="F37" i="1" s="1"/>
  <c r="H36" i="1"/>
  <c r="G36" i="1"/>
  <c r="F36" i="1"/>
  <c r="D36" i="1"/>
  <c r="C36" i="1"/>
  <c r="B36" i="1"/>
  <c r="D35" i="1"/>
  <c r="H35" i="1" s="1"/>
  <c r="C35" i="1"/>
  <c r="G35" i="1" s="1"/>
  <c r="B35" i="1"/>
  <c r="F35" i="1" s="1"/>
  <c r="H34" i="1"/>
  <c r="G34" i="1"/>
  <c r="F34" i="1"/>
  <c r="D34" i="1"/>
  <c r="C34" i="1"/>
  <c r="B34" i="1"/>
  <c r="D33" i="1"/>
  <c r="H33" i="1" s="1"/>
  <c r="C33" i="1"/>
  <c r="G33" i="1" s="1"/>
  <c r="B33" i="1"/>
  <c r="F33" i="1" s="1"/>
  <c r="H32" i="1"/>
  <c r="H44" i="1" s="1"/>
  <c r="G32" i="1"/>
  <c r="G44" i="1" s="1"/>
  <c r="F32" i="1"/>
  <c r="D32" i="1"/>
  <c r="C32" i="1"/>
  <c r="B32" i="1"/>
  <c r="F44" i="1" l="1"/>
  <c r="I115" i="4"/>
  <c r="K115" i="4" s="1"/>
  <c r="I118" i="4"/>
  <c r="K118" i="4" s="1"/>
  <c r="I117" i="4"/>
  <c r="K117" i="4" s="1"/>
  <c r="B128" i="4" s="1"/>
  <c r="B129" i="4" s="1"/>
  <c r="B53" i="1"/>
  <c r="B54" i="1"/>
  <c r="K120" i="4" l="1"/>
  <c r="B125" i="4" s="1"/>
  <c r="B55" i="1"/>
  <c r="B100" i="1" s="1"/>
  <c r="G48" i="1" l="1"/>
</calcChain>
</file>

<file path=xl/sharedStrings.xml><?xml version="1.0" encoding="utf-8"?>
<sst xmlns="http://schemas.openxmlformats.org/spreadsheetml/2006/main" count="187" uniqueCount="136">
  <si>
    <t>Month</t>
  </si>
  <si>
    <t>Price</t>
  </si>
  <si>
    <t>Demand(00s)</t>
  </si>
  <si>
    <t>The 19th Hole</t>
  </si>
  <si>
    <t>Intercept(b):</t>
  </si>
  <si>
    <t>Slope(m):</t>
  </si>
  <si>
    <t>Constant a:</t>
  </si>
  <si>
    <t>Exponent b:</t>
  </si>
  <si>
    <t>Linear: y=mx+c</t>
  </si>
  <si>
    <t>Power: y=ax^b</t>
  </si>
  <si>
    <t>Exponential: y=ae^(bx)</t>
  </si>
  <si>
    <t>Predictions Based on Models</t>
  </si>
  <si>
    <t>Price(x)</t>
  </si>
  <si>
    <t>Linear</t>
  </si>
  <si>
    <t>Power</t>
  </si>
  <si>
    <t>Exponential</t>
  </si>
  <si>
    <t>Absolute Percent Error</t>
  </si>
  <si>
    <t>Average:</t>
  </si>
  <si>
    <t>best model</t>
  </si>
  <si>
    <t>Model the Business:</t>
  </si>
  <si>
    <t xml:space="preserve">Unit cost : </t>
  </si>
  <si>
    <t>per set of clubs</t>
  </si>
  <si>
    <t xml:space="preserve">Sale Price: </t>
  </si>
  <si>
    <t>&lt;--multiple of 10</t>
  </si>
  <si>
    <t>&lt;--from power model</t>
  </si>
  <si>
    <t>Demand(00s):</t>
  </si>
  <si>
    <t>Actual Demand:</t>
  </si>
  <si>
    <t xml:space="preserve"> </t>
  </si>
  <si>
    <t>Cost:</t>
  </si>
  <si>
    <t xml:space="preserve">Revenue: </t>
  </si>
  <si>
    <t>Profits:</t>
  </si>
  <si>
    <t>Profit</t>
  </si>
  <si>
    <t>Max Profit:</t>
  </si>
  <si>
    <t>Answers:</t>
  </si>
  <si>
    <t>Two Way Table:</t>
  </si>
  <si>
    <t>one way table at F47 (sp variable)</t>
  </si>
  <si>
    <t>two way table at A99 (sp and Unit cost variable)</t>
  </si>
  <si>
    <t xml:space="preserve">sale price-530 </t>
  </si>
  <si>
    <t>profit-$1,042,213</t>
  </si>
  <si>
    <t>Sale Price</t>
  </si>
  <si>
    <t>price down</t>
  </si>
  <si>
    <t>Unit Cost</t>
  </si>
  <si>
    <t>Exercise Equipment Company</t>
  </si>
  <si>
    <t>Year</t>
  </si>
  <si>
    <t>Revenue (millions of USD)</t>
  </si>
  <si>
    <t>Actual Data</t>
  </si>
  <si>
    <t>Forecasts</t>
  </si>
  <si>
    <t>Exponential Model</t>
  </si>
  <si>
    <t>y=ae^(bx)</t>
  </si>
  <si>
    <t>a:</t>
  </si>
  <si>
    <t>b:</t>
  </si>
  <si>
    <t>Power Function Model</t>
  </si>
  <si>
    <t>y=ax^b</t>
  </si>
  <si>
    <t>MEAN Absolute Percent Error</t>
  </si>
  <si>
    <t>Peleton's Revenue Forecast</t>
  </si>
  <si>
    <t>Year number</t>
  </si>
  <si>
    <t>Best Model</t>
  </si>
  <si>
    <t>Revenue(mil $)</t>
  </si>
  <si>
    <t>Year Number</t>
  </si>
  <si>
    <t>Updated Table with 2022 Data:</t>
  </si>
  <si>
    <t>Forecast</t>
  </si>
  <si>
    <t>Power Model</t>
  </si>
  <si>
    <t>MAPE</t>
  </si>
  <si>
    <t>Development Cost</t>
  </si>
  <si>
    <t>millions</t>
  </si>
  <si>
    <t>Lifetime:</t>
  </si>
  <si>
    <t>years</t>
  </si>
  <si>
    <t>Year 1 margin</t>
  </si>
  <si>
    <t>Rate of increase</t>
  </si>
  <si>
    <t>Rate of decrease</t>
  </si>
  <si>
    <t>Discount Rate:</t>
  </si>
  <si>
    <t>Increase through year</t>
  </si>
  <si>
    <t>Cash Flows:</t>
  </si>
  <si>
    <t>End of Year</t>
  </si>
  <si>
    <t>Gross Margin($M)</t>
  </si>
  <si>
    <t>option 1</t>
  </si>
  <si>
    <t>F5*(1+$B$7)</t>
  </si>
  <si>
    <t>option 2</t>
  </si>
  <si>
    <t>use if statement</t>
  </si>
  <si>
    <t>refer formula</t>
  </si>
  <si>
    <t>Gopher Drugs (NPV ie. Net Present Value Example)</t>
  </si>
  <si>
    <t>(Net) Present Value:</t>
  </si>
  <si>
    <t>Development Cost:</t>
  </si>
  <si>
    <t>Net Present Value:</t>
  </si>
  <si>
    <t>million</t>
  </si>
  <si>
    <t>Cash Inflow(end of year)</t>
  </si>
  <si>
    <t>Initial Investment</t>
  </si>
  <si>
    <t>Discount Rate</t>
  </si>
  <si>
    <t>Net Present Value</t>
  </si>
  <si>
    <t>(Net) Present Value</t>
  </si>
  <si>
    <t>Answer</t>
  </si>
  <si>
    <t>Quiz 1: Decision Analysis through Regression and NPV</t>
  </si>
  <si>
    <t>Average of Seasonally Adjusted Sales</t>
  </si>
  <si>
    <t>Exponential Model:</t>
  </si>
  <si>
    <t>y=a^(bx)</t>
  </si>
  <si>
    <t>Exponential Prediction</t>
  </si>
  <si>
    <t>Absolute percentage error</t>
  </si>
  <si>
    <t>Mean Absolute % error</t>
  </si>
  <si>
    <t>Growth%</t>
  </si>
  <si>
    <t xml:space="preserve">Average Growth: </t>
  </si>
  <si>
    <t>Comparing Model Predictions to the original Data</t>
  </si>
  <si>
    <t>Predictions for Future</t>
  </si>
  <si>
    <t>Forcast</t>
  </si>
  <si>
    <t>Part 1: Microsoft</t>
  </si>
  <si>
    <t>Part 2: Toy Company</t>
  </si>
  <si>
    <t>Product Name:</t>
  </si>
  <si>
    <t>The Indoor Fort Building Kit</t>
  </si>
  <si>
    <t>Start up Cost:</t>
  </si>
  <si>
    <t>Initial Unit price(1 to 5):</t>
  </si>
  <si>
    <t xml:space="preserve">Number of kits </t>
  </si>
  <si>
    <t>unknown</t>
  </si>
  <si>
    <t>per kit</t>
  </si>
  <si>
    <t>Growth in sales:</t>
  </si>
  <si>
    <t>Expected year 1 sales:</t>
  </si>
  <si>
    <t>variable costs (1 to 5):</t>
  </si>
  <si>
    <t>SG&amp;A costs:</t>
  </si>
  <si>
    <t>drop in SG&amp;A :</t>
  </si>
  <si>
    <t>per year</t>
  </si>
  <si>
    <t>Goal: Total profit in 5 yrs</t>
  </si>
  <si>
    <t>Costs</t>
  </si>
  <si>
    <t>of revenue</t>
  </si>
  <si>
    <t>Variable</t>
  </si>
  <si>
    <t>SG&amp;A</t>
  </si>
  <si>
    <t>Revenue</t>
  </si>
  <si>
    <t>Sales</t>
  </si>
  <si>
    <t>Unit Price</t>
  </si>
  <si>
    <t>Total Costs</t>
  </si>
  <si>
    <t>Total Profit</t>
  </si>
  <si>
    <t>used goal seek to find growth=48.85% for 4 mil profit</t>
  </si>
  <si>
    <t>apply npv</t>
  </si>
  <si>
    <t>now what is grrowth needed to make 4mil profit</t>
  </si>
  <si>
    <t>use goal seek again</t>
  </si>
  <si>
    <t>set b129 to 0 by changing b117</t>
  </si>
  <si>
    <t>set b125 to 0 by changing b117</t>
  </si>
  <si>
    <t>power model works best here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</si>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</sst>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quot;$&quot;#,##0.00_);[Red]\(&quot;$&quot;#,##0.00\)"/>
    <numFmt numFmtId="165" formatCode="_(&quot;$&quot;* #,##0.00_);_(&quot;$&quot;* \(#,##0.00\);_(&quot;$&quot;* &quot;-&quot;??_);_(@_)"/>
    <numFmt numFmtId="166" formatCode="&quot;$&quot;#,##0.0"/>
    <numFmt numFmtId="167" formatCode="&quot;$&quot;#,##0"/>
    <numFmt numFmtId="168" formatCode="0.0"/>
    <numFmt numFmtId="169" formatCode="0.0%"/>
    <numFmt numFmtId="170" formatCode="_(&quot;$&quot;* #,##0_);_(&quot;$&quot;* \(#,##0\);_(&quot;$&quot;* &quot;-&quot;??_);_(@_)"/>
    <numFmt numFmtId="171" formatCode="&quot;$&quot;#,##0.00"/>
    <numFmt numFmtId="172" formatCode="&quot;₹&quot;\ #,##0.00"/>
  </numFmts>
  <fonts count="16"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0" tint="-0.499984740745262"/>
      <name val="Calibri"/>
      <family val="2"/>
      <scheme val="minor"/>
    </font>
    <font>
      <b/>
      <sz val="22"/>
      <color theme="1"/>
      <name val="Calibri"/>
      <family val="2"/>
      <scheme val="minor"/>
    </font>
    <font>
      <sz val="11"/>
      <color rgb="FF006100"/>
      <name val="Calibri"/>
      <family val="2"/>
      <scheme val="minor"/>
    </font>
    <font>
      <sz val="11"/>
      <color rgb="FF9C6500"/>
      <name val="Calibri"/>
      <family val="2"/>
      <scheme val="minor"/>
    </font>
    <font>
      <b/>
      <sz val="11"/>
      <color rgb="FF3F3F3F"/>
      <name val="Calibri"/>
      <family val="2"/>
      <scheme val="minor"/>
    </font>
    <font>
      <b/>
      <sz val="11"/>
      <color theme="0"/>
      <name val="Calibri"/>
      <family val="2"/>
      <scheme val="minor"/>
    </font>
    <font>
      <sz val="11"/>
      <color rgb="FF00B050"/>
      <name val="Calibri"/>
      <family val="2"/>
      <scheme val="minor"/>
    </font>
    <font>
      <i/>
      <sz val="11"/>
      <color rgb="FF7F7F7F"/>
      <name val="Calibri"/>
      <family val="2"/>
      <scheme val="minor"/>
    </font>
  </fonts>
  <fills count="17">
    <fill>
      <patternFill patternType="none"/>
    </fill>
    <fill>
      <patternFill patternType="gray125"/>
    </fill>
    <fill>
      <patternFill patternType="solid">
        <fgColor theme="8" tint="0.39997558519241921"/>
        <bgColor indexed="65"/>
      </patternFill>
    </fill>
    <fill>
      <patternFill patternType="solid">
        <fgColor theme="6" tint="0.39997558519241921"/>
        <bgColor indexed="64"/>
      </patternFill>
    </fill>
    <fill>
      <patternFill patternType="solid">
        <fgColor theme="6"/>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39997558519241921"/>
        <bgColor indexed="6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6"/>
      </patternFill>
    </fill>
    <fill>
      <patternFill patternType="solid">
        <fgColor theme="7"/>
      </patternFill>
    </fill>
    <fill>
      <patternFill patternType="solid">
        <fgColor theme="1"/>
        <bgColor indexed="64"/>
      </patternFill>
    </fill>
    <fill>
      <patternFill patternType="solid">
        <fgColor theme="4" tint="0.79998168889431442"/>
        <bgColor theme="4" tint="0.79998168889431442"/>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thick">
        <color theme="4"/>
      </bottom>
      <diagonal/>
    </border>
    <border>
      <left/>
      <right/>
      <top style="thin">
        <color indexed="64"/>
      </top>
      <bottom style="thick">
        <color theme="4"/>
      </bottom>
      <diagonal/>
    </border>
    <border>
      <left/>
      <right style="thin">
        <color indexed="64"/>
      </right>
      <top style="thin">
        <color indexed="64"/>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7">
    <xf numFmtId="0" fontId="0" fillId="0" borderId="0"/>
    <xf numFmtId="165"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6" fillId="2"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16" applyNumberFormat="0" applyAlignment="0" applyProtection="0"/>
    <xf numFmtId="0" fontId="1" fillId="8" borderId="0" applyNumberFormat="0" applyBorder="0" applyAlignment="0" applyProtection="0"/>
    <xf numFmtId="0" fontId="1" fillId="9" borderId="0" applyNumberFormat="0" applyBorder="0" applyAlignment="0" applyProtection="0"/>
    <xf numFmtId="0" fontId="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0" borderId="0" applyNumberFormat="0" applyFill="0" applyBorder="0" applyAlignment="0" applyProtection="0"/>
  </cellStyleXfs>
  <cellXfs count="157">
    <xf numFmtId="0" fontId="0" fillId="0" borderId="0" xfId="0"/>
    <xf numFmtId="0" fontId="0" fillId="0" borderId="4" xfId="0" applyBorder="1"/>
    <xf numFmtId="0" fontId="5" fillId="0" borderId="4" xfId="0" applyFont="1" applyBorder="1"/>
    <xf numFmtId="0" fontId="0" fillId="0" borderId="0" xfId="0" applyAlignment="1">
      <alignment horizontal="center"/>
    </xf>
    <xf numFmtId="0" fontId="5" fillId="0" borderId="0" xfId="0" applyFont="1"/>
    <xf numFmtId="0" fontId="2" fillId="0" borderId="1" xfId="2"/>
    <xf numFmtId="0" fontId="3" fillId="0" borderId="2" xfId="3"/>
    <xf numFmtId="0" fontId="4" fillId="0" borderId="3" xfId="4"/>
    <xf numFmtId="167" fontId="0" fillId="0" borderId="4" xfId="0" applyNumberFormat="1" applyBorder="1"/>
    <xf numFmtId="167" fontId="0" fillId="0" borderId="6" xfId="0" applyNumberFormat="1" applyBorder="1"/>
    <xf numFmtId="168" fontId="0" fillId="0" borderId="4" xfId="0" applyNumberFormat="1" applyBorder="1"/>
    <xf numFmtId="169" fontId="0" fillId="0" borderId="0" xfId="0" applyNumberFormat="1"/>
    <xf numFmtId="0" fontId="5" fillId="0" borderId="6" xfId="0" applyFont="1" applyBorder="1"/>
    <xf numFmtId="0" fontId="0" fillId="0" borderId="6" xfId="0" applyBorder="1"/>
    <xf numFmtId="169" fontId="0" fillId="0" borderId="9" xfId="0" applyNumberFormat="1" applyBorder="1"/>
    <xf numFmtId="169" fontId="0" fillId="0" borderId="10" xfId="0" applyNumberFormat="1" applyBorder="1"/>
    <xf numFmtId="1" fontId="0" fillId="0" borderId="0" xfId="0" applyNumberFormat="1"/>
    <xf numFmtId="170" fontId="0" fillId="0" borderId="0" xfId="1" applyNumberFormat="1" applyFont="1"/>
    <xf numFmtId="170" fontId="7" fillId="3" borderId="0" xfId="1" applyNumberFormat="1" applyFont="1" applyFill="1"/>
    <xf numFmtId="170" fontId="0" fillId="0" borderId="0" xfId="0" applyNumberFormat="1"/>
    <xf numFmtId="0" fontId="0" fillId="0" borderId="15" xfId="0" applyBorder="1"/>
    <xf numFmtId="170" fontId="8" fillId="0" borderId="5" xfId="0" applyNumberFormat="1" applyFont="1" applyBorder="1"/>
    <xf numFmtId="170" fontId="0" fillId="0" borderId="5" xfId="0" applyNumberFormat="1" applyBorder="1"/>
    <xf numFmtId="170" fontId="0" fillId="0" borderId="4" xfId="0" applyNumberFormat="1" applyBorder="1"/>
    <xf numFmtId="0" fontId="0" fillId="0" borderId="0" xfId="0" applyAlignment="1">
      <alignment wrapText="1"/>
    </xf>
    <xf numFmtId="0" fontId="0" fillId="0" borderId="0" xfId="0" applyAlignment="1">
      <alignment horizontal="center" vertical="center"/>
    </xf>
    <xf numFmtId="0" fontId="6" fillId="2" borderId="0" xfId="5" applyAlignment="1">
      <alignment horizontal="center"/>
    </xf>
    <xf numFmtId="166" fontId="0" fillId="0" borderId="0" xfId="0" applyNumberFormat="1" applyAlignment="1">
      <alignment horizontal="center"/>
    </xf>
    <xf numFmtId="0" fontId="6" fillId="2" borderId="0" xfId="5"/>
    <xf numFmtId="0" fontId="1" fillId="8" borderId="14" xfId="9" applyBorder="1" applyAlignment="1">
      <alignment horizontal="center"/>
    </xf>
    <xf numFmtId="0" fontId="1" fillId="8" borderId="18" xfId="9" applyBorder="1" applyAlignment="1">
      <alignment horizontal="center"/>
    </xf>
    <xf numFmtId="0" fontId="6" fillId="10" borderId="4" xfId="11" applyBorder="1"/>
    <xf numFmtId="10" fontId="0" fillId="0" borderId="4" xfId="0" applyNumberFormat="1" applyBorder="1"/>
    <xf numFmtId="0" fontId="0" fillId="0" borderId="20" xfId="0" applyBorder="1"/>
    <xf numFmtId="0" fontId="6" fillId="2" borderId="9" xfId="5" applyBorder="1" applyAlignment="1">
      <alignment horizontal="center"/>
    </xf>
    <xf numFmtId="0" fontId="6" fillId="2" borderId="10" xfId="5" applyBorder="1" applyAlignment="1">
      <alignment horizontal="center"/>
    </xf>
    <xf numFmtId="0" fontId="0" fillId="0" borderId="9" xfId="0" applyBorder="1" applyAlignment="1">
      <alignment horizontal="center"/>
    </xf>
    <xf numFmtId="166" fontId="0" fillId="0" borderId="10" xfId="0" applyNumberFormat="1" applyBorder="1" applyAlignment="1">
      <alignment horizontal="center"/>
    </xf>
    <xf numFmtId="0" fontId="0" fillId="0" borderId="11" xfId="0" applyBorder="1" applyAlignment="1">
      <alignment horizontal="center"/>
    </xf>
    <xf numFmtId="166" fontId="0" fillId="0" borderId="12" xfId="0" applyNumberFormat="1" applyBorder="1" applyAlignment="1">
      <alignment horizontal="center"/>
    </xf>
    <xf numFmtId="10" fontId="0" fillId="0" borderId="17" xfId="0" applyNumberFormat="1" applyBorder="1"/>
    <xf numFmtId="0" fontId="0" fillId="0" borderId="19" xfId="0" applyBorder="1"/>
    <xf numFmtId="0" fontId="11" fillId="6" borderId="0" xfId="7"/>
    <xf numFmtId="167" fontId="12" fillId="7" borderId="4" xfId="8" applyNumberFormat="1" applyBorder="1"/>
    <xf numFmtId="0" fontId="0" fillId="0" borderId="8" xfId="0" applyBorder="1" applyAlignment="1">
      <alignment horizontal="center"/>
    </xf>
    <xf numFmtId="0" fontId="0" fillId="0" borderId="9" xfId="0" applyBorder="1"/>
    <xf numFmtId="0" fontId="0" fillId="0" borderId="10" xfId="0" applyBorder="1"/>
    <xf numFmtId="0" fontId="0" fillId="0" borderId="11" xfId="0" applyBorder="1"/>
    <xf numFmtId="0" fontId="0" fillId="0" borderId="12" xfId="0" applyBorder="1"/>
    <xf numFmtId="0" fontId="2" fillId="0" borderId="23" xfId="2" applyBorder="1"/>
    <xf numFmtId="0" fontId="2" fillId="0" borderId="24" xfId="2" applyBorder="1" applyAlignment="1"/>
    <xf numFmtId="0" fontId="2" fillId="0" borderId="25" xfId="2" applyBorder="1" applyAlignment="1"/>
    <xf numFmtId="0" fontId="1" fillId="9" borderId="15" xfId="10" applyBorder="1" applyAlignment="1">
      <alignment horizontal="center"/>
    </xf>
    <xf numFmtId="0" fontId="1" fillId="9" borderId="0" xfId="10" applyBorder="1"/>
    <xf numFmtId="0" fontId="1" fillId="9" borderId="5" xfId="10" applyBorder="1"/>
    <xf numFmtId="0" fontId="0" fillId="0" borderId="15" xfId="0" applyBorder="1" applyAlignment="1">
      <alignment horizontal="center"/>
    </xf>
    <xf numFmtId="10" fontId="0" fillId="0" borderId="0" xfId="0" applyNumberFormat="1"/>
    <xf numFmtId="10" fontId="0" fillId="0" borderId="5" xfId="0" applyNumberFormat="1" applyBorder="1"/>
    <xf numFmtId="10" fontId="10" fillId="5" borderId="4" xfId="6" applyNumberFormat="1" applyBorder="1"/>
    <xf numFmtId="9" fontId="0" fillId="0" borderId="0" xfId="0" applyNumberFormat="1"/>
    <xf numFmtId="171" fontId="0" fillId="0" borderId="0" xfId="0" applyNumberFormat="1"/>
    <xf numFmtId="171" fontId="0" fillId="0" borderId="4" xfId="0" applyNumberFormat="1" applyBorder="1" applyAlignment="1">
      <alignment horizontal="center"/>
    </xf>
    <xf numFmtId="9" fontId="0" fillId="0" borderId="4" xfId="0" applyNumberFormat="1" applyBorder="1"/>
    <xf numFmtId="164" fontId="0" fillId="0" borderId="0" xfId="0" applyNumberFormat="1"/>
    <xf numFmtId="0" fontId="6" fillId="13" borderId="0" xfId="14"/>
    <xf numFmtId="0" fontId="13" fillId="13" borderId="0" xfId="14" applyFont="1"/>
    <xf numFmtId="164" fontId="13" fillId="13" borderId="0" xfId="14" applyNumberFormat="1" applyFont="1"/>
    <xf numFmtId="0" fontId="1" fillId="12" borderId="4" xfId="13" applyBorder="1"/>
    <xf numFmtId="171" fontId="0" fillId="0" borderId="4" xfId="0" applyNumberFormat="1" applyBorder="1"/>
    <xf numFmtId="0" fontId="0" fillId="15" borderId="0" xfId="0" applyFill="1"/>
    <xf numFmtId="164" fontId="14" fillId="15" borderId="0" xfId="0" applyNumberFormat="1" applyFont="1" applyFill="1"/>
    <xf numFmtId="0" fontId="5" fillId="16" borderId="4" xfId="0" applyFont="1" applyFill="1" applyBorder="1" applyAlignment="1">
      <alignment horizontal="center"/>
    </xf>
    <xf numFmtId="171" fontId="5" fillId="16" borderId="4" xfId="1" applyNumberFormat="1" applyFont="1" applyFill="1" applyBorder="1" applyAlignment="1">
      <alignment horizontal="center"/>
    </xf>
    <xf numFmtId="1" fontId="0" fillId="0" borderId="4" xfId="0" applyNumberFormat="1" applyBorder="1" applyAlignment="1">
      <alignment horizontal="center"/>
    </xf>
    <xf numFmtId="171" fontId="0" fillId="0" borderId="4" xfId="1" applyNumberFormat="1" applyFont="1" applyBorder="1" applyAlignment="1">
      <alignment horizontal="center"/>
    </xf>
    <xf numFmtId="0" fontId="0" fillId="0" borderId="4" xfId="0" applyBorder="1" applyAlignment="1">
      <alignment horizontal="center"/>
    </xf>
    <xf numFmtId="0" fontId="1" fillId="11" borderId="4" xfId="12" applyBorder="1"/>
    <xf numFmtId="0" fontId="5" fillId="16" borderId="6" xfId="0" applyFont="1" applyFill="1" applyBorder="1" applyAlignment="1">
      <alignment horizontal="center"/>
    </xf>
    <xf numFmtId="1" fontId="0" fillId="0" borderId="6" xfId="0" applyNumberFormat="1" applyBorder="1" applyAlignment="1">
      <alignment horizontal="center"/>
    </xf>
    <xf numFmtId="0" fontId="0" fillId="0" borderId="6" xfId="0" applyBorder="1" applyAlignment="1">
      <alignment horizontal="center"/>
    </xf>
    <xf numFmtId="0" fontId="0" fillId="11" borderId="4" xfId="12" applyFont="1" applyBorder="1"/>
    <xf numFmtId="0" fontId="6" fillId="13" borderId="4" xfId="14" applyBorder="1"/>
    <xf numFmtId="10" fontId="6" fillId="13" borderId="4" xfId="14" applyNumberFormat="1" applyBorder="1"/>
    <xf numFmtId="171" fontId="0" fillId="0" borderId="17" xfId="1" applyNumberFormat="1" applyFont="1" applyBorder="1" applyAlignment="1">
      <alignment horizontal="center"/>
    </xf>
    <xf numFmtId="0" fontId="0" fillId="0" borderId="7" xfId="0" applyBorder="1"/>
    <xf numFmtId="0" fontId="0" fillId="0" borderId="9" xfId="0" applyBorder="1" applyAlignment="1">
      <alignment horizontal="left" indent="2"/>
    </xf>
    <xf numFmtId="0" fontId="0" fillId="0" borderId="11" xfId="0" applyBorder="1" applyAlignment="1">
      <alignment horizontal="left" indent="2"/>
    </xf>
    <xf numFmtId="0" fontId="0" fillId="0" borderId="10" xfId="0" applyBorder="1" applyAlignment="1">
      <alignment horizontal="center"/>
    </xf>
    <xf numFmtId="0" fontId="0" fillId="0" borderId="12" xfId="0" applyBorder="1" applyAlignment="1">
      <alignment horizontal="center"/>
    </xf>
    <xf numFmtId="0" fontId="1" fillId="11" borderId="29" xfId="12" applyBorder="1"/>
    <xf numFmtId="0" fontId="0" fillId="11" borderId="30" xfId="12" applyFont="1" applyBorder="1"/>
    <xf numFmtId="0" fontId="0" fillId="0" borderId="29" xfId="0" applyBorder="1"/>
    <xf numFmtId="171" fontId="0" fillId="0" borderId="30" xfId="0" applyNumberFormat="1" applyBorder="1"/>
    <xf numFmtId="171" fontId="0" fillId="0" borderId="33" xfId="0" applyNumberFormat="1" applyBorder="1"/>
    <xf numFmtId="0" fontId="10" fillId="5" borderId="29" xfId="6" applyBorder="1"/>
    <xf numFmtId="0" fontId="10" fillId="5" borderId="4" xfId="6" applyBorder="1"/>
    <xf numFmtId="0" fontId="10" fillId="5" borderId="31" xfId="6" applyBorder="1"/>
    <xf numFmtId="0" fontId="10" fillId="5" borderId="32" xfId="6" applyBorder="1"/>
    <xf numFmtId="167" fontId="0" fillId="0" borderId="30" xfId="0" applyNumberFormat="1" applyBorder="1"/>
    <xf numFmtId="167" fontId="10" fillId="5" borderId="30" xfId="6" applyNumberFormat="1" applyBorder="1"/>
    <xf numFmtId="167" fontId="10" fillId="5" borderId="33" xfId="6" applyNumberFormat="1" applyBorder="1"/>
    <xf numFmtId="171" fontId="6" fillId="13" borderId="0" xfId="14" applyNumberFormat="1"/>
    <xf numFmtId="171" fontId="0" fillId="0" borderId="6" xfId="0" applyNumberFormat="1" applyBorder="1"/>
    <xf numFmtId="171" fontId="0" fillId="0" borderId="20" xfId="0" applyNumberFormat="1" applyBorder="1"/>
    <xf numFmtId="0" fontId="0" fillId="0" borderId="30" xfId="0" applyBorder="1"/>
    <xf numFmtId="171" fontId="0" fillId="0" borderId="29" xfId="0" applyNumberFormat="1" applyBorder="1"/>
    <xf numFmtId="171" fontId="0" fillId="0" borderId="31" xfId="0" applyNumberFormat="1" applyBorder="1"/>
    <xf numFmtId="171" fontId="0" fillId="0" borderId="32" xfId="0" applyNumberFormat="1" applyBorder="1"/>
    <xf numFmtId="10" fontId="6" fillId="13" borderId="0" xfId="14" applyNumberFormat="1" applyAlignment="1">
      <alignment horizontal="right"/>
    </xf>
    <xf numFmtId="0" fontId="5" fillId="0" borderId="37" xfId="0" applyFont="1" applyBorder="1"/>
    <xf numFmtId="0" fontId="5" fillId="0" borderId="38" xfId="0" applyFont="1" applyBorder="1"/>
    <xf numFmtId="0" fontId="5" fillId="0" borderId="39" xfId="0" applyFont="1" applyBorder="1"/>
    <xf numFmtId="0" fontId="0" fillId="0" borderId="13" xfId="0" applyBorder="1"/>
    <xf numFmtId="169" fontId="0" fillId="0" borderId="38" xfId="0" applyNumberFormat="1" applyBorder="1"/>
    <xf numFmtId="169" fontId="0" fillId="0" borderId="39" xfId="0" applyNumberFormat="1" applyBorder="1"/>
    <xf numFmtId="172" fontId="0" fillId="0" borderId="0" xfId="0" applyNumberFormat="1"/>
    <xf numFmtId="165" fontId="8" fillId="0" borderId="4" xfId="1" applyFont="1" applyBorder="1"/>
    <xf numFmtId="165" fontId="5" fillId="0" borderId="40" xfId="1" applyFont="1" applyBorder="1"/>
    <xf numFmtId="165" fontId="5" fillId="0" borderId="20" xfId="1" applyFont="1" applyBorder="1"/>
    <xf numFmtId="165" fontId="0" fillId="0" borderId="4" xfId="1" applyFont="1" applyBorder="1"/>
    <xf numFmtId="165" fontId="0" fillId="4" borderId="4" xfId="1" applyFont="1" applyFill="1" applyBorder="1"/>
    <xf numFmtId="0" fontId="0" fillId="0" borderId="0" xfId="0" applyAlignment="1">
      <alignment horizontal="center"/>
    </xf>
    <xf numFmtId="0" fontId="0" fillId="0" borderId="5" xfId="0" applyBorder="1" applyAlignment="1">
      <alignment horizontal="center"/>
    </xf>
    <xf numFmtId="0" fontId="0" fillId="0" borderId="0" xfId="0" applyAlignment="1">
      <alignment horizontal="center" vertical="center" wrapText="1"/>
    </xf>
    <xf numFmtId="0" fontId="0" fillId="0" borderId="5" xfId="0" applyBorder="1" applyAlignment="1">
      <alignment horizontal="center" vertical="center" wrapText="1"/>
    </xf>
    <xf numFmtId="0" fontId="9" fillId="0" borderId="41" xfId="0" applyFont="1" applyBorder="1" applyAlignment="1">
      <alignment horizontal="center" vertical="center" textRotation="90"/>
    </xf>
    <xf numFmtId="0" fontId="9" fillId="0" borderId="42" xfId="0" applyFont="1" applyBorder="1" applyAlignment="1">
      <alignment horizontal="center" vertical="center" textRotation="90"/>
    </xf>
    <xf numFmtId="0" fontId="9" fillId="0" borderId="43" xfId="0" applyFont="1" applyBorder="1" applyAlignment="1">
      <alignment horizontal="center" vertical="center" textRotation="90"/>
    </xf>
    <xf numFmtId="0" fontId="5" fillId="0" borderId="37" xfId="0" applyFont="1" applyBorder="1" applyAlignment="1">
      <alignment horizontal="center"/>
    </xf>
    <xf numFmtId="0" fontId="5" fillId="0" borderId="38" xfId="0" applyFont="1" applyBorder="1" applyAlignment="1">
      <alignment horizontal="center"/>
    </xf>
    <xf numFmtId="0" fontId="5" fillId="0" borderId="39" xfId="0" applyFont="1" applyBorder="1" applyAlignment="1">
      <alignment horizontal="center"/>
    </xf>
    <xf numFmtId="0" fontId="5" fillId="0" borderId="4" xfId="0" applyFont="1" applyBorder="1" applyAlignment="1">
      <alignment horizontal="center"/>
    </xf>
    <xf numFmtId="0" fontId="3" fillId="0" borderId="0" xfId="3" applyBorder="1" applyAlignment="1">
      <alignment horizontal="center"/>
    </xf>
    <xf numFmtId="0" fontId="5" fillId="0" borderId="0" xfId="0" applyFont="1" applyAlignment="1">
      <alignment horizontal="center"/>
    </xf>
    <xf numFmtId="0" fontId="2" fillId="0" borderId="1" xfId="2" applyAlignment="1">
      <alignment horizontal="center"/>
    </xf>
    <xf numFmtId="0" fontId="3" fillId="0" borderId="2" xfId="3"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18" xfId="0" applyFont="1" applyBorder="1" applyAlignment="1">
      <alignment horizontal="center"/>
    </xf>
    <xf numFmtId="0" fontId="2" fillId="0" borderId="0" xfId="2" applyBorder="1" applyAlignment="1">
      <alignment horizontal="center"/>
    </xf>
    <xf numFmtId="0" fontId="5" fillId="0" borderId="26" xfId="0" applyFont="1" applyBorder="1" applyAlignment="1">
      <alignment horizontal="center"/>
    </xf>
    <xf numFmtId="0" fontId="5" fillId="0" borderId="27" xfId="0" applyFont="1" applyBorder="1" applyAlignment="1">
      <alignment horizontal="center"/>
    </xf>
    <xf numFmtId="0" fontId="5" fillId="0" borderId="28" xfId="0" applyFont="1" applyBorder="1" applyAlignment="1">
      <alignment horizontal="center"/>
    </xf>
    <xf numFmtId="0" fontId="6" fillId="14" borderId="0" xfId="15" applyAlignment="1">
      <alignment horizontal="center"/>
    </xf>
    <xf numFmtId="0" fontId="6" fillId="14" borderId="34" xfId="15" applyBorder="1" applyAlignment="1">
      <alignment horizontal="center"/>
    </xf>
    <xf numFmtId="0" fontId="6" fillId="14" borderId="35" xfId="15" applyBorder="1" applyAlignment="1">
      <alignment horizontal="center"/>
    </xf>
    <xf numFmtId="0" fontId="6" fillId="14" borderId="36" xfId="15" applyBorder="1" applyAlignment="1">
      <alignment horizontal="center"/>
    </xf>
    <xf numFmtId="0" fontId="0" fillId="4" borderId="0" xfId="0" applyFill="1"/>
    <xf numFmtId="0" fontId="15" fillId="0" borderId="0" xfId="16"/>
    <xf numFmtId="0" fontId="0" fillId="0" borderId="17" xfId="0" applyBorder="1"/>
    <xf numFmtId="171" fontId="0" fillId="0" borderId="17" xfId="0" applyNumberFormat="1" applyBorder="1" applyAlignment="1">
      <alignment horizontal="center"/>
    </xf>
    <xf numFmtId="0" fontId="5" fillId="0" borderId="44" xfId="0" applyFont="1" applyBorder="1"/>
    <xf numFmtId="171" fontId="5" fillId="0" borderId="45" xfId="0" applyNumberFormat="1" applyFont="1" applyBorder="1" applyAlignment="1">
      <alignment horizontal="center"/>
    </xf>
  </cellXfs>
  <cellStyles count="17">
    <cellStyle name="20% - Accent1" xfId="12" builtinId="30"/>
    <cellStyle name="20% - Accent2" xfId="9" builtinId="34"/>
    <cellStyle name="40% - Accent1" xfId="13" builtinId="31"/>
    <cellStyle name="40% - Accent2" xfId="10" builtinId="35"/>
    <cellStyle name="60% - Accent3" xfId="11" builtinId="40"/>
    <cellStyle name="60% - Accent5" xfId="5" builtinId="48"/>
    <cellStyle name="Accent3" xfId="14" builtinId="37"/>
    <cellStyle name="Accent4" xfId="15" builtinId="41"/>
    <cellStyle name="Currency" xfId="1" builtinId="4"/>
    <cellStyle name="Explanatory Text" xfId="16" builtinId="53"/>
    <cellStyle name="Good" xfId="6" builtinId="26"/>
    <cellStyle name="Heading 1" xfId="2" builtinId="16"/>
    <cellStyle name="Heading 2" xfId="3" builtinId="17"/>
    <cellStyle name="Heading 3" xfId="4" builtinId="18"/>
    <cellStyle name="Neutral" xfId="7" builtinId="28"/>
    <cellStyle name="Normal" xfId="0" builtinId="0"/>
    <cellStyle name="Output" xfId="8" builtinId="21"/>
  </cellStyles>
  <dxfs count="43">
    <dxf>
      <fill>
        <patternFill>
          <bgColor theme="6"/>
        </patternFill>
      </fill>
    </dxf>
    <dxf>
      <font>
        <color rgb="FF9C0006"/>
      </font>
      <fill>
        <patternFill>
          <bgColor rgb="FFFFC7CE"/>
        </patternFill>
      </fill>
    </dxf>
    <dxf>
      <fill>
        <patternFill>
          <bgColor theme="3" tint="0.59996337778862885"/>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font>
        <color rgb="FF9C0006"/>
      </font>
      <fill>
        <patternFill>
          <bgColor rgb="FFFFC7CE"/>
        </patternFill>
      </fill>
    </dxf>
    <dxf>
      <fill>
        <patternFill>
          <bgColor theme="3" tint="0.59996337778862885"/>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font>
        <color rgb="FF9C0006"/>
      </font>
      <fill>
        <patternFill>
          <bgColor rgb="FFFFC7CE"/>
        </patternFill>
      </fill>
    </dxf>
    <dxf>
      <fill>
        <patternFill>
          <bgColor theme="3" tint="0.59996337778862885"/>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3" tint="0.59996337778862885"/>
        </patternFill>
      </fill>
    </dxf>
    <dxf>
      <fill>
        <patternFill>
          <bgColor theme="6"/>
        </patternFill>
      </fill>
    </dxf>
    <dxf>
      <fill>
        <patternFill patternType="solid">
          <bgColor theme="6"/>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3" tint="0.59996337778862885"/>
        </patternFill>
      </fill>
    </dxf>
    <dxf>
      <fill>
        <patternFill>
          <bgColor theme="6"/>
        </patternFill>
      </fill>
    </dxf>
    <dxf>
      <fill>
        <patternFill patternType="solid">
          <bgColor theme="6"/>
        </patternFill>
      </fill>
    </dxf>
    <dxf>
      <fill>
        <patternFill>
          <bgColor theme="6"/>
        </patternFill>
      </fill>
    </dxf>
    <dxf>
      <fill>
        <patternFill>
          <bgColor theme="6"/>
        </patternFill>
      </fill>
    </dxf>
    <dxf>
      <fill>
        <patternFill>
          <bgColor theme="6"/>
        </patternFill>
      </fill>
    </dxf>
    <dxf>
      <fill>
        <patternFill>
          <bgColor theme="6"/>
        </patternFill>
      </fill>
    </dxf>
    <dxf>
      <fill>
        <patternFill>
          <bgColor theme="3" tint="0.59996337778862885"/>
        </patternFill>
      </fill>
    </dxf>
    <dxf>
      <fill>
        <patternFill>
          <bgColor theme="6"/>
        </patternFill>
      </fill>
    </dxf>
    <dxf>
      <fill>
        <patternFill patternType="solid">
          <bgColor theme="6"/>
        </patternFill>
      </fill>
    </dxf>
    <dxf>
      <fill>
        <patternFill>
          <bgColor theme="6"/>
        </patternFill>
      </fill>
    </dxf>
    <dxf>
      <fill>
        <patternFill>
          <bgColor theme="6"/>
        </patternFill>
      </fill>
    </dxf>
    <dxf>
      <fill>
        <patternFill>
          <bgColor theme="6"/>
        </patternFill>
      </fill>
    </dxf>
    <dxf>
      <fill>
        <patternFill>
          <bgColor theme="6"/>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Price vs Demand</a:t>
            </a:r>
          </a:p>
        </c:rich>
      </c:tx>
      <c:overlay val="0"/>
    </c:title>
    <c:autoTitleDeleted val="0"/>
    <c:plotArea>
      <c:layout/>
      <c:scatterChart>
        <c:scatterStyle val="lineMarker"/>
        <c:varyColors val="0"/>
        <c:ser>
          <c:idx val="0"/>
          <c:order val="0"/>
          <c:tx>
            <c:strRef>
              <c:f>'The 19th Hole'!$C$5</c:f>
              <c:strCache>
                <c:ptCount val="1"/>
                <c:pt idx="0">
                  <c:v>Demand(00s)</c:v>
                </c:pt>
              </c:strCache>
            </c:strRef>
          </c:tx>
          <c:spPr>
            <a:ln w="28575">
              <a:noFill/>
            </a:ln>
          </c:spPr>
          <c:trendline>
            <c:trendlineType val="linear"/>
            <c:dispRSqr val="0"/>
            <c:dispEq val="1"/>
            <c:trendlineLbl>
              <c:layout>
                <c:manualLayout>
                  <c:x val="0.35005922438754339"/>
                  <c:y val="-0.55769964800911509"/>
                </c:manualLayout>
              </c:layout>
              <c:numFmt formatCode="General" sourceLinked="0"/>
            </c:trendlineLbl>
          </c:trendline>
          <c:trendline>
            <c:trendlineType val="power"/>
            <c:dispRSqr val="0"/>
            <c:dispEq val="1"/>
            <c:trendlineLbl>
              <c:layout>
                <c:manualLayout>
                  <c:x val="0.31078776002772035"/>
                  <c:y val="-0.45463590307025575"/>
                </c:manualLayout>
              </c:layout>
              <c:numFmt formatCode="#,##0" sourceLinked="0"/>
            </c:trendlineLbl>
          </c:trendline>
          <c:trendline>
            <c:trendlineType val="exp"/>
            <c:dispRSqr val="0"/>
            <c:dispEq val="1"/>
            <c:trendlineLbl>
              <c:layout>
                <c:manualLayout>
                  <c:x val="0.31635158655243967"/>
                  <c:y val="-0.39360841522716639"/>
                </c:manualLayout>
              </c:layout>
              <c:numFmt formatCode="General" sourceLinked="0"/>
            </c:trendlineLbl>
          </c:trendline>
          <c:xVal>
            <c:numRef>
              <c:f>'The 19th Hole'!$B$6:$B$17</c:f>
              <c:numCache>
                <c:formatCode>"$"#,##0</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'The 19th Hole'!$C$6:$C$17</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3-5942-46C1-AAF6-3DCA353DCC09}"/>
            </c:ext>
          </c:extLst>
        </c:ser>
        <c:dLbls>
          <c:showLegendKey val="0"/>
          <c:showVal val="0"/>
          <c:showCatName val="0"/>
          <c:showSerName val="0"/>
          <c:showPercent val="0"/>
          <c:showBubbleSize val="0"/>
        </c:dLbls>
        <c:axId val="181575680"/>
        <c:axId val="181576256"/>
      </c:scatterChart>
      <c:valAx>
        <c:axId val="181575680"/>
        <c:scaling>
          <c:orientation val="minMax"/>
        </c:scaling>
        <c:delete val="0"/>
        <c:axPos val="b"/>
        <c:title>
          <c:tx>
            <c:rich>
              <a:bodyPr/>
              <a:lstStyle/>
              <a:p>
                <a:pPr>
                  <a:defRPr/>
                </a:pPr>
                <a:r>
                  <a:rPr lang="en-US"/>
                  <a:t>Price</a:t>
                </a:r>
                <a:r>
                  <a:rPr lang="en-US" baseline="0"/>
                  <a:t> in $</a:t>
                </a:r>
                <a:endParaRPr lang="en-US"/>
              </a:p>
            </c:rich>
          </c:tx>
          <c:overlay val="0"/>
        </c:title>
        <c:numFmt formatCode="&quot;$&quot;#,##0" sourceLinked="1"/>
        <c:majorTickMark val="none"/>
        <c:minorTickMark val="none"/>
        <c:tickLblPos val="nextTo"/>
        <c:crossAx val="181576256"/>
        <c:crosses val="autoZero"/>
        <c:crossBetween val="midCat"/>
      </c:valAx>
      <c:valAx>
        <c:axId val="181576256"/>
        <c:scaling>
          <c:orientation val="minMax"/>
        </c:scaling>
        <c:delete val="0"/>
        <c:axPos val="l"/>
        <c:majorGridlines/>
        <c:title>
          <c:tx>
            <c:rich>
              <a:bodyPr/>
              <a:lstStyle/>
              <a:p>
                <a:pPr>
                  <a:defRPr/>
                </a:pPr>
                <a:r>
                  <a:rPr lang="en-US"/>
                  <a:t>Demand in units</a:t>
                </a:r>
              </a:p>
            </c:rich>
          </c:tx>
          <c:overlay val="0"/>
        </c:title>
        <c:numFmt formatCode="General" sourceLinked="1"/>
        <c:majorTickMark val="none"/>
        <c:minorTickMark val="none"/>
        <c:tickLblPos val="nextTo"/>
        <c:crossAx val="1815756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b="0"/>
              <a:t>Profit</a:t>
            </a:r>
            <a:r>
              <a:rPr lang="en-US" sz="1200" b="0" baseline="0"/>
              <a:t> vs SalePrice</a:t>
            </a:r>
            <a:endParaRPr lang="en-US" sz="1200" b="0"/>
          </a:p>
        </c:rich>
      </c:tx>
      <c:overlay val="0"/>
    </c:title>
    <c:autoTitleDeleted val="0"/>
    <c:plotArea>
      <c:layout/>
      <c:scatterChart>
        <c:scatterStyle val="lineMarker"/>
        <c:varyColors val="0"/>
        <c:ser>
          <c:idx val="0"/>
          <c:order val="0"/>
          <c:spPr>
            <a:ln w="28575">
              <a:noFill/>
            </a:ln>
          </c:spPr>
          <c:xVal>
            <c:numRef>
              <c:f>'The 19th Hole'!$F$49:$F$93</c:f>
              <c:numCache>
                <c:formatCode>General</c:formatCode>
                <c:ptCount val="45"/>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numCache>
            </c:numRef>
          </c:xVal>
          <c:yVal>
            <c:numRef>
              <c:f>'The 19th Hole'!$G$49:$G$93</c:f>
              <c:numCache>
                <c:formatCode>_("$"* #,##0_);_("$"* \(#,##0\);_("$"* "-"??_);_(@_)</c:formatCode>
                <c:ptCount val="45"/>
                <c:pt idx="0">
                  <c:v>144859.72842847556</c:v>
                </c:pt>
                <c:pt idx="1">
                  <c:v>269590.60184817808</c:v>
                </c:pt>
                <c:pt idx="2">
                  <c:v>377277.18719872413</c:v>
                </c:pt>
                <c:pt idx="3">
                  <c:v>470458.61526328744</c:v>
                </c:pt>
                <c:pt idx="4">
                  <c:v>551238.40185229108</c:v>
                </c:pt>
                <c:pt idx="5">
                  <c:v>621369.53021456813</c:v>
                </c:pt>
                <c:pt idx="6">
                  <c:v>682320.93416212313</c:v>
                </c:pt>
                <c:pt idx="7">
                  <c:v>735329.86392835062</c:v>
                </c:pt>
                <c:pt idx="8">
                  <c:v>781443.44106265297</c:v>
                </c:pt>
                <c:pt idx="9">
                  <c:v>821551.86522268457</c:v>
                </c:pt>
                <c:pt idx="10">
                  <c:v>856415.12424477958</c:v>
                </c:pt>
                <c:pt idx="11">
                  <c:v>886684.61116254725</c:v>
                </c:pt>
                <c:pt idx="12">
                  <c:v>912920.72098907013</c:v>
                </c:pt>
                <c:pt idx="13">
                  <c:v>935607.253438466</c:v>
                </c:pt>
                <c:pt idx="14">
                  <c:v>955163.26238462282</c:v>
                </c:pt>
                <c:pt idx="15">
                  <c:v>971952.85243747453</c:v>
                </c:pt>
                <c:pt idx="16">
                  <c:v>986293.31587235699</c:v>
                </c:pt>
                <c:pt idx="17">
                  <c:v>998461.92082203622</c:v>
                </c:pt>
                <c:pt idx="18">
                  <c:v>1008701.5979665397</c:v>
                </c:pt>
                <c:pt idx="19">
                  <c:v>1017225.7233983984</c:v>
                </c:pt>
                <c:pt idx="20">
                  <c:v>1024222.1565401531</c:v>
                </c:pt>
                <c:pt idx="21">
                  <c:v>1029856.6614397548</c:v>
                </c:pt>
                <c:pt idx="22">
                  <c:v>1034275.8155834542</c:v>
                </c:pt>
                <c:pt idx="23">
                  <c:v>1037609.4911199291</c:v>
                </c:pt>
                <c:pt idx="24">
                  <c:v>1039972.9779989794</c:v>
                </c:pt>
                <c:pt idx="25">
                  <c:v>1041468.8061629091</c:v>
                </c:pt>
                <c:pt idx="26">
                  <c:v>1042188.3139489595</c:v>
                </c:pt>
                <c:pt idx="27">
                  <c:v>1042213.0017719698</c:v>
                </c:pt>
                <c:pt idx="28">
                  <c:v>1041615.7035724644</c:v>
                </c:pt>
                <c:pt idx="29">
                  <c:v>1040461.6031350964</c:v>
                </c:pt>
                <c:pt idx="30">
                  <c:v>1038809.1179690239</c:v>
                </c:pt>
                <c:pt idx="31">
                  <c:v>1036710.669808225</c:v>
                </c:pt>
                <c:pt idx="32">
                  <c:v>1034213.3577876764</c:v>
                </c:pt>
                <c:pt idx="33">
                  <c:v>1031359.5478624469</c:v>
                </c:pt>
                <c:pt idx="34">
                  <c:v>1028187.3899667513</c:v>
                </c:pt>
                <c:pt idx="35">
                  <c:v>1024731.2726827315</c:v>
                </c:pt>
                <c:pt idx="36">
                  <c:v>1021022.2237432048</c:v>
                </c:pt>
                <c:pt idx="37">
                  <c:v>1017088.2634793159</c:v>
                </c:pt>
                <c:pt idx="38">
                  <c:v>1012954.7173026291</c:v>
                </c:pt>
                <c:pt idx="39">
                  <c:v>1008644.4924491229</c:v>
                </c:pt>
                <c:pt idx="40">
                  <c:v>1004178.3234829371</c:v>
                </c:pt>
                <c:pt idx="41">
                  <c:v>999574.99043870345</c:v>
                </c:pt>
                <c:pt idx="42">
                  <c:v>994851.51295467373</c:v>
                </c:pt>
                <c:pt idx="43">
                  <c:v>990023.32329994719</c:v>
                </c:pt>
                <c:pt idx="44">
                  <c:v>985104.42081539321</c:v>
                </c:pt>
              </c:numCache>
            </c:numRef>
          </c:yVal>
          <c:smooth val="0"/>
          <c:extLst>
            <c:ext xmlns:c16="http://schemas.microsoft.com/office/drawing/2014/chart" uri="{C3380CC4-5D6E-409C-BE32-E72D297353CC}">
              <c16:uniqueId val="{00000000-AD8F-4AA5-99F6-B6E27E76CC5A}"/>
            </c:ext>
          </c:extLst>
        </c:ser>
        <c:dLbls>
          <c:showLegendKey val="0"/>
          <c:showVal val="0"/>
          <c:showCatName val="0"/>
          <c:showSerName val="0"/>
          <c:showPercent val="0"/>
          <c:showBubbleSize val="0"/>
        </c:dLbls>
        <c:axId val="181577984"/>
        <c:axId val="181578560"/>
      </c:scatterChart>
      <c:valAx>
        <c:axId val="181577984"/>
        <c:scaling>
          <c:orientation val="minMax"/>
        </c:scaling>
        <c:delete val="0"/>
        <c:axPos val="b"/>
        <c:title>
          <c:tx>
            <c:rich>
              <a:bodyPr/>
              <a:lstStyle/>
              <a:p>
                <a:pPr>
                  <a:defRPr/>
                </a:pPr>
                <a:r>
                  <a:rPr lang="en-US"/>
                  <a:t>SalePrice</a:t>
                </a:r>
              </a:p>
            </c:rich>
          </c:tx>
          <c:overlay val="0"/>
        </c:title>
        <c:numFmt formatCode="General" sourceLinked="1"/>
        <c:majorTickMark val="none"/>
        <c:minorTickMark val="none"/>
        <c:tickLblPos val="nextTo"/>
        <c:crossAx val="181578560"/>
        <c:crosses val="autoZero"/>
        <c:crossBetween val="midCat"/>
      </c:valAx>
      <c:valAx>
        <c:axId val="181578560"/>
        <c:scaling>
          <c:orientation val="minMax"/>
        </c:scaling>
        <c:delete val="0"/>
        <c:axPos val="l"/>
        <c:majorGridlines/>
        <c:title>
          <c:tx>
            <c:rich>
              <a:bodyPr/>
              <a:lstStyle/>
              <a:p>
                <a:pPr>
                  <a:defRPr/>
                </a:pPr>
                <a:r>
                  <a:rPr lang="en-US"/>
                  <a:t>profit</a:t>
                </a:r>
              </a:p>
            </c:rich>
          </c:tx>
          <c:overlay val="0"/>
        </c:title>
        <c:numFmt formatCode="_(&quot;$&quot;* #,##0_);_(&quot;$&quot;* \(#,##0\);_(&quot;$&quot;* &quot;-&quot;??_);_(@_)" sourceLinked="1"/>
        <c:majorTickMark val="none"/>
        <c:minorTickMark val="none"/>
        <c:tickLblPos val="nextTo"/>
        <c:crossAx val="18157798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b="0"/>
              <a:t>Peleton's</a:t>
            </a:r>
            <a:r>
              <a:rPr lang="en-US" sz="1200" b="0" baseline="0"/>
              <a:t> Yearly Revenue</a:t>
            </a:r>
            <a:endParaRPr lang="en-US" sz="1200" b="0"/>
          </a:p>
        </c:rich>
      </c:tx>
      <c:layout>
        <c:manualLayout>
          <c:xMode val="edge"/>
          <c:yMode val="edge"/>
          <c:x val="0.31845066588898607"/>
          <c:y val="3.2000000000000001E-2"/>
        </c:manualLayout>
      </c:layout>
      <c:overlay val="0"/>
    </c:title>
    <c:autoTitleDeleted val="0"/>
    <c:plotArea>
      <c:layout/>
      <c:scatterChart>
        <c:scatterStyle val="lineMarker"/>
        <c:varyColors val="0"/>
        <c:ser>
          <c:idx val="0"/>
          <c:order val="0"/>
          <c:spPr>
            <a:ln w="28575">
              <a:noFill/>
            </a:ln>
          </c:spPr>
          <c:trendline>
            <c:trendlineType val="exp"/>
            <c:dispRSqr val="0"/>
            <c:dispEq val="1"/>
            <c:trendlineLbl>
              <c:layout>
                <c:manualLayout>
                  <c:x val="0.3415950228443666"/>
                  <c:y val="-0.17853900262467193"/>
                </c:manualLayout>
              </c:layout>
              <c:tx>
                <c:rich>
                  <a:bodyPr/>
                  <a:lstStyle/>
                  <a:p>
                    <a:pPr>
                      <a:defRPr/>
                    </a:pPr>
                    <a:r>
                      <a:rPr lang="en-US" baseline="0"/>
                      <a:t>exp: y = 103.59e</a:t>
                    </a:r>
                    <a:r>
                      <a:rPr lang="en-US" baseline="30000"/>
                      <a:t>0.7259x</a:t>
                    </a:r>
                    <a:endParaRPr lang="en-US"/>
                  </a:p>
                </c:rich>
              </c:tx>
              <c:numFmt formatCode="General" sourceLinked="0"/>
            </c:trendlineLbl>
          </c:trendline>
          <c:trendline>
            <c:trendlineType val="power"/>
            <c:dispRSqr val="0"/>
            <c:dispEq val="1"/>
            <c:trendlineLbl>
              <c:layout>
                <c:manualLayout>
                  <c:x val="0.33933566637503643"/>
                  <c:y val="-0.19015853018372705"/>
                </c:manualLayout>
              </c:layout>
              <c:tx>
                <c:rich>
                  <a:bodyPr/>
                  <a:lstStyle/>
                  <a:p>
                    <a:pPr>
                      <a:defRPr/>
                    </a:pPr>
                    <a:r>
                      <a:rPr lang="en-US" baseline="0"/>
                      <a:t>pow: y = 170.97x</a:t>
                    </a:r>
                    <a:r>
                      <a:rPr lang="en-US" baseline="30000"/>
                      <a:t>1.7511</a:t>
                    </a:r>
                    <a:endParaRPr lang="en-US"/>
                  </a:p>
                </c:rich>
              </c:tx>
              <c:numFmt formatCode="General" sourceLinked="0"/>
            </c:trendlineLbl>
          </c:trendline>
          <c:yVal>
            <c:numRef>
              <c:f>'Exercise Equipment'!$D$7:$D$11</c:f>
              <c:numCache>
                <c:formatCode>"$"#,##0.0</c:formatCode>
                <c:ptCount val="5"/>
                <c:pt idx="0">
                  <c:v>218.6</c:v>
                </c:pt>
                <c:pt idx="1">
                  <c:v>435</c:v>
                </c:pt>
                <c:pt idx="2">
                  <c:v>915</c:v>
                </c:pt>
                <c:pt idx="3">
                  <c:v>1825.9</c:v>
                </c:pt>
                <c:pt idx="4">
                  <c:v>4021.8</c:v>
                </c:pt>
              </c:numCache>
            </c:numRef>
          </c:yVal>
          <c:smooth val="0"/>
          <c:extLst>
            <c:ext xmlns:c16="http://schemas.microsoft.com/office/drawing/2014/chart" uri="{C3380CC4-5D6E-409C-BE32-E72D297353CC}">
              <c16:uniqueId val="{00000002-A8CB-4EB0-A9C8-0717A3B4FDF7}"/>
            </c:ext>
          </c:extLst>
        </c:ser>
        <c:dLbls>
          <c:showLegendKey val="0"/>
          <c:showVal val="0"/>
          <c:showCatName val="0"/>
          <c:showSerName val="0"/>
          <c:showPercent val="0"/>
          <c:showBubbleSize val="0"/>
        </c:dLbls>
        <c:axId val="181581440"/>
        <c:axId val="181582016"/>
      </c:scatterChart>
      <c:valAx>
        <c:axId val="181581440"/>
        <c:scaling>
          <c:orientation val="minMax"/>
        </c:scaling>
        <c:delete val="0"/>
        <c:axPos val="b"/>
        <c:title>
          <c:tx>
            <c:rich>
              <a:bodyPr/>
              <a:lstStyle/>
              <a:p>
                <a:pPr>
                  <a:defRPr/>
                </a:pPr>
                <a:r>
                  <a:rPr lang="en-US"/>
                  <a:t>Years</a:t>
                </a:r>
                <a:r>
                  <a:rPr lang="en-US" baseline="0"/>
                  <a:t> Since 2016</a:t>
                </a:r>
                <a:endParaRPr lang="en-US"/>
              </a:p>
            </c:rich>
          </c:tx>
          <c:overlay val="0"/>
        </c:title>
        <c:majorTickMark val="none"/>
        <c:minorTickMark val="none"/>
        <c:tickLblPos val="nextTo"/>
        <c:crossAx val="181582016"/>
        <c:crosses val="autoZero"/>
        <c:crossBetween val="midCat"/>
      </c:valAx>
      <c:valAx>
        <c:axId val="181582016"/>
        <c:scaling>
          <c:orientation val="minMax"/>
        </c:scaling>
        <c:delete val="0"/>
        <c:axPos val="l"/>
        <c:majorGridlines/>
        <c:title>
          <c:tx>
            <c:rich>
              <a:bodyPr/>
              <a:lstStyle/>
              <a:p>
                <a:pPr>
                  <a:defRPr/>
                </a:pPr>
                <a:r>
                  <a:rPr lang="en-US"/>
                  <a:t>Revenue(mil</a:t>
                </a:r>
                <a:r>
                  <a:rPr lang="en-US" baseline="0"/>
                  <a:t> $)</a:t>
                </a:r>
                <a:endParaRPr lang="en-US"/>
              </a:p>
            </c:rich>
          </c:tx>
          <c:overlay val="0"/>
        </c:title>
        <c:numFmt formatCode="&quot;$&quot;#,##0.0" sourceLinked="1"/>
        <c:majorTickMark val="none"/>
        <c:minorTickMark val="none"/>
        <c:tickLblPos val="nextTo"/>
        <c:crossAx val="18158144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b="0"/>
              <a:t>Peloton's</a:t>
            </a:r>
            <a:r>
              <a:rPr lang="en-US" sz="1200" b="0" baseline="0"/>
              <a:t> Yearly Revenue</a:t>
            </a:r>
          </a:p>
        </c:rich>
      </c:tx>
      <c:layout>
        <c:manualLayout>
          <c:xMode val="edge"/>
          <c:yMode val="edge"/>
          <c:x val="0.22907635628115294"/>
          <c:y val="3.6199095022624438E-2"/>
        </c:manualLayout>
      </c:layout>
      <c:overlay val="0"/>
    </c:title>
    <c:autoTitleDeleted val="0"/>
    <c:plotArea>
      <c:layout/>
      <c:scatterChart>
        <c:scatterStyle val="lineMarker"/>
        <c:varyColors val="0"/>
        <c:ser>
          <c:idx val="0"/>
          <c:order val="0"/>
          <c:tx>
            <c:strRef>
              <c:f>'Exercise Equipment'!$C$51</c:f>
              <c:strCache>
                <c:ptCount val="1"/>
                <c:pt idx="0">
                  <c:v>Revenue (millions of USD)</c:v>
                </c:pt>
              </c:strCache>
            </c:strRef>
          </c:tx>
          <c:spPr>
            <a:ln w="28575">
              <a:noFill/>
            </a:ln>
          </c:spPr>
          <c:trendline>
            <c:trendlineType val="exp"/>
            <c:dispRSqr val="0"/>
            <c:dispEq val="1"/>
            <c:trendlineLbl>
              <c:layout>
                <c:manualLayout>
                  <c:x val="0.36634891280791737"/>
                  <c:y val="-0.18553556371064478"/>
                </c:manualLayout>
              </c:layout>
              <c:tx>
                <c:rich>
                  <a:bodyPr/>
                  <a:lstStyle/>
                  <a:p>
                    <a:pPr>
                      <a:defRPr/>
                    </a:pPr>
                    <a:r>
                      <a:rPr lang="en-US" baseline="0"/>
                      <a:t>exp: y = 135.8e</a:t>
                    </a:r>
                    <a:r>
                      <a:rPr lang="en-US" baseline="30000"/>
                      <a:t>0.6099x</a:t>
                    </a:r>
                    <a:endParaRPr lang="en-US"/>
                  </a:p>
                </c:rich>
              </c:tx>
              <c:numFmt formatCode="General" sourceLinked="0"/>
            </c:trendlineLbl>
          </c:trendline>
          <c:trendline>
            <c:trendlineType val="power"/>
            <c:dispRSqr val="0"/>
            <c:dispEq val="1"/>
            <c:trendlineLbl>
              <c:layout>
                <c:manualLayout>
                  <c:x val="0.37406766356040355"/>
                  <c:y val="-0.19459008800370542"/>
                </c:manualLayout>
              </c:layout>
              <c:tx>
                <c:rich>
                  <a:bodyPr/>
                  <a:lstStyle/>
                  <a:p>
                    <a:pPr>
                      <a:defRPr/>
                    </a:pPr>
                    <a:r>
                      <a:rPr lang="en-US" baseline="0"/>
                      <a:t>pow: y = 173.94x</a:t>
                    </a:r>
                    <a:r>
                      <a:rPr lang="en-US" baseline="30000"/>
                      <a:t>1.7209</a:t>
                    </a:r>
                    <a:endParaRPr lang="en-US"/>
                  </a:p>
                </c:rich>
              </c:tx>
              <c:numFmt formatCode="General" sourceLinked="0"/>
            </c:trendlineLbl>
          </c:trendline>
          <c:xVal>
            <c:numRef>
              <c:f>'Exercise Equipment'!$B$52:$B$57</c:f>
              <c:numCache>
                <c:formatCode>General</c:formatCode>
                <c:ptCount val="6"/>
                <c:pt idx="0">
                  <c:v>1</c:v>
                </c:pt>
                <c:pt idx="1">
                  <c:v>2</c:v>
                </c:pt>
                <c:pt idx="2">
                  <c:v>3</c:v>
                </c:pt>
                <c:pt idx="3">
                  <c:v>4</c:v>
                </c:pt>
                <c:pt idx="4">
                  <c:v>5</c:v>
                </c:pt>
                <c:pt idx="5">
                  <c:v>6</c:v>
                </c:pt>
              </c:numCache>
            </c:numRef>
          </c:xVal>
          <c:yVal>
            <c:numRef>
              <c:f>'Exercise Equipment'!$C$52:$C$57</c:f>
              <c:numCache>
                <c:formatCode>"$"#,##0.0</c:formatCode>
                <c:ptCount val="6"/>
                <c:pt idx="0">
                  <c:v>218.6</c:v>
                </c:pt>
                <c:pt idx="1">
                  <c:v>435</c:v>
                </c:pt>
                <c:pt idx="2">
                  <c:v>915</c:v>
                </c:pt>
                <c:pt idx="3">
                  <c:v>1825.9</c:v>
                </c:pt>
                <c:pt idx="4">
                  <c:v>4021.8</c:v>
                </c:pt>
                <c:pt idx="5">
                  <c:v>3582.1</c:v>
                </c:pt>
              </c:numCache>
            </c:numRef>
          </c:yVal>
          <c:smooth val="0"/>
          <c:extLst>
            <c:ext xmlns:c16="http://schemas.microsoft.com/office/drawing/2014/chart" uri="{C3380CC4-5D6E-409C-BE32-E72D297353CC}">
              <c16:uniqueId val="{00000002-A422-4E94-B156-79AC37727448}"/>
            </c:ext>
          </c:extLst>
        </c:ser>
        <c:dLbls>
          <c:showLegendKey val="0"/>
          <c:showVal val="0"/>
          <c:showCatName val="0"/>
          <c:showSerName val="0"/>
          <c:showPercent val="0"/>
          <c:showBubbleSize val="0"/>
        </c:dLbls>
        <c:axId val="182697984"/>
        <c:axId val="182698560"/>
      </c:scatterChart>
      <c:valAx>
        <c:axId val="182697984"/>
        <c:scaling>
          <c:orientation val="minMax"/>
        </c:scaling>
        <c:delete val="0"/>
        <c:axPos val="b"/>
        <c:title>
          <c:tx>
            <c:rich>
              <a:bodyPr/>
              <a:lstStyle/>
              <a:p>
                <a:pPr>
                  <a:defRPr/>
                </a:pPr>
                <a:r>
                  <a:rPr lang="en-US"/>
                  <a:t>Years since 2016</a:t>
                </a:r>
              </a:p>
            </c:rich>
          </c:tx>
          <c:overlay val="0"/>
        </c:title>
        <c:numFmt formatCode="General" sourceLinked="1"/>
        <c:majorTickMark val="none"/>
        <c:minorTickMark val="none"/>
        <c:tickLblPos val="nextTo"/>
        <c:crossAx val="182698560"/>
        <c:crosses val="autoZero"/>
        <c:crossBetween val="midCat"/>
      </c:valAx>
      <c:valAx>
        <c:axId val="182698560"/>
        <c:scaling>
          <c:orientation val="minMax"/>
        </c:scaling>
        <c:delete val="0"/>
        <c:axPos val="l"/>
        <c:majorGridlines/>
        <c:title>
          <c:tx>
            <c:rich>
              <a:bodyPr/>
              <a:lstStyle/>
              <a:p>
                <a:pPr>
                  <a:defRPr/>
                </a:pPr>
                <a:r>
                  <a:rPr lang="en-US"/>
                  <a:t>Revenue(mil</a:t>
                </a:r>
                <a:r>
                  <a:rPr lang="en-US" baseline="0"/>
                  <a:t> $)</a:t>
                </a:r>
                <a:endParaRPr lang="en-US"/>
              </a:p>
            </c:rich>
          </c:tx>
          <c:overlay val="0"/>
        </c:title>
        <c:numFmt formatCode="&quot;$&quot;#,##0.0" sourceLinked="1"/>
        <c:majorTickMark val="none"/>
        <c:minorTickMark val="none"/>
        <c:tickLblPos val="nextTo"/>
        <c:crossAx val="18269798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0"/>
              <a:t>Microsoft</a:t>
            </a:r>
            <a:r>
              <a:rPr lang="en-US" sz="1400" b="0" baseline="0"/>
              <a:t> Yearly Sales</a:t>
            </a:r>
            <a:endParaRPr lang="en-US" sz="1400" b="0"/>
          </a:p>
        </c:rich>
      </c:tx>
      <c:overlay val="0"/>
    </c:title>
    <c:autoTitleDeleted val="0"/>
    <c:plotArea>
      <c:layout/>
      <c:scatterChart>
        <c:scatterStyle val="lineMarker"/>
        <c:varyColors val="0"/>
        <c:ser>
          <c:idx val="0"/>
          <c:order val="0"/>
          <c:spPr>
            <a:ln w="28575">
              <a:noFill/>
            </a:ln>
          </c:spPr>
          <c:trendline>
            <c:trendlineType val="exp"/>
            <c:dispRSqr val="0"/>
            <c:dispEq val="1"/>
            <c:trendlineLbl>
              <c:layout>
                <c:manualLayout>
                  <c:x val="0.36111417322834644"/>
                  <c:y val="-7.0335739282589682E-2"/>
                </c:manualLayout>
              </c:layout>
              <c:tx>
                <c:rich>
                  <a:bodyPr/>
                  <a:lstStyle/>
                  <a:p>
                    <a:pPr>
                      <a:defRPr/>
                    </a:pPr>
                    <a:r>
                      <a:rPr lang="en-US" baseline="0"/>
                      <a:t>exp: y = 158193e</a:t>
                    </a:r>
                    <a:r>
                      <a:rPr lang="en-US" baseline="30000"/>
                      <a:t>0.043x</a:t>
                    </a:r>
                    <a:endParaRPr lang="en-US"/>
                  </a:p>
                </c:rich>
              </c:tx>
              <c:numFmt formatCode="General" sourceLinked="0"/>
            </c:trendlineLbl>
          </c:trendline>
          <c:xVal>
            <c:numRef>
              <c:f>'Module 3 Assessment'!$B$4:$B$23</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'Module 3 Assessment'!$C$4:$C$23</c:f>
              <c:numCache>
                <c:formatCode>"$"#,##0.00</c:formatCode>
                <c:ptCount val="20"/>
                <c:pt idx="0">
                  <c:v>150781.16666666666</c:v>
                </c:pt>
                <c:pt idx="1">
                  <c:v>161696.25</c:v>
                </c:pt>
                <c:pt idx="2">
                  <c:v>175688.83333333334</c:v>
                </c:pt>
                <c:pt idx="3">
                  <c:v>185437.25</c:v>
                </c:pt>
                <c:pt idx="4">
                  <c:v>196728.16666666666</c:v>
                </c:pt>
                <c:pt idx="5">
                  <c:v>206334.08333333334</c:v>
                </c:pt>
                <c:pt idx="6">
                  <c:v>215657.66666666666</c:v>
                </c:pt>
                <c:pt idx="7">
                  <c:v>233872</c:v>
                </c:pt>
                <c:pt idx="8">
                  <c:v>248748.25</c:v>
                </c:pt>
                <c:pt idx="9">
                  <c:v>255663.75</c:v>
                </c:pt>
                <c:pt idx="10">
                  <c:v>261272.41666666666</c:v>
                </c:pt>
                <c:pt idx="11">
                  <c:v>272232.5</c:v>
                </c:pt>
                <c:pt idx="12">
                  <c:v>288987.5</c:v>
                </c:pt>
                <c:pt idx="13">
                  <c:v>307826.08333333331</c:v>
                </c:pt>
                <c:pt idx="14">
                  <c:v>323823.08333333331</c:v>
                </c:pt>
                <c:pt idx="15">
                  <c:v>334008</c:v>
                </c:pt>
                <c:pt idx="16">
                  <c:v>328780.33333333331</c:v>
                </c:pt>
                <c:pt idx="17">
                  <c:v>303288.91666666669</c:v>
                </c:pt>
                <c:pt idx="18">
                  <c:v>323964.16666666669</c:v>
                </c:pt>
                <c:pt idx="19">
                  <c:v>349717.75</c:v>
                </c:pt>
              </c:numCache>
            </c:numRef>
          </c:yVal>
          <c:smooth val="0"/>
          <c:extLst>
            <c:ext xmlns:c16="http://schemas.microsoft.com/office/drawing/2014/chart" uri="{C3380CC4-5D6E-409C-BE32-E72D297353CC}">
              <c16:uniqueId val="{00000001-AE76-463A-AE44-8B3304F4492A}"/>
            </c:ext>
          </c:extLst>
        </c:ser>
        <c:dLbls>
          <c:showLegendKey val="0"/>
          <c:showVal val="0"/>
          <c:showCatName val="0"/>
          <c:showSerName val="0"/>
          <c:showPercent val="0"/>
          <c:showBubbleSize val="0"/>
        </c:dLbls>
        <c:axId val="194489152"/>
        <c:axId val="194488000"/>
      </c:scatterChart>
      <c:valAx>
        <c:axId val="194489152"/>
        <c:scaling>
          <c:orientation val="minMax"/>
        </c:scaling>
        <c:delete val="0"/>
        <c:axPos val="b"/>
        <c:title>
          <c:tx>
            <c:rich>
              <a:bodyPr/>
              <a:lstStyle/>
              <a:p>
                <a:pPr>
                  <a:defRPr/>
                </a:pPr>
                <a:r>
                  <a:rPr lang="en-US"/>
                  <a:t>Years since 1991</a:t>
                </a:r>
              </a:p>
            </c:rich>
          </c:tx>
          <c:overlay val="0"/>
        </c:title>
        <c:numFmt formatCode="General" sourceLinked="1"/>
        <c:majorTickMark val="none"/>
        <c:minorTickMark val="none"/>
        <c:tickLblPos val="nextTo"/>
        <c:crossAx val="194488000"/>
        <c:crosses val="autoZero"/>
        <c:crossBetween val="midCat"/>
      </c:valAx>
      <c:valAx>
        <c:axId val="194488000"/>
        <c:scaling>
          <c:orientation val="minMax"/>
        </c:scaling>
        <c:delete val="0"/>
        <c:axPos val="l"/>
        <c:majorGridlines/>
        <c:numFmt formatCode="&quot;$&quot;#,##0.00" sourceLinked="1"/>
        <c:majorTickMark val="none"/>
        <c:minorTickMark val="none"/>
        <c:tickLblPos val="nextTo"/>
        <c:crossAx val="19448915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400050</xdr:colOff>
      <xdr:row>4</xdr:row>
      <xdr:rowOff>9525</xdr:rowOff>
    </xdr:to>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0" y="0"/>
          <a:ext cx="5276850" cy="771525"/>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ctr" rtl="0">
            <a:defRPr sz="1000"/>
          </a:pPr>
          <a:r>
            <a:rPr lang="en-US" sz="1100" b="1" i="0" u="none" strike="noStrike" baseline="0">
              <a:solidFill>
                <a:schemeClr val="tx1">
                  <a:lumMod val="75000"/>
                  <a:lumOff val="25000"/>
                </a:schemeClr>
              </a:solidFill>
              <a:latin typeface="Calibri"/>
            </a:rPr>
            <a:t>Scenario</a:t>
          </a:r>
        </a:p>
        <a:p>
          <a:pPr algn="l" rtl="0">
            <a:defRPr sz="1000"/>
          </a:pPr>
          <a:r>
            <a:rPr lang="en-US" sz="1100" b="1" i="0" u="none" strike="noStrike" baseline="0">
              <a:solidFill>
                <a:schemeClr val="tx1">
                  <a:lumMod val="75000"/>
                  <a:lumOff val="25000"/>
                </a:schemeClr>
              </a:solidFill>
              <a:latin typeface="Calibri"/>
            </a:rPr>
            <a:t>The 19th Hole </a:t>
          </a:r>
          <a:r>
            <a:rPr lang="en-US" sz="1100" b="0" i="0" u="none" strike="noStrike" baseline="0">
              <a:solidFill>
                <a:schemeClr val="tx1">
                  <a:lumMod val="75000"/>
                  <a:lumOff val="25000"/>
                </a:schemeClr>
              </a:solidFill>
              <a:latin typeface="Calibri"/>
            </a:rPr>
            <a:t>sells golf clubs at its golf outlet stores throughout the US.  The company knows that the demand for its club varies considerably with price.  In the last year, the demand at each price level was recorded in the table below.</a:t>
          </a:r>
        </a:p>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xdr:txBody>
    </xdr:sp>
    <xdr:clientData/>
  </xdr:twoCellAnchor>
  <xdr:twoCellAnchor>
    <xdr:from>
      <xdr:col>0</xdr:col>
      <xdr:colOff>0</xdr:colOff>
      <xdr:row>16</xdr:row>
      <xdr:rowOff>182879</xdr:rowOff>
    </xdr:from>
    <xdr:to>
      <xdr:col>8</xdr:col>
      <xdr:colOff>693420</xdr:colOff>
      <xdr:row>21</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0" y="3108959"/>
          <a:ext cx="10142220" cy="788671"/>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chemeClr val="tx1">
                  <a:lumMod val="75000"/>
                  <a:lumOff val="25000"/>
                </a:schemeClr>
              </a:solidFill>
              <a:latin typeface="Calibri"/>
            </a:rPr>
            <a:t>The company wants to estimate the relationship between demand and price and then use this estimated relationship to answer the following questions: </a:t>
          </a:r>
        </a:p>
        <a:p>
          <a:pPr algn="l" rtl="0">
            <a:defRPr sz="1000"/>
          </a:pPr>
          <a:r>
            <a:rPr lang="en-US" sz="1100" b="0" i="0" u="none" strike="noStrike" baseline="0">
              <a:solidFill>
                <a:schemeClr val="tx1">
                  <a:lumMod val="75000"/>
                  <a:lumOff val="25000"/>
                </a:schemeClr>
              </a:solidFill>
              <a:latin typeface="Calibri"/>
            </a:rPr>
            <a:t>    1. Assuming the unit cost of producing a set of clubs is $250, and the price must be a multiple of $10, what price should the company charge to maximize its profit?</a:t>
          </a:r>
        </a:p>
        <a:p>
          <a:pPr algn="l" rtl="0">
            <a:defRPr sz="1000"/>
          </a:pPr>
          <a:r>
            <a:rPr lang="en-US" sz="1100" b="0" i="0" u="none" strike="noStrike" baseline="0">
              <a:solidFill>
                <a:schemeClr val="tx1">
                  <a:lumMod val="75000"/>
                  <a:lumOff val="25000"/>
                </a:schemeClr>
              </a:solidFill>
              <a:latin typeface="Calibri"/>
            </a:rPr>
            <a:t>    2. How does the optimal price depend on the unit cost of producing a set of clubs?</a:t>
          </a:r>
        </a:p>
        <a:p>
          <a:pPr algn="l" rtl="0">
            <a:defRPr sz="1000"/>
          </a:pPr>
          <a:r>
            <a:rPr lang="en-US" sz="1100" b="0" i="0" u="none" strike="noStrike" baseline="0">
              <a:solidFill>
                <a:schemeClr val="tx1">
                  <a:lumMod val="75000"/>
                  <a:lumOff val="25000"/>
                </a:schemeClr>
              </a:solidFill>
              <a:latin typeface="Calibri"/>
            </a:rPr>
            <a:t>    3. Is the model an accurate representation of reality?</a:t>
          </a:r>
        </a:p>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xdr:txBody>
    </xdr:sp>
    <xdr:clientData/>
  </xdr:twoCellAnchor>
  <xdr:twoCellAnchor>
    <xdr:from>
      <xdr:col>3</xdr:col>
      <xdr:colOff>1047750</xdr:colOff>
      <xdr:row>4</xdr:row>
      <xdr:rowOff>7620</xdr:rowOff>
    </xdr:from>
    <xdr:to>
      <xdr:col>13</xdr:col>
      <xdr:colOff>289560</xdr:colOff>
      <xdr:row>16</xdr:row>
      <xdr:rowOff>179070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228600</xdr:colOff>
      <xdr:row>46</xdr:row>
      <xdr:rowOff>19050</xdr:rowOff>
    </xdr:from>
    <xdr:to>
      <xdr:col>14</xdr:col>
      <xdr:colOff>371475</xdr:colOff>
      <xdr:row>60</xdr:row>
      <xdr:rowOff>95250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1152524</xdr:colOff>
      <xdr:row>1</xdr:row>
      <xdr:rowOff>28575</xdr:rowOff>
    </xdr:from>
    <xdr:ext cx="5219701" cy="3020186"/>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7210424" y="276225"/>
          <a:ext cx="5219701" cy="302018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lumMod val="75000"/>
                  <a:lumOff val="25000"/>
                </a:schemeClr>
              </a:solidFill>
              <a:effectLst/>
              <a:latin typeface="+mn-lt"/>
              <a:ea typeface="+mn-ea"/>
              <a:cs typeface="+mn-cs"/>
            </a:rPr>
            <a:t>Scenario</a:t>
          </a:r>
        </a:p>
        <a:p>
          <a:r>
            <a:rPr lang="en-US" sz="1100" b="0" i="0">
              <a:solidFill>
                <a:schemeClr val="tx1">
                  <a:lumMod val="75000"/>
                  <a:lumOff val="25000"/>
                </a:schemeClr>
              </a:solidFill>
              <a:effectLst/>
              <a:latin typeface="+mn-lt"/>
              <a:ea typeface="+mn-ea"/>
              <a:cs typeface="+mn-cs"/>
            </a:rPr>
            <a: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a:t>
          </a:r>
          <a:r>
            <a:rPr lang="en-US" sz="1100" b="0" i="1">
              <a:solidFill>
                <a:schemeClr val="tx1">
                  <a:lumMod val="75000"/>
                  <a:lumOff val="25000"/>
                </a:schemeClr>
              </a:solidFill>
              <a:effectLst/>
              <a:latin typeface="+mn-lt"/>
              <a:ea typeface="+mn-ea"/>
              <a:cs typeface="+mn-cs"/>
            </a:rPr>
            <a:t>end </a:t>
          </a:r>
          <a:r>
            <a:rPr lang="en-US" sz="1100" b="0" i="0">
              <a:solidFill>
                <a:schemeClr val="tx1">
                  <a:lumMod val="75000"/>
                  <a:lumOff val="25000"/>
                </a:schemeClr>
              </a:solidFill>
              <a:effectLst/>
              <a:latin typeface="+mn-lt"/>
              <a:ea typeface="+mn-ea"/>
              <a:cs typeface="+mn-cs"/>
            </a:rPr>
            <a:t>of the respective years.  Using an annual discount rate of 12% for purposes of calculating net present value (NPV), the drug company wants to answer the following questions: </a:t>
          </a:r>
        </a:p>
        <a:p>
          <a:r>
            <a:rPr lang="en-US" sz="1100" b="0" i="0">
              <a:solidFill>
                <a:schemeClr val="tx1">
                  <a:lumMod val="75000"/>
                  <a:lumOff val="25000"/>
                </a:schemeClr>
              </a:solidFill>
              <a:effectLst/>
              <a:latin typeface="+mn-lt"/>
              <a:ea typeface="+mn-ea"/>
              <a:cs typeface="+mn-cs"/>
            </a:rPr>
            <a:t>1. Is the drug worth pursuing, or should Gopher Drugs abandon it now and not incur the $9.3M development cost?</a:t>
          </a:r>
        </a:p>
        <a:p>
          <a:r>
            <a:rPr lang="en-US" sz="1100" b="0" i="0">
              <a:solidFill>
                <a:schemeClr val="tx1">
                  <a:lumMod val="75000"/>
                  <a:lumOff val="25000"/>
                </a:schemeClr>
              </a:solidFill>
              <a:effectLst/>
              <a:latin typeface="+mn-lt"/>
              <a:ea typeface="+mn-ea"/>
              <a:cs typeface="+mn-cs"/>
            </a:rPr>
            <a:t>2. How do changes in the model change the answer to the prior question?</a:t>
          </a:r>
        </a:p>
        <a:p>
          <a:endParaRPr lang="en-US" sz="1100"/>
        </a:p>
      </xdr:txBody>
    </xdr:sp>
    <xdr:clientData/>
  </xdr:oneCellAnchor>
  <xdr:oneCellAnchor>
    <xdr:from>
      <xdr:col>0</xdr:col>
      <xdr:colOff>133350</xdr:colOff>
      <xdr:row>13</xdr:row>
      <xdr:rowOff>142875</xdr:rowOff>
    </xdr:from>
    <xdr:ext cx="3362325" cy="1031693"/>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33350" y="2676525"/>
          <a:ext cx="3362325" cy="103169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u="none"/>
            <a:t>NPV</a:t>
          </a:r>
          <a:r>
            <a:rPr lang="en-US" sz="1200" b="1" i="0" u="none" baseline="0"/>
            <a:t> is positive so we will go ahead and approve this project as a manager but if npv is negative we donot go ahead  with the project.</a:t>
          </a:r>
        </a:p>
        <a:p>
          <a:r>
            <a:rPr lang="en-US" sz="1200" b="1" i="0" u="none" baseline="0"/>
            <a:t>NPV is nothing but 'what value will the project add  in todays money. '</a:t>
          </a:r>
        </a:p>
      </xdr:txBody>
    </xdr:sp>
    <xdr:clientData/>
  </xdr:oneCellAnchor>
  <xdr:oneCellAnchor>
    <xdr:from>
      <xdr:col>0</xdr:col>
      <xdr:colOff>0</xdr:colOff>
      <xdr:row>30</xdr:row>
      <xdr:rowOff>0</xdr:rowOff>
    </xdr:from>
    <xdr:ext cx="7972425" cy="714375"/>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0" y="5772150"/>
          <a:ext cx="7972425" cy="71437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Scenario</a:t>
          </a:r>
        </a:p>
        <a:p>
          <a:r>
            <a:rPr lang="en-US" sz="1100" b="0" i="0">
              <a:solidFill>
                <a:schemeClr val="tx1"/>
              </a:solidFill>
              <a:effectLst/>
              <a:latin typeface="+mn-lt"/>
              <a:ea typeface="+mn-ea"/>
              <a:cs typeface="+mn-cs"/>
            </a:rPr>
            <a:t>A company is considering paying $150,000 at the beginning of the year to get into an investment. The cash inflows at the ends of years 1 through 5 are listed in the table below. The company uses a discount rate of 15% to compute net present value (NPV).</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95249</xdr:colOff>
      <xdr:row>2</xdr:row>
      <xdr:rowOff>9523</xdr:rowOff>
    </xdr:from>
    <xdr:ext cx="5600701" cy="609013"/>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95249" y="466723"/>
          <a:ext cx="5600701" cy="60901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lumMod val="65000"/>
                  <a:lumOff val="35000"/>
                </a:schemeClr>
              </a:solidFill>
              <a:effectLst/>
              <a:latin typeface="+mn-lt"/>
              <a:ea typeface="+mn-ea"/>
              <a:cs typeface="+mn-cs"/>
            </a:rPr>
            <a:t>The table below lists the annual revenue (in millions of US dollars) for the exercise bicycle manufacturer Peloton for the years 2017 through 2021. For convenience, the data is also contained in the attached file Peloton_Revenue.xlsx.</a:t>
          </a:r>
          <a:endParaRPr lang="en-US" sz="1100">
            <a:solidFill>
              <a:schemeClr val="tx1">
                <a:lumMod val="65000"/>
                <a:lumOff val="35000"/>
              </a:schemeClr>
            </a:solidFill>
          </a:endParaRPr>
        </a:p>
      </xdr:txBody>
    </xdr:sp>
    <xdr:clientData/>
  </xdr:oneCellAnchor>
  <xdr:oneCellAnchor>
    <xdr:from>
      <xdr:col>0</xdr:col>
      <xdr:colOff>104774</xdr:colOff>
      <xdr:row>12</xdr:row>
      <xdr:rowOff>76200</xdr:rowOff>
    </xdr:from>
    <xdr:ext cx="9934576" cy="1657350"/>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04774" y="2438400"/>
          <a:ext cx="9934576" cy="165735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lumMod val="65000"/>
                  <a:lumOff val="35000"/>
                </a:schemeClr>
              </a:solidFill>
              <a:effectLst/>
              <a:latin typeface="+mn-lt"/>
              <a:ea typeface="+mn-ea"/>
              <a:cs typeface="+mn-cs"/>
            </a:rPr>
            <a:t>Model Set-Up</a:t>
          </a:r>
        </a:p>
        <a:p>
          <a:r>
            <a:rPr lang="en-US" sz="1100" b="0" i="0">
              <a:solidFill>
                <a:schemeClr val="tx1">
                  <a:lumMod val="65000"/>
                  <a:lumOff val="35000"/>
                </a:schemeClr>
              </a:solidFill>
              <a:effectLst/>
              <a:latin typeface="+mn-lt"/>
              <a:ea typeface="+mn-ea"/>
              <a:cs typeface="+mn-cs"/>
            </a:rPr>
            <a:t>1. Create a new column called Year Number. 2017 should go with Year Number 1, 2018 should go with Year Number 2, and so on. </a:t>
          </a:r>
        </a:p>
        <a:p>
          <a:r>
            <a:rPr lang="en-US" sz="1100" b="0" i="0">
              <a:solidFill>
                <a:schemeClr val="tx1">
                  <a:lumMod val="65000"/>
                  <a:lumOff val="35000"/>
                </a:schemeClr>
              </a:solidFill>
              <a:effectLst/>
              <a:latin typeface="+mn-lt"/>
              <a:ea typeface="+mn-ea"/>
              <a:cs typeface="+mn-cs"/>
            </a:rPr>
            <a:t>1. Create a scatter plot of the annual revenue. The Year Number data should go with the </a:t>
          </a:r>
          <a:r>
            <a:rPr lang="en-US" sz="1100" b="0" i="1">
              <a:solidFill>
                <a:schemeClr val="tx1">
                  <a:lumMod val="65000"/>
                  <a:lumOff val="35000"/>
                </a:schemeClr>
              </a:solidFill>
              <a:effectLst/>
              <a:latin typeface="+mn-lt"/>
              <a:ea typeface="+mn-ea"/>
              <a:cs typeface="+mn-cs"/>
            </a:rPr>
            <a:t>x</a:t>
          </a:r>
          <a:r>
            <a:rPr lang="en-US" sz="1100" b="0" i="0">
              <a:solidFill>
                <a:schemeClr val="tx1">
                  <a:lumMod val="65000"/>
                  <a:lumOff val="35000"/>
                </a:schemeClr>
              </a:solidFill>
              <a:effectLst/>
              <a:latin typeface="+mn-lt"/>
              <a:ea typeface="+mn-ea"/>
              <a:cs typeface="+mn-cs"/>
            </a:rPr>
            <a:t>-axis and the Revenue data should go with the </a:t>
          </a:r>
          <a:r>
            <a:rPr lang="en-US" sz="1100" b="0" i="1">
              <a:solidFill>
                <a:schemeClr val="tx1">
                  <a:lumMod val="65000"/>
                  <a:lumOff val="35000"/>
                </a:schemeClr>
              </a:solidFill>
              <a:effectLst/>
              <a:latin typeface="+mn-lt"/>
              <a:ea typeface="+mn-ea"/>
              <a:cs typeface="+mn-cs"/>
            </a:rPr>
            <a:t>y</a:t>
          </a:r>
          <a:r>
            <a:rPr lang="en-US" sz="1100" b="0" i="0">
              <a:solidFill>
                <a:schemeClr val="tx1">
                  <a:lumMod val="65000"/>
                  <a:lumOff val="35000"/>
                </a:schemeClr>
              </a:solidFill>
              <a:effectLst/>
              <a:latin typeface="+mn-lt"/>
              <a:ea typeface="+mn-ea"/>
              <a:cs typeface="+mn-cs"/>
            </a:rPr>
            <a:t>-axis. Make sure that your chart has an accurate title and axis labels.</a:t>
          </a:r>
        </a:p>
        <a:p>
          <a:r>
            <a:rPr lang="en-US" sz="1100" b="0" i="0">
              <a:solidFill>
                <a:schemeClr val="tx1">
                  <a:lumMod val="65000"/>
                  <a:lumOff val="35000"/>
                </a:schemeClr>
              </a:solidFill>
              <a:effectLst/>
              <a:latin typeface="+mn-lt"/>
              <a:ea typeface="+mn-ea"/>
              <a:cs typeface="+mn-cs"/>
            </a:rPr>
            <a:t>1. Fit a power function and an exponential function to these data. Display the equations for the two trendlines on the chart.</a:t>
          </a:r>
        </a:p>
        <a:p>
          <a:r>
            <a:rPr lang="en-US" sz="1100" b="1" i="0">
              <a:solidFill>
                <a:schemeClr val="tx1">
                  <a:lumMod val="65000"/>
                  <a:lumOff val="35000"/>
                </a:schemeClr>
              </a:solidFill>
              <a:effectLst/>
              <a:latin typeface="+mn-lt"/>
              <a:ea typeface="+mn-ea"/>
              <a:cs typeface="+mn-cs"/>
            </a:rPr>
            <a:t>Note: </a:t>
          </a:r>
          <a:r>
            <a:rPr lang="en-US" sz="1100" b="0" i="0">
              <a:solidFill>
                <a:schemeClr val="tx1">
                  <a:lumMod val="65000"/>
                  <a:lumOff val="35000"/>
                </a:schemeClr>
              </a:solidFill>
              <a:effectLst/>
              <a:latin typeface="+mn-lt"/>
              <a:ea typeface="+mn-ea"/>
              <a:cs typeface="+mn-cs"/>
            </a:rPr>
            <a:t>The Year Number column is needed to make the data easier to model. If you tried to make a scatterplot of the years and the revenue, you would get coefficients of 0 for the exponential and power trendlines. This is because plugging large numbers like 2017 into exponential or power function results in numbers that are very large. If your exponential and/or power functions are not showing up on your chart or have coefficients of 0, ensure that you have set up your Year Number column correctly and used that in your scatterplot instead of the original years.</a:t>
          </a:r>
        </a:p>
        <a:p>
          <a:endParaRPr lang="en-US" sz="1100"/>
        </a:p>
      </xdr:txBody>
    </xdr:sp>
    <xdr:clientData/>
  </xdr:oneCellAnchor>
  <xdr:twoCellAnchor>
    <xdr:from>
      <xdr:col>5</xdr:col>
      <xdr:colOff>38100</xdr:colOff>
      <xdr:row>0</xdr:row>
      <xdr:rowOff>0</xdr:rowOff>
    </xdr:from>
    <xdr:to>
      <xdr:col>13</xdr:col>
      <xdr:colOff>66675</xdr:colOff>
      <xdr:row>12</xdr:row>
      <xdr:rowOff>19050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1533524</xdr:colOff>
      <xdr:row>47</xdr:row>
      <xdr:rowOff>9525</xdr:rowOff>
    </xdr:from>
    <xdr:to>
      <xdr:col>11</xdr:col>
      <xdr:colOff>419099</xdr:colOff>
      <xdr:row>57</xdr:row>
      <xdr:rowOff>161925</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4</xdr:col>
      <xdr:colOff>504825</xdr:colOff>
      <xdr:row>2</xdr:row>
      <xdr:rowOff>47625</xdr:rowOff>
    </xdr:from>
    <xdr:ext cx="6591300" cy="3057525"/>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6029325" y="504825"/>
          <a:ext cx="6591300" cy="305752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b="1" i="0">
              <a:solidFill>
                <a:schemeClr val="tx1"/>
              </a:solidFill>
              <a:effectLst/>
              <a:latin typeface="+mn-lt"/>
              <a:ea typeface="+mn-ea"/>
              <a:cs typeface="+mn-cs"/>
            </a:rPr>
            <a:t>Part 1: Microsoft</a:t>
          </a:r>
        </a:p>
        <a:p>
          <a:r>
            <a:rPr lang="en-US" sz="1100" b="0" i="0">
              <a:solidFill>
                <a:schemeClr val="tx1"/>
              </a:solidFill>
              <a:effectLst/>
              <a:latin typeface="+mn-lt"/>
              <a:ea typeface="+mn-ea"/>
              <a:cs typeface="+mn-cs"/>
            </a:rPr>
            <a:t>In the first part of the quiz, you will work with historical data from a business. </a:t>
          </a:r>
        </a:p>
        <a:p>
          <a:pPr algn="ctr"/>
          <a:r>
            <a:rPr lang="en-US" sz="1100" b="1" i="0">
              <a:solidFill>
                <a:schemeClr val="tx1"/>
              </a:solidFill>
              <a:effectLst/>
              <a:latin typeface="+mn-lt"/>
              <a:ea typeface="+mn-ea"/>
              <a:cs typeface="+mn-cs"/>
            </a:rPr>
            <a:t>Scenario</a:t>
          </a:r>
        </a:p>
        <a:p>
          <a:r>
            <a:rPr lang="en-US" sz="1100" b="0" i="0">
              <a:solidFill>
                <a:schemeClr val="tx1"/>
              </a:solidFill>
              <a:effectLst/>
              <a:latin typeface="+mn-lt"/>
              <a:ea typeface="+mn-ea"/>
              <a:cs typeface="+mn-cs"/>
            </a:rPr>
            <a:t>The attached file Microsoft_Sales.xlsx gives the annual sales for Microsoft (in millions of dollars) for the years 1992 through 2011.</a:t>
          </a:r>
        </a:p>
        <a:p>
          <a:endParaRPr lang="en-US" sz="1100"/>
        </a:p>
        <a:p>
          <a:pPr algn="ctr"/>
          <a:r>
            <a:rPr lang="en-US" sz="1100" b="1" i="0">
              <a:solidFill>
                <a:schemeClr val="tx1"/>
              </a:solidFill>
              <a:effectLst/>
              <a:latin typeface="+mn-lt"/>
              <a:ea typeface="+mn-ea"/>
              <a:cs typeface="+mn-cs"/>
            </a:rPr>
            <a:t>Model Set-Up</a:t>
          </a:r>
        </a:p>
        <a:p>
          <a:r>
            <a:rPr lang="en-US" sz="1100" b="0" i="0">
              <a:solidFill>
                <a:schemeClr val="tx1"/>
              </a:solidFill>
              <a:effectLst/>
              <a:latin typeface="+mn-lt"/>
              <a:ea typeface="+mn-ea"/>
              <a:cs typeface="+mn-cs"/>
            </a:rPr>
            <a:t>1. Create a new column called Year Number. 1992 should go with Year Number 1, 1993 should go with Year Number 2, and so on. </a:t>
          </a:r>
        </a:p>
        <a:p>
          <a:r>
            <a:rPr lang="en-US" sz="1100" b="0" i="0">
              <a:solidFill>
                <a:schemeClr val="tx1"/>
              </a:solidFill>
              <a:effectLst/>
              <a:latin typeface="+mn-lt"/>
              <a:ea typeface="+mn-ea"/>
              <a:cs typeface="+mn-cs"/>
            </a:rPr>
            <a:t>2. Create a scatter plot of the Total Adjusted Sales. The Year Number data should go with the </a:t>
          </a:r>
          <a:r>
            <a:rPr lang="en-US" sz="1100" b="0" i="1">
              <a:solidFill>
                <a:schemeClr val="tx1"/>
              </a:solidFill>
              <a:effectLst/>
              <a:latin typeface="+mn-lt"/>
              <a:ea typeface="+mn-ea"/>
              <a:cs typeface="+mn-cs"/>
            </a:rPr>
            <a:t>x</a:t>
          </a:r>
          <a:r>
            <a:rPr lang="en-US" sz="1100" b="0" i="0">
              <a:solidFill>
                <a:schemeClr val="tx1"/>
              </a:solidFill>
              <a:effectLst/>
              <a:latin typeface="+mn-lt"/>
              <a:ea typeface="+mn-ea"/>
              <a:cs typeface="+mn-cs"/>
            </a:rPr>
            <a:t>-axis and the Total Adjusted Sales data should go with the </a:t>
          </a:r>
          <a:r>
            <a:rPr lang="en-US" sz="1100" b="0" i="1">
              <a:solidFill>
                <a:schemeClr val="tx1"/>
              </a:solidFill>
              <a:effectLst/>
              <a:latin typeface="+mn-lt"/>
              <a:ea typeface="+mn-ea"/>
              <a:cs typeface="+mn-cs"/>
            </a:rPr>
            <a:t>y</a:t>
          </a:r>
          <a:r>
            <a:rPr lang="en-US" sz="1100" b="0" i="0">
              <a:solidFill>
                <a:schemeClr val="tx1"/>
              </a:solidFill>
              <a:effectLst/>
              <a:latin typeface="+mn-lt"/>
              <a:ea typeface="+mn-ea"/>
              <a:cs typeface="+mn-cs"/>
            </a:rPr>
            <a:t>-axis. Make sure that your chart has an accurate title and axis labels.</a:t>
          </a:r>
        </a:p>
        <a:p>
          <a:r>
            <a:rPr lang="en-US" sz="1100" b="0" i="0">
              <a:solidFill>
                <a:schemeClr val="tx1"/>
              </a:solidFill>
              <a:effectLst/>
              <a:latin typeface="+mn-lt"/>
              <a:ea typeface="+mn-ea"/>
              <a:cs typeface="+mn-cs"/>
            </a:rPr>
            <a:t>3. Fit an exponential curve to these data. Display the equation for the trendline on the chart.</a:t>
          </a:r>
        </a:p>
        <a:p>
          <a:r>
            <a:rPr lang="en-US" sz="1100" b="0" i="0">
              <a:solidFill>
                <a:schemeClr val="tx1"/>
              </a:solidFill>
              <a:effectLst/>
              <a:latin typeface="+mn-lt"/>
              <a:ea typeface="+mn-ea"/>
              <a:cs typeface="+mn-cs"/>
            </a:rPr>
            <a:t>4. Create a new column that shows the percent growth starting from 1993. As a reminder, percent growth is determined by (new sales - prior sales)/ prior sales.  Format your answer as a percentage with one decimal. </a:t>
          </a:r>
        </a:p>
        <a:p>
          <a:endParaRPr lang="en-US" sz="1100"/>
        </a:p>
      </xdr:txBody>
    </xdr:sp>
    <xdr:clientData/>
  </xdr:oneCellAnchor>
  <xdr:twoCellAnchor>
    <xdr:from>
      <xdr:col>4</xdr:col>
      <xdr:colOff>485775</xdr:colOff>
      <xdr:row>15</xdr:row>
      <xdr:rowOff>171450</xdr:rowOff>
    </xdr:from>
    <xdr:to>
      <xdr:col>12</xdr:col>
      <xdr:colOff>180975</xdr:colOff>
      <xdr:row>30</xdr:row>
      <xdr:rowOff>57150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342901</xdr:colOff>
      <xdr:row>97</xdr:row>
      <xdr:rowOff>38100</xdr:rowOff>
    </xdr:from>
    <xdr:ext cx="6896100" cy="264560"/>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257801" y="18630900"/>
          <a:ext cx="68961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0</xdr:col>
      <xdr:colOff>266700</xdr:colOff>
      <xdr:row>96</xdr:row>
      <xdr:rowOff>190499</xdr:rowOff>
    </xdr:from>
    <xdr:to>
      <xdr:col>11</xdr:col>
      <xdr:colOff>371475</xdr:colOff>
      <xdr:row>109</xdr:row>
      <xdr:rowOff>123824</xdr:rowOff>
    </xdr:to>
    <xdr:sp macro="" textlink="">
      <xdr:nvSpPr>
        <xdr:cNvPr id="4097" name="Text Box 1">
          <a:extLst>
            <a:ext uri="{FF2B5EF4-FFF2-40B4-BE49-F238E27FC236}">
              <a16:creationId xmlns:a16="http://schemas.microsoft.com/office/drawing/2014/main" id="{00000000-0008-0000-0300-000001100000}"/>
            </a:ext>
          </a:extLst>
        </xdr:cNvPr>
        <xdr:cNvSpPr txBox="1">
          <a:spLocks noChangeArrowheads="1"/>
        </xdr:cNvSpPr>
      </xdr:nvSpPr>
      <xdr:spPr bwMode="auto">
        <a:xfrm>
          <a:off x="266700" y="18592799"/>
          <a:ext cx="10363200" cy="2409825"/>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ctr" rtl="0">
            <a:defRPr sz="1000"/>
          </a:pPr>
          <a:r>
            <a:rPr lang="en-US" sz="1100" b="1" i="0" u="none" strike="noStrike" baseline="0">
              <a:solidFill>
                <a:schemeClr val="tx1">
                  <a:lumMod val="65000"/>
                  <a:lumOff val="35000"/>
                </a:schemeClr>
              </a:solidFill>
              <a:latin typeface="Calibri"/>
            </a:rPr>
            <a:t>Part 2: Toy Company</a:t>
          </a:r>
        </a:p>
        <a:p>
          <a:pPr algn="l" rtl="0">
            <a:defRPr sz="1000"/>
          </a:pPr>
          <a:r>
            <a:rPr lang="en-US" sz="1100" b="0" i="0" u="none" strike="noStrike" baseline="0">
              <a:solidFill>
                <a:schemeClr val="tx1">
                  <a:lumMod val="65000"/>
                  <a:lumOff val="35000"/>
                </a:schemeClr>
              </a:solidFill>
              <a:latin typeface="Calibri"/>
            </a:rPr>
            <a:t>In the second part of the quiz, you will create a model for a possible new business.</a:t>
          </a:r>
        </a:p>
        <a:p>
          <a:pPr algn="l" rtl="0">
            <a:defRPr sz="1000"/>
          </a:pPr>
          <a:endParaRPr lang="en-US" sz="1100" b="0" i="0" u="none" strike="noStrike" baseline="0">
            <a:solidFill>
              <a:schemeClr val="tx1">
                <a:lumMod val="65000"/>
                <a:lumOff val="35000"/>
              </a:schemeClr>
            </a:solidFill>
            <a:latin typeface="Calibri"/>
          </a:endParaRPr>
        </a:p>
        <a:p>
          <a:pPr algn="ctr" rtl="0">
            <a:defRPr sz="1000"/>
          </a:pPr>
          <a:r>
            <a:rPr lang="en-US" sz="1100" b="1" i="0" u="none" strike="noStrike" baseline="0">
              <a:solidFill>
                <a:schemeClr val="tx1">
                  <a:lumMod val="65000"/>
                  <a:lumOff val="35000"/>
                </a:schemeClr>
              </a:solidFill>
              <a:latin typeface="Calibri"/>
            </a:rPr>
            <a:t>Scenario</a:t>
          </a:r>
        </a:p>
        <a:p>
          <a:pPr algn="l" rtl="0">
            <a:defRPr sz="1000"/>
          </a:pPr>
          <a:r>
            <a:rPr lang="en-US" sz="1100" b="0" i="0" u="none" strike="noStrike" baseline="0">
              <a:solidFill>
                <a:schemeClr val="tx1">
                  <a:lumMod val="65000"/>
                  <a:lumOff val="35000"/>
                </a:schemeClr>
              </a:solidFill>
              <a:latin typeface="Calibri"/>
            </a:rPr>
            <a:t>You are the product manager of a toy company thinking of launching a new product, the indoor fort building kit. Your critics say these are just overpriced cardboard boxes, but you know this product will be successful and you seek out initial investors.</a:t>
          </a:r>
        </a:p>
        <a:p>
          <a:pPr algn="l" rtl="0">
            <a:defRPr sz="1000"/>
          </a:pPr>
          <a:endParaRPr lang="en-US" sz="1100" b="0" i="0" u="none" strike="noStrike" baseline="0">
            <a:solidFill>
              <a:schemeClr val="tx1">
                <a:lumMod val="65000"/>
                <a:lumOff val="35000"/>
              </a:schemeClr>
            </a:solidFill>
            <a:latin typeface="Calibri"/>
          </a:endParaRPr>
        </a:p>
        <a:p>
          <a:pPr algn="l" rtl="0">
            <a:defRPr sz="1000"/>
          </a:pPr>
          <a:r>
            <a:rPr lang="en-US" sz="1100" b="0" i="0" u="none" strike="noStrike" baseline="0">
              <a:solidFill>
                <a:schemeClr val="tx1">
                  <a:lumMod val="65000"/>
                  <a:lumOff val="35000"/>
                </a:schemeClr>
              </a:solidFill>
              <a:latin typeface="Calibri"/>
            </a:rPr>
            <a:t>At the start of year 1 (right now), you will incur a cost of $4 million to build and staff a production factory. In year 1, you expect to sell 80,000 kits at a unit price of $25 each. The price of $25 will remain unchanged through years 1 to 5. Unit sales are expected to grow by the same percentage (g) each year. During years 1 to 5, you incur two types of costs: variable costs and fixed SG&amp;A (selling, general, and administrative) costs. Each year, variable costs equal half of revenue. During year 1, SG&amp;A costs equal 40% of revenue. This percentage is assumed to drop 2% per year, so during year 2, SG&amp;A costs will equal 38% of revenue, and so on.</a:t>
          </a:r>
        </a:p>
        <a:p>
          <a:pPr algn="l" rtl="0">
            <a:defRPr sz="1000"/>
          </a:pPr>
          <a:endParaRPr lang="en-US" sz="1100" b="0" i="0" u="none" strike="noStrike" baseline="0">
            <a:solidFill>
              <a:schemeClr val="tx1">
                <a:lumMod val="65000"/>
                <a:lumOff val="35000"/>
              </a:schemeClr>
            </a:solidFill>
            <a:latin typeface="Calibri"/>
          </a:endParaRPr>
        </a:p>
        <a:p>
          <a:pPr algn="l" rtl="0">
            <a:defRPr sz="1000"/>
          </a:pPr>
          <a:r>
            <a:rPr lang="en-US" sz="1100" b="0" i="0" u="none" strike="noStrike" baseline="0">
              <a:solidFill>
                <a:schemeClr val="tx1">
                  <a:lumMod val="65000"/>
                  <a:lumOff val="35000"/>
                </a:schemeClr>
              </a:solidFill>
              <a:latin typeface="Calibri"/>
            </a:rPr>
            <a:t>Your goal is to pay back the $4M investment by the end of year 5.</a:t>
          </a:r>
        </a:p>
        <a:p>
          <a:pPr algn="l" rtl="0">
            <a:defRPr sz="1000"/>
          </a:pPr>
          <a:endParaRPr lang="en-US" sz="1100" b="0" i="0" u="none" strike="noStrike" baseline="0">
            <a:solidFill>
              <a:schemeClr val="tx1">
                <a:lumMod val="65000"/>
                <a:lumOff val="35000"/>
              </a:schemeClr>
            </a:solidFill>
            <a:latin typeface="Calibri"/>
          </a:endParaRPr>
        </a:p>
        <a:p>
          <a:pPr algn="l" rtl="0">
            <a:defRPr sz="1000"/>
          </a:pPr>
          <a:r>
            <a:rPr lang="en-US" sz="1100" b="0" i="0" u="none" strike="noStrike" baseline="0">
              <a:solidFill>
                <a:schemeClr val="tx1">
                  <a:lumMod val="65000"/>
                  <a:lumOff val="35000"/>
                </a:schemeClr>
              </a:solidFill>
              <a:latin typeface="Calibri"/>
            </a:rPr>
            <a:t>Model Set-Up</a:t>
          </a:r>
        </a:p>
        <a:p>
          <a:pPr algn="l" rtl="0">
            <a:defRPr sz="1000"/>
          </a:pPr>
          <a:r>
            <a:rPr lang="en-US" sz="1100" b="0" i="0" u="none" strike="noStrike" baseline="0">
              <a:solidFill>
                <a:schemeClr val="tx1">
                  <a:lumMod val="65000"/>
                  <a:lumOff val="35000"/>
                </a:schemeClr>
              </a:solidFill>
              <a:latin typeface="Calibri"/>
            </a:rPr>
            <a:t>Build a spreadsheet with a table to model the revenue, costs, and profit for years 1 through 5.</a:t>
          </a:r>
        </a:p>
        <a:p>
          <a:pPr algn="l" rtl="0">
            <a:defRPr sz="1000"/>
          </a:pPr>
          <a:endParaRPr lang="en-US" sz="1100" b="0" i="0" u="none" strike="noStrike" baseline="0">
            <a:solidFill>
              <a:schemeClr val="tx1">
                <a:lumMod val="65000"/>
                <a:lumOff val="35000"/>
              </a:schemeClr>
            </a:solidFill>
            <a:latin typeface="Calibri"/>
          </a:endParaRPr>
        </a:p>
        <a:p>
          <a:pPr algn="l" rtl="0">
            <a:defRPr sz="1000"/>
          </a:pPr>
          <a:r>
            <a:rPr lang="en-US" sz="1100" b="0" i="0" u="none" strike="noStrike" baseline="0">
              <a:solidFill>
                <a:schemeClr val="tx1">
                  <a:lumMod val="65000"/>
                  <a:lumOff val="35000"/>
                </a:schemeClr>
              </a:solidFill>
              <a:latin typeface="Calibri"/>
            </a:rPr>
            <a:t>Be sure to include a cell for the unknown yearly growth rate g. Color code this cell and set it to any number you’d like for now.</a:t>
          </a:r>
        </a:p>
        <a:p>
          <a:pPr algn="l" rtl="0">
            <a:defRPr sz="1000"/>
          </a:pPr>
          <a:endParaRPr lang="en-US" sz="1100" b="0" i="0" u="none" strike="noStrike" baseline="0">
            <a:solidFill>
              <a:schemeClr val="tx1">
                <a:lumMod val="65000"/>
                <a:lumOff val="35000"/>
              </a:schemeClr>
            </a:solidFill>
            <a:latin typeface="Calibri"/>
          </a:endParaRPr>
        </a:p>
        <a:p>
          <a:pPr algn="l" rtl="0">
            <a:defRPr sz="1000"/>
          </a:pPr>
          <a:r>
            <a:rPr lang="en-US" sz="1100" b="0" i="0" u="none" strike="noStrike" baseline="0">
              <a:solidFill>
                <a:schemeClr val="tx1">
                  <a:lumMod val="65000"/>
                  <a:lumOff val="35000"/>
                </a:schemeClr>
              </a:solidFill>
              <a:latin typeface="Calibri"/>
            </a:rPr>
            <a:t>Analysis</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L145"/>
  <sheetViews>
    <sheetView topLeftCell="A122" workbookViewId="0">
      <selection activeCell="C101" sqref="C101:C145"/>
    </sheetView>
  </sheetViews>
  <sheetFormatPr defaultRowHeight="14.4" x14ac:dyDescent="0.3"/>
  <cols>
    <col min="1" max="1" width="18.44140625" bestFit="1" customWidth="1"/>
    <col min="2" max="2" width="15.5546875" customWidth="1"/>
    <col min="3" max="3" width="17.44140625" customWidth="1"/>
    <col min="4" max="4" width="19.6640625" customWidth="1"/>
    <col min="5" max="5" width="15.109375" customWidth="1"/>
    <col min="6" max="6" width="16.6640625" customWidth="1"/>
    <col min="7" max="9" width="15" bestFit="1" customWidth="1"/>
  </cols>
  <sheetData>
    <row r="5" spans="1:3" x14ac:dyDescent="0.3">
      <c r="A5" s="2" t="s">
        <v>0</v>
      </c>
      <c r="B5" s="2" t="s">
        <v>1</v>
      </c>
      <c r="C5" s="2" t="s">
        <v>2</v>
      </c>
    </row>
    <row r="6" spans="1:3" x14ac:dyDescent="0.3">
      <c r="A6" s="1">
        <v>1</v>
      </c>
      <c r="B6" s="8">
        <v>450</v>
      </c>
      <c r="C6" s="1">
        <v>45</v>
      </c>
    </row>
    <row r="7" spans="1:3" x14ac:dyDescent="0.3">
      <c r="A7" s="1">
        <v>2</v>
      </c>
      <c r="B7" s="8">
        <v>300</v>
      </c>
      <c r="C7" s="1">
        <v>103</v>
      </c>
    </row>
    <row r="8" spans="1:3" x14ac:dyDescent="0.3">
      <c r="A8" s="1">
        <v>3</v>
      </c>
      <c r="B8" s="8">
        <v>440</v>
      </c>
      <c r="C8" s="1">
        <v>49</v>
      </c>
    </row>
    <row r="9" spans="1:3" x14ac:dyDescent="0.3">
      <c r="A9" s="1">
        <v>4</v>
      </c>
      <c r="B9" s="8">
        <v>360</v>
      </c>
      <c r="C9" s="1">
        <v>86</v>
      </c>
    </row>
    <row r="10" spans="1:3" x14ac:dyDescent="0.3">
      <c r="A10" s="1">
        <v>5</v>
      </c>
      <c r="B10" s="8">
        <v>290</v>
      </c>
      <c r="C10" s="1">
        <v>125</v>
      </c>
    </row>
    <row r="11" spans="1:3" x14ac:dyDescent="0.3">
      <c r="A11" s="1">
        <v>6</v>
      </c>
      <c r="B11" s="8">
        <v>450</v>
      </c>
      <c r="C11" s="1">
        <v>52</v>
      </c>
    </row>
    <row r="12" spans="1:3" x14ac:dyDescent="0.3">
      <c r="A12" s="1">
        <v>7</v>
      </c>
      <c r="B12" s="8">
        <v>340</v>
      </c>
      <c r="C12" s="1">
        <v>87</v>
      </c>
    </row>
    <row r="13" spans="1:3" x14ac:dyDescent="0.3">
      <c r="A13" s="1">
        <v>8</v>
      </c>
      <c r="B13" s="8">
        <v>370</v>
      </c>
      <c r="C13" s="1">
        <v>68</v>
      </c>
    </row>
    <row r="14" spans="1:3" x14ac:dyDescent="0.3">
      <c r="A14" s="1">
        <v>9</v>
      </c>
      <c r="B14" s="8">
        <v>500</v>
      </c>
      <c r="C14" s="1">
        <v>45</v>
      </c>
    </row>
    <row r="15" spans="1:3" x14ac:dyDescent="0.3">
      <c r="A15" s="1">
        <v>10</v>
      </c>
      <c r="B15" s="8">
        <v>490</v>
      </c>
      <c r="C15" s="1">
        <v>44</v>
      </c>
    </row>
    <row r="16" spans="1:3" x14ac:dyDescent="0.3">
      <c r="A16" s="1">
        <v>11</v>
      </c>
      <c r="B16" s="8">
        <v>430</v>
      </c>
      <c r="C16" s="1">
        <v>58</v>
      </c>
    </row>
    <row r="17" spans="1:8" x14ac:dyDescent="0.3">
      <c r="A17" s="1">
        <v>12</v>
      </c>
      <c r="B17" s="8">
        <v>390</v>
      </c>
      <c r="C17" s="1">
        <v>68</v>
      </c>
    </row>
    <row r="24" spans="1:8" ht="20.399999999999999" thickBot="1" x14ac:dyDescent="0.45">
      <c r="A24" s="5" t="s">
        <v>3</v>
      </c>
    </row>
    <row r="25" spans="1:8" ht="15" thickTop="1" x14ac:dyDescent="0.3"/>
    <row r="26" spans="1:8" x14ac:dyDescent="0.3">
      <c r="A26" s="131" t="s">
        <v>8</v>
      </c>
      <c r="B26" s="131"/>
      <c r="D26" s="131" t="s">
        <v>9</v>
      </c>
      <c r="E26" s="131"/>
      <c r="G26" s="131" t="s">
        <v>10</v>
      </c>
      <c r="H26" s="131"/>
    </row>
    <row r="27" spans="1:8" x14ac:dyDescent="0.3">
      <c r="A27" s="1" t="s">
        <v>4</v>
      </c>
      <c r="B27" s="1">
        <v>211.31</v>
      </c>
      <c r="D27" s="1" t="s">
        <v>6</v>
      </c>
      <c r="E27" s="1">
        <v>5871064</v>
      </c>
      <c r="G27" s="1" t="s">
        <v>6</v>
      </c>
      <c r="H27" s="1">
        <v>466.51</v>
      </c>
    </row>
    <row r="28" spans="1:8" x14ac:dyDescent="0.3">
      <c r="A28" s="1" t="s">
        <v>5</v>
      </c>
      <c r="B28" s="1">
        <v>-0.35460000000000003</v>
      </c>
      <c r="D28" s="1" t="s">
        <v>7</v>
      </c>
      <c r="E28" s="1">
        <v>-1.9079999999999999</v>
      </c>
      <c r="G28" s="1" t="s">
        <v>7</v>
      </c>
      <c r="H28" s="1">
        <v>-5.0000000000000001E-3</v>
      </c>
    </row>
    <row r="30" spans="1:8" ht="18" thickBot="1" x14ac:dyDescent="0.4">
      <c r="A30" s="132" t="s">
        <v>11</v>
      </c>
      <c r="B30" s="132"/>
      <c r="C30" s="132"/>
      <c r="D30" s="132"/>
      <c r="E30" s="132"/>
      <c r="F30" s="133" t="s">
        <v>16</v>
      </c>
      <c r="G30" s="133"/>
      <c r="H30" s="133"/>
    </row>
    <row r="31" spans="1:8" ht="15" thickBot="1" x14ac:dyDescent="0.35">
      <c r="A31" s="2" t="s">
        <v>12</v>
      </c>
      <c r="B31" s="2" t="s">
        <v>13</v>
      </c>
      <c r="C31" s="2" t="s">
        <v>14</v>
      </c>
      <c r="D31" s="2" t="s">
        <v>15</v>
      </c>
      <c r="E31" s="12" t="s">
        <v>2</v>
      </c>
      <c r="F31" s="109" t="s">
        <v>13</v>
      </c>
      <c r="G31" s="110" t="s">
        <v>14</v>
      </c>
      <c r="H31" s="111" t="s">
        <v>15</v>
      </c>
    </row>
    <row r="32" spans="1:8" x14ac:dyDescent="0.3">
      <c r="A32" s="9">
        <v>450</v>
      </c>
      <c r="B32" s="10">
        <f>$B$28*A32+$B$27</f>
        <v>51.739999999999981</v>
      </c>
      <c r="C32" s="10">
        <f>$E$27*A32^$E$28</f>
        <v>50.861286169919921</v>
      </c>
      <c r="D32" s="10">
        <f>$H$27*EXP($H$28*A32)</f>
        <v>49.169792250355329</v>
      </c>
      <c r="E32" s="13">
        <v>45</v>
      </c>
      <c r="F32" s="14">
        <f>ABS(B32-E32)/E32</f>
        <v>0.14977777777777734</v>
      </c>
      <c r="G32" s="11">
        <f>ABS(C32-E32)/E32</f>
        <v>0.13025080377599826</v>
      </c>
      <c r="H32" s="15">
        <f>ABS(D32-E32)/E32</f>
        <v>9.2662050007896193E-2</v>
      </c>
    </row>
    <row r="33" spans="1:9" x14ac:dyDescent="0.3">
      <c r="A33" s="9">
        <v>300</v>
      </c>
      <c r="B33" s="10">
        <f t="shared" ref="B33:B43" si="0">$B$28*A33+$B$27</f>
        <v>104.92999999999999</v>
      </c>
      <c r="C33" s="10">
        <f t="shared" ref="C33:C43" si="1">$E$27*A33^$E$28</f>
        <v>110.2476803704582</v>
      </c>
      <c r="D33" s="10">
        <f t="shared" ref="D33:D43" si="2">$H$27*EXP($H$28*A33)</f>
        <v>104.09245101084399</v>
      </c>
      <c r="E33" s="13">
        <v>103</v>
      </c>
      <c r="F33" s="14">
        <f t="shared" ref="F33:F43" si="3">ABS(B33-E33)/E33</f>
        <v>1.8737864077669832E-2</v>
      </c>
      <c r="G33" s="11">
        <f t="shared" ref="G33:G43" si="4">ABS(C33-E33)/E33</f>
        <v>7.0365828839399985E-2</v>
      </c>
      <c r="H33" s="15">
        <f t="shared" ref="H33:H43" si="5">ABS(D33-E33)/E33</f>
        <v>1.0606320493630948E-2</v>
      </c>
    </row>
    <row r="34" spans="1:9" x14ac:dyDescent="0.3">
      <c r="A34" s="9">
        <v>440</v>
      </c>
      <c r="B34" s="10">
        <f t="shared" si="0"/>
        <v>55.286000000000001</v>
      </c>
      <c r="C34" s="10">
        <f t="shared" si="1"/>
        <v>53.089557787712614</v>
      </c>
      <c r="D34" s="10">
        <f t="shared" si="2"/>
        <v>51.69078140761237</v>
      </c>
      <c r="E34" s="13">
        <v>49</v>
      </c>
      <c r="F34" s="14">
        <f t="shared" si="3"/>
        <v>0.12828571428571431</v>
      </c>
      <c r="G34" s="11">
        <f t="shared" si="4"/>
        <v>8.3460363014543154E-2</v>
      </c>
      <c r="H34" s="15">
        <f t="shared" si="5"/>
        <v>5.4913906277803466E-2</v>
      </c>
    </row>
    <row r="35" spans="1:9" x14ac:dyDescent="0.3">
      <c r="A35" s="9">
        <v>360</v>
      </c>
      <c r="B35" s="10">
        <f t="shared" si="0"/>
        <v>83.653999999999996</v>
      </c>
      <c r="C35" s="10">
        <f t="shared" si="1"/>
        <v>77.85592038588905</v>
      </c>
      <c r="D35" s="10">
        <f t="shared" si="2"/>
        <v>77.113584344252331</v>
      </c>
      <c r="E35" s="13">
        <v>86</v>
      </c>
      <c r="F35" s="14">
        <f t="shared" si="3"/>
        <v>2.7279069767441901E-2</v>
      </c>
      <c r="G35" s="11">
        <f t="shared" si="4"/>
        <v>9.4698600164080812E-2</v>
      </c>
      <c r="H35" s="15">
        <f t="shared" si="5"/>
        <v>0.10333041460171709</v>
      </c>
    </row>
    <row r="36" spans="1:9" x14ac:dyDescent="0.3">
      <c r="A36" s="9">
        <v>290</v>
      </c>
      <c r="B36" s="10">
        <f t="shared" si="0"/>
        <v>108.476</v>
      </c>
      <c r="C36" s="10">
        <f t="shared" si="1"/>
        <v>117.61465381582187</v>
      </c>
      <c r="D36" s="10">
        <f t="shared" si="2"/>
        <v>109.42938509863754</v>
      </c>
      <c r="E36" s="13">
        <v>125</v>
      </c>
      <c r="F36" s="14">
        <f t="shared" si="3"/>
        <v>0.132192</v>
      </c>
      <c r="G36" s="11">
        <f t="shared" si="4"/>
        <v>5.9082769473425063E-2</v>
      </c>
      <c r="H36" s="15">
        <f t="shared" si="5"/>
        <v>0.12456491921089968</v>
      </c>
    </row>
    <row r="37" spans="1:9" x14ac:dyDescent="0.3">
      <c r="A37" s="9">
        <v>450</v>
      </c>
      <c r="B37" s="10">
        <f t="shared" si="0"/>
        <v>51.739999999999981</v>
      </c>
      <c r="C37" s="10">
        <f t="shared" si="1"/>
        <v>50.861286169919921</v>
      </c>
      <c r="D37" s="10">
        <f t="shared" si="2"/>
        <v>49.169792250355329</v>
      </c>
      <c r="E37" s="13">
        <v>52</v>
      </c>
      <c r="F37" s="14">
        <f t="shared" si="3"/>
        <v>5.0000000000003713E-3</v>
      </c>
      <c r="G37" s="11">
        <f t="shared" si="4"/>
        <v>2.1898342886155355E-2</v>
      </c>
      <c r="H37" s="15">
        <f t="shared" si="5"/>
        <v>5.4427072108551369E-2</v>
      </c>
    </row>
    <row r="38" spans="1:9" x14ac:dyDescent="0.3">
      <c r="A38" s="9">
        <v>340</v>
      </c>
      <c r="B38" s="10">
        <f t="shared" si="0"/>
        <v>90.745999999999995</v>
      </c>
      <c r="C38" s="10">
        <f t="shared" si="1"/>
        <v>86.827049006961417</v>
      </c>
      <c r="D38" s="10">
        <f t="shared" si="2"/>
        <v>85.223690805841244</v>
      </c>
      <c r="E38" s="13">
        <v>87</v>
      </c>
      <c r="F38" s="14">
        <f t="shared" si="3"/>
        <v>4.3057471264367757E-2</v>
      </c>
      <c r="G38" s="11">
        <f t="shared" si="4"/>
        <v>1.9879424487193459E-3</v>
      </c>
      <c r="H38" s="15">
        <f t="shared" si="5"/>
        <v>2.0417347059296046E-2</v>
      </c>
    </row>
    <row r="39" spans="1:9" x14ac:dyDescent="0.3">
      <c r="A39" s="9">
        <v>370</v>
      </c>
      <c r="B39" s="10">
        <f t="shared" si="0"/>
        <v>80.108000000000004</v>
      </c>
      <c r="C39" s="10">
        <f t="shared" si="1"/>
        <v>73.890384263545585</v>
      </c>
      <c r="D39" s="10">
        <f t="shared" si="2"/>
        <v>73.352710456970414</v>
      </c>
      <c r="E39" s="13">
        <v>68</v>
      </c>
      <c r="F39" s="14">
        <f t="shared" si="3"/>
        <v>0.17805882352941182</v>
      </c>
      <c r="G39" s="11">
        <f t="shared" si="4"/>
        <v>8.6623297993317416E-2</v>
      </c>
      <c r="H39" s="15">
        <f t="shared" si="5"/>
        <v>7.8716330249564911E-2</v>
      </c>
    </row>
    <row r="40" spans="1:9" x14ac:dyDescent="0.3">
      <c r="A40" s="9">
        <v>500</v>
      </c>
      <c r="B40" s="10">
        <f t="shared" si="0"/>
        <v>34.009999999999991</v>
      </c>
      <c r="C40" s="10">
        <f t="shared" si="1"/>
        <v>41.59891911995917</v>
      </c>
      <c r="D40" s="10">
        <f t="shared" si="2"/>
        <v>38.293472708035026</v>
      </c>
      <c r="E40" s="13">
        <v>45</v>
      </c>
      <c r="F40" s="14">
        <f t="shared" si="3"/>
        <v>0.24422222222222242</v>
      </c>
      <c r="G40" s="11">
        <f t="shared" si="4"/>
        <v>7.5579575112018446E-2</v>
      </c>
      <c r="H40" s="15">
        <f t="shared" si="5"/>
        <v>0.14903393982144386</v>
      </c>
    </row>
    <row r="41" spans="1:9" x14ac:dyDescent="0.3">
      <c r="A41" s="9">
        <v>490</v>
      </c>
      <c r="B41" s="10">
        <f t="shared" si="0"/>
        <v>37.555999999999983</v>
      </c>
      <c r="C41" s="10">
        <f t="shared" si="1"/>
        <v>43.233728796663705</v>
      </c>
      <c r="D41" s="10">
        <f t="shared" si="2"/>
        <v>40.256821037821332</v>
      </c>
      <c r="E41" s="13">
        <v>44</v>
      </c>
      <c r="F41" s="14">
        <f t="shared" si="3"/>
        <v>0.14645454545454584</v>
      </c>
      <c r="G41" s="11">
        <f t="shared" si="4"/>
        <v>1.7415254621279432E-2</v>
      </c>
      <c r="H41" s="15">
        <f t="shared" si="5"/>
        <v>8.5072249140424272E-2</v>
      </c>
    </row>
    <row r="42" spans="1:9" x14ac:dyDescent="0.3">
      <c r="A42" s="9">
        <v>430</v>
      </c>
      <c r="B42" s="10">
        <f t="shared" si="0"/>
        <v>58.831999999999994</v>
      </c>
      <c r="C42" s="10">
        <f t="shared" si="1"/>
        <v>55.470106712335337</v>
      </c>
      <c r="D42" s="10">
        <f t="shared" si="2"/>
        <v>54.341024442914069</v>
      </c>
      <c r="E42" s="13">
        <v>58</v>
      </c>
      <c r="F42" s="14">
        <f t="shared" si="3"/>
        <v>1.4344827586206787E-2</v>
      </c>
      <c r="G42" s="11">
        <f t="shared" si="4"/>
        <v>4.3618849787321778E-2</v>
      </c>
      <c r="H42" s="15">
        <f t="shared" si="5"/>
        <v>6.3085785466998806E-2</v>
      </c>
    </row>
    <row r="43" spans="1:9" ht="15" thickBot="1" x14ac:dyDescent="0.35">
      <c r="A43" s="9">
        <v>390</v>
      </c>
      <c r="B43" s="10">
        <f t="shared" si="0"/>
        <v>73.015999999999991</v>
      </c>
      <c r="C43" s="10">
        <f t="shared" si="1"/>
        <v>66.829089531318985</v>
      </c>
      <c r="D43" s="10">
        <f t="shared" si="2"/>
        <v>66.372277135824447</v>
      </c>
      <c r="E43" s="112">
        <v>68</v>
      </c>
      <c r="F43" s="14">
        <f t="shared" si="3"/>
        <v>7.3764705882352816E-2</v>
      </c>
      <c r="G43" s="11">
        <f t="shared" si="4"/>
        <v>1.7219271598250221E-2</v>
      </c>
      <c r="H43" s="15">
        <f t="shared" si="5"/>
        <v>2.393710094375813E-2</v>
      </c>
    </row>
    <row r="44" spans="1:9" ht="15" thickBot="1" x14ac:dyDescent="0.35">
      <c r="E44" s="109" t="s">
        <v>17</v>
      </c>
      <c r="F44" s="113">
        <f>AVERAGE(F32:F43)</f>
        <v>9.6764585153975916E-2</v>
      </c>
      <c r="G44" s="113">
        <f>AVERAGE(G32:G43)</f>
        <v>5.8516741642875771E-2</v>
      </c>
      <c r="H44" s="114">
        <f>AVERAGE(H32:H43)</f>
        <v>7.17306196151654E-2</v>
      </c>
      <c r="I44" t="s">
        <v>134</v>
      </c>
    </row>
    <row r="45" spans="1:9" x14ac:dyDescent="0.3">
      <c r="G45" t="s">
        <v>18</v>
      </c>
    </row>
    <row r="46" spans="1:9" ht="15" thickBot="1" x14ac:dyDescent="0.35"/>
    <row r="47" spans="1:9" ht="15" thickBot="1" x14ac:dyDescent="0.35">
      <c r="A47" s="4" t="s">
        <v>19</v>
      </c>
      <c r="F47" s="109" t="s">
        <v>1</v>
      </c>
      <c r="G47" s="111" t="s">
        <v>31</v>
      </c>
    </row>
    <row r="48" spans="1:9" x14ac:dyDescent="0.3">
      <c r="A48" t="s">
        <v>20</v>
      </c>
      <c r="B48" s="17">
        <v>250</v>
      </c>
      <c r="C48" t="s">
        <v>21</v>
      </c>
      <c r="F48" s="20"/>
      <c r="G48" s="21">
        <f>B55</f>
        <v>955163.26238462282</v>
      </c>
    </row>
    <row r="49" spans="1:7" x14ac:dyDescent="0.3">
      <c r="A49" t="s">
        <v>22</v>
      </c>
      <c r="B49" s="18">
        <v>400</v>
      </c>
      <c r="C49" t="s">
        <v>23</v>
      </c>
      <c r="F49" s="20">
        <v>260</v>
      </c>
      <c r="G49" s="22">
        <f t="dataTable" ref="G49:G93" dt2D="0" dtr="0" r1="B49" ca="1"/>
        <v>144859.72842847556</v>
      </c>
    </row>
    <row r="50" spans="1:7" x14ac:dyDescent="0.3">
      <c r="A50" t="s">
        <v>25</v>
      </c>
      <c r="B50" s="16">
        <f>E27*B49^E28</f>
        <v>63.677550825641511</v>
      </c>
      <c r="C50" t="s">
        <v>24</v>
      </c>
      <c r="D50" t="str">
        <f ca="1">_xlfn.FORMULATEXT(B50)</f>
        <v>=E27*B49^E28</v>
      </c>
      <c r="F50" s="20">
        <v>270</v>
      </c>
      <c r="G50" s="22">
        <v>269590.60184817808</v>
      </c>
    </row>
    <row r="51" spans="1:7" x14ac:dyDescent="0.3">
      <c r="A51" t="s">
        <v>26</v>
      </c>
      <c r="B51">
        <f>B50*100</f>
        <v>6367.7550825641511</v>
      </c>
      <c r="D51" t="str">
        <f ca="1">_xlfn.FORMULATEXT(B51)</f>
        <v>=B50*100</v>
      </c>
      <c r="F51" s="20">
        <v>280</v>
      </c>
      <c r="G51" s="22">
        <v>377277.18719872413</v>
      </c>
    </row>
    <row r="52" spans="1:7" x14ac:dyDescent="0.3">
      <c r="F52" s="20">
        <v>290</v>
      </c>
      <c r="G52" s="22">
        <v>470458.61526328744</v>
      </c>
    </row>
    <row r="53" spans="1:7" x14ac:dyDescent="0.3">
      <c r="A53" t="s">
        <v>28</v>
      </c>
      <c r="B53" s="17">
        <f>B51*B48</f>
        <v>1591938.7706410377</v>
      </c>
      <c r="D53" t="str">
        <f t="shared" ref="D53:D55" ca="1" si="6">_xlfn.FORMULATEXT(B53)</f>
        <v>=B51*B48</v>
      </c>
      <c r="F53" s="20">
        <v>300</v>
      </c>
      <c r="G53" s="22">
        <v>551238.40185229108</v>
      </c>
    </row>
    <row r="54" spans="1:7" x14ac:dyDescent="0.3">
      <c r="A54" t="s">
        <v>29</v>
      </c>
      <c r="B54" s="19">
        <f>B51*B49</f>
        <v>2547102.0330256606</v>
      </c>
      <c r="D54" t="str">
        <f t="shared" ca="1" si="6"/>
        <v>=B51*B49</v>
      </c>
      <c r="F54" s="20">
        <v>310</v>
      </c>
      <c r="G54" s="22">
        <v>621369.53021456813</v>
      </c>
    </row>
    <row r="55" spans="1:7" x14ac:dyDescent="0.3">
      <c r="A55" t="s">
        <v>30</v>
      </c>
      <c r="B55" s="17">
        <f>B54-B53</f>
        <v>955163.26238462282</v>
      </c>
      <c r="D55" t="str">
        <f t="shared" ca="1" si="6"/>
        <v>=B54-B53</v>
      </c>
      <c r="E55" s="115"/>
      <c r="F55" s="20">
        <v>320</v>
      </c>
      <c r="G55" s="22">
        <v>682320.93416212313</v>
      </c>
    </row>
    <row r="56" spans="1:7" x14ac:dyDescent="0.3">
      <c r="F56" s="20">
        <v>330</v>
      </c>
      <c r="G56" s="22">
        <v>735329.86392835062</v>
      </c>
    </row>
    <row r="57" spans="1:7" x14ac:dyDescent="0.3">
      <c r="F57" s="20">
        <v>340</v>
      </c>
      <c r="G57" s="22">
        <v>781443.44106265297</v>
      </c>
    </row>
    <row r="58" spans="1:7" x14ac:dyDescent="0.3">
      <c r="F58" s="20">
        <v>350</v>
      </c>
      <c r="G58" s="22">
        <v>821551.86522268457</v>
      </c>
    </row>
    <row r="59" spans="1:7" ht="18" thickBot="1" x14ac:dyDescent="0.4">
      <c r="A59" s="6" t="s">
        <v>33</v>
      </c>
      <c r="F59" s="20">
        <v>360</v>
      </c>
      <c r="G59" s="22">
        <v>856415.12424477958</v>
      </c>
    </row>
    <row r="60" spans="1:7" ht="15" thickTop="1" x14ac:dyDescent="0.3">
      <c r="A60" s="3">
        <v>1</v>
      </c>
      <c r="B60" t="s">
        <v>37</v>
      </c>
      <c r="C60" t="s">
        <v>38</v>
      </c>
      <c r="D60" s="121" t="s">
        <v>35</v>
      </c>
      <c r="E60" s="122"/>
      <c r="F60" s="20">
        <v>370</v>
      </c>
      <c r="G60" s="22">
        <v>886684.61116254725</v>
      </c>
    </row>
    <row r="61" spans="1:7" x14ac:dyDescent="0.3">
      <c r="A61" s="25">
        <v>2</v>
      </c>
      <c r="D61" s="123" t="s">
        <v>36</v>
      </c>
      <c r="E61" s="124"/>
      <c r="F61" s="20">
        <v>380</v>
      </c>
      <c r="G61" s="22">
        <v>912920.72098907013</v>
      </c>
    </row>
    <row r="62" spans="1:7" x14ac:dyDescent="0.3">
      <c r="D62" s="24"/>
      <c r="E62" s="24"/>
      <c r="F62" s="20">
        <v>390</v>
      </c>
      <c r="G62" s="22">
        <v>935607.253438466</v>
      </c>
    </row>
    <row r="63" spans="1:7" x14ac:dyDescent="0.3">
      <c r="F63" s="20">
        <v>400</v>
      </c>
      <c r="G63" s="22">
        <v>955163.26238462282</v>
      </c>
    </row>
    <row r="64" spans="1:7" x14ac:dyDescent="0.3">
      <c r="F64" s="20">
        <v>410</v>
      </c>
      <c r="G64" s="22">
        <v>971952.85243747453</v>
      </c>
    </row>
    <row r="65" spans="6:7" x14ac:dyDescent="0.3">
      <c r="F65" s="20">
        <v>420</v>
      </c>
      <c r="G65" s="22">
        <v>986293.31587235699</v>
      </c>
    </row>
    <row r="66" spans="6:7" x14ac:dyDescent="0.3">
      <c r="F66" s="20">
        <v>430</v>
      </c>
      <c r="G66" s="22">
        <v>998461.92082203622</v>
      </c>
    </row>
    <row r="67" spans="6:7" x14ac:dyDescent="0.3">
      <c r="F67" s="20">
        <v>440</v>
      </c>
      <c r="G67" s="22">
        <v>1008701.5979665397</v>
      </c>
    </row>
    <row r="68" spans="6:7" x14ac:dyDescent="0.3">
      <c r="F68" s="20">
        <v>450</v>
      </c>
      <c r="G68" s="22">
        <v>1017225.7233983984</v>
      </c>
    </row>
    <row r="69" spans="6:7" x14ac:dyDescent="0.3">
      <c r="F69" s="20">
        <v>460</v>
      </c>
      <c r="G69" s="22">
        <v>1024222.1565401531</v>
      </c>
    </row>
    <row r="70" spans="6:7" x14ac:dyDescent="0.3">
      <c r="F70" s="20">
        <v>470</v>
      </c>
      <c r="G70" s="22">
        <v>1029856.6614397548</v>
      </c>
    </row>
    <row r="71" spans="6:7" x14ac:dyDescent="0.3">
      <c r="F71" s="20">
        <v>480</v>
      </c>
      <c r="G71" s="22">
        <v>1034275.8155834542</v>
      </c>
    </row>
    <row r="72" spans="6:7" x14ac:dyDescent="0.3">
      <c r="F72" s="20">
        <v>490</v>
      </c>
      <c r="G72" s="22">
        <v>1037609.4911199291</v>
      </c>
    </row>
    <row r="73" spans="6:7" x14ac:dyDescent="0.3">
      <c r="F73" s="20">
        <v>500</v>
      </c>
      <c r="G73" s="22">
        <v>1039972.9779989794</v>
      </c>
    </row>
    <row r="74" spans="6:7" x14ac:dyDescent="0.3">
      <c r="F74" s="20">
        <v>510</v>
      </c>
      <c r="G74" s="22">
        <v>1041468.8061629091</v>
      </c>
    </row>
    <row r="75" spans="6:7" x14ac:dyDescent="0.3">
      <c r="F75" s="20">
        <v>520</v>
      </c>
      <c r="G75" s="22">
        <v>1042188.3139489595</v>
      </c>
    </row>
    <row r="76" spans="6:7" x14ac:dyDescent="0.3">
      <c r="F76" s="20">
        <v>530</v>
      </c>
      <c r="G76" s="22">
        <v>1042213.0017719698</v>
      </c>
    </row>
    <row r="77" spans="6:7" x14ac:dyDescent="0.3">
      <c r="F77" s="20">
        <v>540</v>
      </c>
      <c r="G77" s="22">
        <v>1041615.7035724644</v>
      </c>
    </row>
    <row r="78" spans="6:7" x14ac:dyDescent="0.3">
      <c r="F78" s="20">
        <v>550</v>
      </c>
      <c r="G78" s="22">
        <v>1040461.6031350964</v>
      </c>
    </row>
    <row r="79" spans="6:7" x14ac:dyDescent="0.3">
      <c r="F79" s="20">
        <v>560</v>
      </c>
      <c r="G79" s="22">
        <v>1038809.1179690239</v>
      </c>
    </row>
    <row r="80" spans="6:7" x14ac:dyDescent="0.3">
      <c r="F80" s="20">
        <v>570</v>
      </c>
      <c r="G80" s="22">
        <v>1036710.669808225</v>
      </c>
    </row>
    <row r="81" spans="6:9" x14ac:dyDescent="0.3">
      <c r="F81" s="20">
        <v>580</v>
      </c>
      <c r="G81" s="22">
        <v>1034213.3577876764</v>
      </c>
      <c r="I81" t="s">
        <v>27</v>
      </c>
    </row>
    <row r="82" spans="6:9" x14ac:dyDescent="0.3">
      <c r="F82" s="20">
        <v>590</v>
      </c>
      <c r="G82" s="22">
        <v>1031359.5478624469</v>
      </c>
    </row>
    <row r="83" spans="6:9" x14ac:dyDescent="0.3">
      <c r="F83" s="20">
        <v>600</v>
      </c>
      <c r="G83" s="22">
        <v>1028187.3899667513</v>
      </c>
    </row>
    <row r="84" spans="6:9" x14ac:dyDescent="0.3">
      <c r="F84" s="20">
        <v>610</v>
      </c>
      <c r="G84" s="22">
        <v>1024731.2726827315</v>
      </c>
    </row>
    <row r="85" spans="6:9" x14ac:dyDescent="0.3">
      <c r="F85" s="20">
        <v>620</v>
      </c>
      <c r="G85" s="22">
        <v>1021022.2237432048</v>
      </c>
    </row>
    <row r="86" spans="6:9" x14ac:dyDescent="0.3">
      <c r="F86" s="20">
        <v>630</v>
      </c>
      <c r="G86" s="22">
        <v>1017088.2634793159</v>
      </c>
    </row>
    <row r="87" spans="6:9" x14ac:dyDescent="0.3">
      <c r="F87" s="20">
        <v>640</v>
      </c>
      <c r="G87" s="22">
        <v>1012954.7173026291</v>
      </c>
    </row>
    <row r="88" spans="6:9" x14ac:dyDescent="0.3">
      <c r="F88" s="20">
        <v>650</v>
      </c>
      <c r="G88" s="22">
        <v>1008644.4924491229</v>
      </c>
    </row>
    <row r="89" spans="6:9" x14ac:dyDescent="0.3">
      <c r="F89" s="20">
        <v>660</v>
      </c>
      <c r="G89" s="22">
        <v>1004178.3234829371</v>
      </c>
    </row>
    <row r="90" spans="6:9" x14ac:dyDescent="0.3">
      <c r="F90" s="20">
        <v>670</v>
      </c>
      <c r="G90" s="22">
        <v>999574.99043870345</v>
      </c>
    </row>
    <row r="91" spans="6:9" x14ac:dyDescent="0.3">
      <c r="F91" s="20">
        <v>680</v>
      </c>
      <c r="G91" s="22">
        <v>994851.51295467373</v>
      </c>
    </row>
    <row r="92" spans="6:9" x14ac:dyDescent="0.3">
      <c r="F92" s="20">
        <v>690</v>
      </c>
      <c r="G92" s="22">
        <v>990023.32329994719</v>
      </c>
    </row>
    <row r="93" spans="6:9" x14ac:dyDescent="0.3">
      <c r="F93" s="20">
        <v>700</v>
      </c>
      <c r="G93" s="22">
        <v>985104.42081539321</v>
      </c>
    </row>
    <row r="94" spans="6:9" x14ac:dyDescent="0.3">
      <c r="F94" s="2" t="s">
        <v>32</v>
      </c>
      <c r="G94" s="23">
        <f>MAX(G49:G93)</f>
        <v>1042213.0017719698</v>
      </c>
    </row>
    <row r="98" spans="1:9" ht="15" thickBot="1" x14ac:dyDescent="0.35">
      <c r="A98" s="7" t="s">
        <v>34</v>
      </c>
    </row>
    <row r="99" spans="1:9" ht="15" thickBot="1" x14ac:dyDescent="0.35">
      <c r="C99" s="128" t="s">
        <v>41</v>
      </c>
      <c r="D99" s="129"/>
      <c r="E99" s="129"/>
      <c r="F99" s="129"/>
      <c r="G99" s="129"/>
      <c r="H99" s="129"/>
      <c r="I99" s="130"/>
    </row>
    <row r="100" spans="1:9" ht="15" thickBot="1" x14ac:dyDescent="0.35">
      <c r="A100" t="s">
        <v>40</v>
      </c>
      <c r="B100" s="116">
        <f>B55</f>
        <v>955163.26238462282</v>
      </c>
      <c r="C100" s="117">
        <v>250</v>
      </c>
      <c r="D100" s="117">
        <v>300</v>
      </c>
      <c r="E100" s="117">
        <v>350</v>
      </c>
      <c r="F100" s="117">
        <v>400</v>
      </c>
      <c r="G100" s="117">
        <v>450</v>
      </c>
      <c r="H100" s="117">
        <v>500</v>
      </c>
      <c r="I100" s="117">
        <v>550</v>
      </c>
    </row>
    <row r="101" spans="1:9" x14ac:dyDescent="0.3">
      <c r="A101" s="125" t="s">
        <v>39</v>
      </c>
      <c r="B101" s="118">
        <v>260</v>
      </c>
      <c r="C101" s="119">
        <f t="dataTable" ref="C101:I145" dt2D="1" dtr="1" r1="B48" r2="B49"/>
        <v>144859.72842847556</v>
      </c>
      <c r="D101" s="119">
        <v>-579438.91371390224</v>
      </c>
      <c r="E101" s="119">
        <v>-1303737.5558562791</v>
      </c>
      <c r="F101" s="119">
        <v>-2028036.1979986569</v>
      </c>
      <c r="G101" s="119">
        <v>-2752334.8401410338</v>
      </c>
      <c r="H101" s="119">
        <v>-3476633.4822834115</v>
      </c>
      <c r="I101" s="119">
        <v>-4200932.1244257884</v>
      </c>
    </row>
    <row r="102" spans="1:9" x14ac:dyDescent="0.3">
      <c r="A102" s="126"/>
      <c r="B102" s="118">
        <v>270</v>
      </c>
      <c r="C102" s="119">
        <v>269590.60184817808</v>
      </c>
      <c r="D102" s="119">
        <v>-404385.90277226688</v>
      </c>
      <c r="E102" s="119">
        <v>-1078362.4073927123</v>
      </c>
      <c r="F102" s="119">
        <v>-1752338.9120131573</v>
      </c>
      <c r="G102" s="119">
        <v>-2426315.4166336022</v>
      </c>
      <c r="H102" s="119">
        <v>-3100291.9212540481</v>
      </c>
      <c r="I102" s="119">
        <v>-3774268.4258744931</v>
      </c>
    </row>
    <row r="103" spans="1:9" x14ac:dyDescent="0.3">
      <c r="A103" s="126"/>
      <c r="B103" s="118">
        <v>280</v>
      </c>
      <c r="C103" s="119">
        <v>377277.18719872413</v>
      </c>
      <c r="D103" s="119">
        <v>-251518.12479914958</v>
      </c>
      <c r="E103" s="119">
        <v>-880313.43679702282</v>
      </c>
      <c r="F103" s="119">
        <v>-1509108.7487948965</v>
      </c>
      <c r="G103" s="119">
        <v>-2137904.0607927702</v>
      </c>
      <c r="H103" s="119">
        <v>-2766699.3727906439</v>
      </c>
      <c r="I103" s="119">
        <v>-3395494.6847885177</v>
      </c>
    </row>
    <row r="104" spans="1:9" x14ac:dyDescent="0.3">
      <c r="A104" s="126"/>
      <c r="B104" s="118">
        <v>290</v>
      </c>
      <c r="C104" s="119">
        <v>470458.61526328744</v>
      </c>
      <c r="D104" s="119">
        <v>-117614.65381582174</v>
      </c>
      <c r="E104" s="119">
        <v>-705687.9228949314</v>
      </c>
      <c r="F104" s="119">
        <v>-1293761.1919740411</v>
      </c>
      <c r="G104" s="119">
        <v>-1881834.4610531498</v>
      </c>
      <c r="H104" s="119">
        <v>-2469907.7301322594</v>
      </c>
      <c r="I104" s="119">
        <v>-3057980.9992113691</v>
      </c>
    </row>
    <row r="105" spans="1:9" x14ac:dyDescent="0.3">
      <c r="A105" s="126"/>
      <c r="B105" s="118">
        <v>300</v>
      </c>
      <c r="C105" s="119">
        <v>551238.40185229108</v>
      </c>
      <c r="D105" s="119">
        <v>0</v>
      </c>
      <c r="E105" s="119">
        <v>-551238.40185229108</v>
      </c>
      <c r="F105" s="119">
        <v>-1102476.8037045817</v>
      </c>
      <c r="G105" s="119">
        <v>-1653715.2055568728</v>
      </c>
      <c r="H105" s="119">
        <v>-2204953.6074091638</v>
      </c>
      <c r="I105" s="119">
        <v>-2756192.0092614549</v>
      </c>
    </row>
    <row r="106" spans="1:9" x14ac:dyDescent="0.3">
      <c r="A106" s="126"/>
      <c r="B106" s="118">
        <v>310</v>
      </c>
      <c r="C106" s="119">
        <v>621369.53021456813</v>
      </c>
      <c r="D106" s="119">
        <v>103561.58836909477</v>
      </c>
      <c r="E106" s="119">
        <v>-414246.3534763786</v>
      </c>
      <c r="F106" s="119">
        <v>-932054.2953218515</v>
      </c>
      <c r="G106" s="119">
        <v>-1449862.2371673249</v>
      </c>
      <c r="H106" s="119">
        <v>-1967670.1790127978</v>
      </c>
      <c r="I106" s="119">
        <v>-2485478.1208582716</v>
      </c>
    </row>
    <row r="107" spans="1:9" x14ac:dyDescent="0.3">
      <c r="A107" s="126"/>
      <c r="B107" s="118">
        <v>320</v>
      </c>
      <c r="C107" s="119">
        <v>682320.93416212313</v>
      </c>
      <c r="D107" s="119">
        <v>194948.83833203511</v>
      </c>
      <c r="E107" s="119">
        <v>-292423.2574980529</v>
      </c>
      <c r="F107" s="119">
        <v>-779795.35332814092</v>
      </c>
      <c r="G107" s="119">
        <v>-1267167.4491582289</v>
      </c>
      <c r="H107" s="119">
        <v>-1754539.5449883174</v>
      </c>
      <c r="I107" s="119">
        <v>-2241911.640818405</v>
      </c>
    </row>
    <row r="108" spans="1:9" x14ac:dyDescent="0.3">
      <c r="A108" s="126"/>
      <c r="B108" s="118">
        <v>330</v>
      </c>
      <c r="C108" s="119">
        <v>735329.86392835062</v>
      </c>
      <c r="D108" s="119">
        <v>275748.69897313137</v>
      </c>
      <c r="E108" s="119">
        <v>-183832.46598208742</v>
      </c>
      <c r="F108" s="119">
        <v>-643413.63093730668</v>
      </c>
      <c r="G108" s="119">
        <v>-1102994.7958925259</v>
      </c>
      <c r="H108" s="119">
        <v>-1562575.9608477447</v>
      </c>
      <c r="I108" s="119">
        <v>-2022157.125802964</v>
      </c>
    </row>
    <row r="109" spans="1:9" x14ac:dyDescent="0.3">
      <c r="A109" s="126"/>
      <c r="B109" s="118">
        <v>340</v>
      </c>
      <c r="C109" s="119">
        <v>781443.44106265297</v>
      </c>
      <c r="D109" s="119">
        <v>347308.19602784561</v>
      </c>
      <c r="E109" s="119">
        <v>-86827.049006961286</v>
      </c>
      <c r="F109" s="119">
        <v>-520962.29404176865</v>
      </c>
      <c r="G109" s="119">
        <v>-955097.53907657554</v>
      </c>
      <c r="H109" s="119">
        <v>-1389232.7841113824</v>
      </c>
      <c r="I109" s="119">
        <v>-1823368.0291461898</v>
      </c>
    </row>
    <row r="110" spans="1:9" x14ac:dyDescent="0.3">
      <c r="A110" s="126"/>
      <c r="B110" s="118">
        <v>350</v>
      </c>
      <c r="C110" s="119">
        <v>821551.86522268457</v>
      </c>
      <c r="D110" s="119">
        <v>410775.93261134205</v>
      </c>
      <c r="E110" s="119">
        <v>0</v>
      </c>
      <c r="F110" s="119">
        <v>-410775.93261134205</v>
      </c>
      <c r="G110" s="119">
        <v>-821551.86522268457</v>
      </c>
      <c r="H110" s="119">
        <v>-1232327.7978340266</v>
      </c>
      <c r="I110" s="119">
        <v>-1643103.7304453691</v>
      </c>
    </row>
    <row r="111" spans="1:9" x14ac:dyDescent="0.3">
      <c r="A111" s="126"/>
      <c r="B111" s="118">
        <v>360</v>
      </c>
      <c r="C111" s="119">
        <v>856415.12424477958</v>
      </c>
      <c r="D111" s="119">
        <v>467135.52231533453</v>
      </c>
      <c r="E111" s="119">
        <v>77855.920385889243</v>
      </c>
      <c r="F111" s="119">
        <v>-311423.68154355604</v>
      </c>
      <c r="G111" s="119">
        <v>-700703.28347300133</v>
      </c>
      <c r="H111" s="119">
        <v>-1089982.8854024466</v>
      </c>
      <c r="I111" s="119">
        <v>-1479262.4873318919</v>
      </c>
    </row>
    <row r="112" spans="1:9" x14ac:dyDescent="0.3">
      <c r="A112" s="126"/>
      <c r="B112" s="118">
        <v>370</v>
      </c>
      <c r="C112" s="119">
        <v>886684.61116254725</v>
      </c>
      <c r="D112" s="119">
        <v>517232.68984481925</v>
      </c>
      <c r="E112" s="119">
        <v>147780.76852709148</v>
      </c>
      <c r="F112" s="119">
        <v>-221671.15279063676</v>
      </c>
      <c r="G112" s="119">
        <v>-591123.07410836453</v>
      </c>
      <c r="H112" s="119">
        <v>-960574.9954260923</v>
      </c>
      <c r="I112" s="119">
        <v>-1330026.9167438205</v>
      </c>
    </row>
    <row r="113" spans="1:9" x14ac:dyDescent="0.3">
      <c r="A113" s="126"/>
      <c r="B113" s="118">
        <v>380</v>
      </c>
      <c r="C113" s="119">
        <v>912920.72098907013</v>
      </c>
      <c r="D113" s="119">
        <v>561797.36676250491</v>
      </c>
      <c r="E113" s="119">
        <v>210674.01253593946</v>
      </c>
      <c r="F113" s="119">
        <v>-140449.341690626</v>
      </c>
      <c r="G113" s="119">
        <v>-491572.69591719145</v>
      </c>
      <c r="H113" s="119">
        <v>-842696.05014375644</v>
      </c>
      <c r="I113" s="119">
        <v>-1193819.4043703219</v>
      </c>
    </row>
    <row r="114" spans="1:9" x14ac:dyDescent="0.3">
      <c r="A114" s="126"/>
      <c r="B114" s="118">
        <v>390</v>
      </c>
      <c r="C114" s="119">
        <v>935607.253438466</v>
      </c>
      <c r="D114" s="119">
        <v>601461.80578187108</v>
      </c>
      <c r="E114" s="119">
        <v>267316.35812527593</v>
      </c>
      <c r="F114" s="119">
        <v>-66829.08953131875</v>
      </c>
      <c r="G114" s="119">
        <v>-400974.5371879139</v>
      </c>
      <c r="H114" s="119">
        <v>-735119.98484450858</v>
      </c>
      <c r="I114" s="119">
        <v>-1069265.4325011037</v>
      </c>
    </row>
    <row r="115" spans="1:9" x14ac:dyDescent="0.3">
      <c r="A115" s="126"/>
      <c r="B115" s="118">
        <v>400</v>
      </c>
      <c r="C115" s="119">
        <v>955163.26238462282</v>
      </c>
      <c r="D115" s="119">
        <v>636775.50825641514</v>
      </c>
      <c r="E115" s="119">
        <v>318387.75412820745</v>
      </c>
      <c r="F115" s="119">
        <v>0</v>
      </c>
      <c r="G115" s="119">
        <v>-318387.75412820745</v>
      </c>
      <c r="H115" s="119">
        <v>-636775.50825641491</v>
      </c>
      <c r="I115" s="119">
        <v>-955163.26238462236</v>
      </c>
    </row>
    <row r="116" spans="1:9" x14ac:dyDescent="0.3">
      <c r="A116" s="126"/>
      <c r="B116" s="118">
        <v>410</v>
      </c>
      <c r="C116" s="119">
        <v>971952.85243747453</v>
      </c>
      <c r="D116" s="119">
        <v>668217.58605076349</v>
      </c>
      <c r="E116" s="119">
        <v>364482.31966405269</v>
      </c>
      <c r="F116" s="119">
        <v>60747.053277342115</v>
      </c>
      <c r="G116" s="119">
        <v>-242988.21310936892</v>
      </c>
      <c r="H116" s="119">
        <v>-546723.4794960795</v>
      </c>
      <c r="I116" s="119">
        <v>-850458.74588279054</v>
      </c>
    </row>
    <row r="117" spans="1:9" x14ac:dyDescent="0.3">
      <c r="A117" s="126"/>
      <c r="B117" s="118">
        <v>420</v>
      </c>
      <c r="C117" s="119">
        <v>986293.31587235699</v>
      </c>
      <c r="D117" s="119">
        <v>696207.04649813427</v>
      </c>
      <c r="E117" s="119">
        <v>406120.77712391177</v>
      </c>
      <c r="F117" s="119">
        <v>116034.50774968928</v>
      </c>
      <c r="G117" s="119">
        <v>-174051.76162453368</v>
      </c>
      <c r="H117" s="119">
        <v>-464138.03099875618</v>
      </c>
      <c r="I117" s="119">
        <v>-754224.30037297867</v>
      </c>
    </row>
    <row r="118" spans="1:9" x14ac:dyDescent="0.3">
      <c r="A118" s="126"/>
      <c r="B118" s="118">
        <v>430</v>
      </c>
      <c r="C118" s="119">
        <v>998461.92082203622</v>
      </c>
      <c r="D118" s="119">
        <v>721111.38726035948</v>
      </c>
      <c r="E118" s="119">
        <v>443760.85369868297</v>
      </c>
      <c r="F118" s="119">
        <v>166410.32013700623</v>
      </c>
      <c r="G118" s="119">
        <v>-110940.21342467051</v>
      </c>
      <c r="H118" s="119">
        <v>-388290.74698634725</v>
      </c>
      <c r="I118" s="119">
        <v>-665641.28054802399</v>
      </c>
    </row>
    <row r="119" spans="1:9" x14ac:dyDescent="0.3">
      <c r="A119" s="126"/>
      <c r="B119" s="118">
        <v>440</v>
      </c>
      <c r="C119" s="119">
        <v>1008701.5979665397</v>
      </c>
      <c r="D119" s="119">
        <v>743253.80902797659</v>
      </c>
      <c r="E119" s="119">
        <v>477806.02008941351</v>
      </c>
      <c r="F119" s="119">
        <v>212358.23115085065</v>
      </c>
      <c r="G119" s="119">
        <v>-53089.557787712663</v>
      </c>
      <c r="H119" s="119">
        <v>-318537.34672627551</v>
      </c>
      <c r="I119" s="119">
        <v>-583985.13566483883</v>
      </c>
    </row>
    <row r="120" spans="1:9" x14ac:dyDescent="0.3">
      <c r="A120" s="126"/>
      <c r="B120" s="118">
        <v>450</v>
      </c>
      <c r="C120" s="119">
        <v>1017225.7233983984</v>
      </c>
      <c r="D120" s="119">
        <v>762919.29254879872</v>
      </c>
      <c r="E120" s="119">
        <v>508612.86169919907</v>
      </c>
      <c r="F120" s="119">
        <v>254306.43084959942</v>
      </c>
      <c r="G120" s="119">
        <v>0</v>
      </c>
      <c r="H120" s="119">
        <v>-254306.43084959965</v>
      </c>
      <c r="I120" s="119">
        <v>-508612.8616991993</v>
      </c>
    </row>
    <row r="121" spans="1:9" x14ac:dyDescent="0.3">
      <c r="A121" s="126"/>
      <c r="B121" s="118">
        <v>460</v>
      </c>
      <c r="C121" s="119">
        <v>1024222.1565401531</v>
      </c>
      <c r="D121" s="119">
        <v>780359.73831630708</v>
      </c>
      <c r="E121" s="119">
        <v>536497.3200924613</v>
      </c>
      <c r="F121" s="119">
        <v>292634.9018686153</v>
      </c>
      <c r="G121" s="119">
        <v>48772.483644769527</v>
      </c>
      <c r="H121" s="119">
        <v>-195089.93457907671</v>
      </c>
      <c r="I121" s="119">
        <v>-438952.35280292248</v>
      </c>
    </row>
    <row r="122" spans="1:9" x14ac:dyDescent="0.3">
      <c r="A122" s="126"/>
      <c r="B122" s="118">
        <v>470</v>
      </c>
      <c r="C122" s="119">
        <v>1029856.6614397548</v>
      </c>
      <c r="D122" s="119">
        <v>795798.32929435605</v>
      </c>
      <c r="E122" s="119">
        <v>561739.9971489571</v>
      </c>
      <c r="F122" s="119">
        <v>327681.66500355839</v>
      </c>
      <c r="G122" s="119">
        <v>93623.332858159672</v>
      </c>
      <c r="H122" s="119">
        <v>-140434.99928723928</v>
      </c>
      <c r="I122" s="119">
        <v>-374493.33143263776</v>
      </c>
    </row>
    <row r="123" spans="1:9" x14ac:dyDescent="0.3">
      <c r="A123" s="126"/>
      <c r="B123" s="118">
        <v>480</v>
      </c>
      <c r="C123" s="119">
        <v>1034275.8155834542</v>
      </c>
      <c r="D123" s="119">
        <v>809433.24697835557</v>
      </c>
      <c r="E123" s="119">
        <v>584590.67837325693</v>
      </c>
      <c r="F123" s="119">
        <v>359748.10976815806</v>
      </c>
      <c r="G123" s="119">
        <v>134905.54116305942</v>
      </c>
      <c r="H123" s="119">
        <v>-89937.027442039456</v>
      </c>
      <c r="I123" s="119">
        <v>-314779.59604713786</v>
      </c>
    </row>
    <row r="124" spans="1:9" x14ac:dyDescent="0.3">
      <c r="A124" s="126"/>
      <c r="B124" s="118">
        <v>490</v>
      </c>
      <c r="C124" s="119">
        <v>1037609.4911199291</v>
      </c>
      <c r="D124" s="119">
        <v>821440.84713661065</v>
      </c>
      <c r="E124" s="119">
        <v>605272.20315329218</v>
      </c>
      <c r="F124" s="119">
        <v>389103.55916997371</v>
      </c>
      <c r="G124" s="119">
        <v>172934.91518665501</v>
      </c>
      <c r="H124" s="119">
        <v>-43233.728796663694</v>
      </c>
      <c r="I124" s="119">
        <v>-259402.37277998216</v>
      </c>
    </row>
    <row r="125" spans="1:9" x14ac:dyDescent="0.3">
      <c r="A125" s="126"/>
      <c r="B125" s="118">
        <v>500</v>
      </c>
      <c r="C125" s="119">
        <v>1039972.9779989794</v>
      </c>
      <c r="D125" s="119">
        <v>831978.3823991837</v>
      </c>
      <c r="E125" s="119">
        <v>623983.78679938777</v>
      </c>
      <c r="F125" s="119">
        <v>415989.19119959185</v>
      </c>
      <c r="G125" s="119">
        <v>207994.59559979592</v>
      </c>
      <c r="H125" s="119">
        <v>0</v>
      </c>
      <c r="I125" s="119">
        <v>-207994.59559979569</v>
      </c>
    </row>
    <row r="126" spans="1:9" x14ac:dyDescent="0.3">
      <c r="A126" s="126"/>
      <c r="B126" s="118">
        <v>510</v>
      </c>
      <c r="C126" s="119">
        <v>1041468.8061629091</v>
      </c>
      <c r="D126" s="119">
        <v>841186.34343927284</v>
      </c>
      <c r="E126" s="119">
        <v>640903.8807156363</v>
      </c>
      <c r="F126" s="119">
        <v>440621.417992</v>
      </c>
      <c r="G126" s="119">
        <v>240338.9552683637</v>
      </c>
      <c r="H126" s="119">
        <v>40056.4925447274</v>
      </c>
      <c r="I126" s="119">
        <v>-160225.97017890913</v>
      </c>
    </row>
    <row r="127" spans="1:9" x14ac:dyDescent="0.3">
      <c r="A127" s="126"/>
      <c r="B127" s="118">
        <v>520</v>
      </c>
      <c r="C127" s="119">
        <v>1042188.3139489595</v>
      </c>
      <c r="D127" s="119">
        <v>849190.47803248558</v>
      </c>
      <c r="E127" s="119">
        <v>656192.64211601159</v>
      </c>
      <c r="F127" s="119">
        <v>463194.80619953759</v>
      </c>
      <c r="G127" s="119">
        <v>270196.97028306359</v>
      </c>
      <c r="H127" s="119">
        <v>77199.134366589598</v>
      </c>
      <c r="I127" s="119">
        <v>-115798.70154988416</v>
      </c>
    </row>
    <row r="128" spans="1:9" x14ac:dyDescent="0.3">
      <c r="A128" s="126"/>
      <c r="B128" s="118">
        <v>530</v>
      </c>
      <c r="C128" s="119">
        <v>1042213.0017719698</v>
      </c>
      <c r="D128" s="119">
        <v>856103.53716983227</v>
      </c>
      <c r="E128" s="119">
        <v>669994.07256769482</v>
      </c>
      <c r="F128" s="119">
        <v>483884.60796555737</v>
      </c>
      <c r="G128" s="119">
        <v>297775.14336341992</v>
      </c>
      <c r="H128" s="119">
        <v>111665.67876128247</v>
      </c>
      <c r="I128" s="119">
        <v>-74443.78584085498</v>
      </c>
    </row>
    <row r="129" spans="1:12" x14ac:dyDescent="0.3">
      <c r="A129" s="126"/>
      <c r="B129" s="118">
        <v>540</v>
      </c>
      <c r="C129" s="119">
        <v>1041615.7035724644</v>
      </c>
      <c r="D129" s="119">
        <v>862026.78916341881</v>
      </c>
      <c r="E129" s="119">
        <v>682437.87475437322</v>
      </c>
      <c r="F129" s="119">
        <v>502848.96034532762</v>
      </c>
      <c r="G129" s="119">
        <v>323260.04593628203</v>
      </c>
      <c r="H129" s="119">
        <v>143671.13152723666</v>
      </c>
      <c r="I129" s="119">
        <v>-35917.782881808933</v>
      </c>
    </row>
    <row r="130" spans="1:12" x14ac:dyDescent="0.3">
      <c r="A130" s="126"/>
      <c r="B130" s="118">
        <v>550</v>
      </c>
      <c r="C130" s="119">
        <v>1040461.6031350964</v>
      </c>
      <c r="D130" s="119">
        <v>867051.33594591368</v>
      </c>
      <c r="E130" s="119">
        <v>693641.06875673099</v>
      </c>
      <c r="F130" s="119">
        <v>520230.80156754819</v>
      </c>
      <c r="G130" s="119">
        <v>346820.53437836538</v>
      </c>
      <c r="H130" s="119">
        <v>173410.26718918281</v>
      </c>
      <c r="I130" s="119">
        <v>0</v>
      </c>
    </row>
    <row r="131" spans="1:12" x14ac:dyDescent="0.3">
      <c r="A131" s="126"/>
      <c r="B131" s="118">
        <v>560</v>
      </c>
      <c r="C131" s="119">
        <v>1038809.1179690239</v>
      </c>
      <c r="D131" s="119">
        <v>871259.26023208455</v>
      </c>
      <c r="E131" s="119">
        <v>703709.4024951451</v>
      </c>
      <c r="F131" s="119">
        <v>536159.544758206</v>
      </c>
      <c r="G131" s="119">
        <v>368609.68702126667</v>
      </c>
      <c r="H131" s="119">
        <v>201059.82928432734</v>
      </c>
      <c r="I131" s="119">
        <v>33509.971547388006</v>
      </c>
    </row>
    <row r="132" spans="1:12" x14ac:dyDescent="0.3">
      <c r="A132" s="126"/>
      <c r="B132" s="118">
        <v>570</v>
      </c>
      <c r="C132" s="119">
        <v>1036710.669808225</v>
      </c>
      <c r="D132" s="119">
        <v>874724.6276506898</v>
      </c>
      <c r="E132" s="119">
        <v>712738.58549315459</v>
      </c>
      <c r="F132" s="119">
        <v>550752.54333561938</v>
      </c>
      <c r="G132" s="119">
        <v>388766.50117808441</v>
      </c>
      <c r="H132" s="119">
        <v>226780.4590205492</v>
      </c>
      <c r="I132" s="119">
        <v>64794.41686301399</v>
      </c>
    </row>
    <row r="133" spans="1:12" x14ac:dyDescent="0.3">
      <c r="A133" s="126"/>
      <c r="B133" s="118">
        <v>580</v>
      </c>
      <c r="C133" s="119">
        <v>1034213.3577876764</v>
      </c>
      <c r="D133" s="119">
        <v>877514.36418348295</v>
      </c>
      <c r="E133" s="119">
        <v>720815.37057928951</v>
      </c>
      <c r="F133" s="119">
        <v>564116.37697509606</v>
      </c>
      <c r="G133" s="119">
        <v>407417.38337090285</v>
      </c>
      <c r="H133" s="119">
        <v>250718.38976670941</v>
      </c>
      <c r="I133" s="119">
        <v>94019.396162515972</v>
      </c>
    </row>
    <row r="134" spans="1:12" x14ac:dyDescent="0.3">
      <c r="A134" s="126"/>
      <c r="B134" s="118">
        <v>590</v>
      </c>
      <c r="C134" s="119">
        <v>1031359.5478624469</v>
      </c>
      <c r="D134" s="119">
        <v>879689.02611796942</v>
      </c>
      <c r="E134" s="119">
        <v>728018.50437349197</v>
      </c>
      <c r="F134" s="119">
        <v>576347.98262901441</v>
      </c>
      <c r="G134" s="119">
        <v>424677.46088453708</v>
      </c>
      <c r="H134" s="119">
        <v>273006.93914005952</v>
      </c>
      <c r="I134" s="119">
        <v>121336.41739558196</v>
      </c>
    </row>
    <row r="135" spans="1:12" x14ac:dyDescent="0.3">
      <c r="A135" s="126"/>
      <c r="B135" s="118">
        <v>600</v>
      </c>
      <c r="C135" s="119">
        <v>1028187.3899667513</v>
      </c>
      <c r="D135" s="119">
        <v>881303.47711435833</v>
      </c>
      <c r="E135" s="119">
        <v>734419.56426196522</v>
      </c>
      <c r="F135" s="119">
        <v>587535.65140957222</v>
      </c>
      <c r="G135" s="119">
        <v>440651.73855717899</v>
      </c>
      <c r="H135" s="119">
        <v>293767.825704786</v>
      </c>
      <c r="I135" s="119">
        <v>146883.912852393</v>
      </c>
    </row>
    <row r="136" spans="1:12" x14ac:dyDescent="0.3">
      <c r="A136" s="126"/>
      <c r="B136" s="118">
        <v>610</v>
      </c>
      <c r="C136" s="119">
        <v>1024731.2726827315</v>
      </c>
      <c r="D136" s="119">
        <v>882407.48481012986</v>
      </c>
      <c r="E136" s="119">
        <v>740083.69693752832</v>
      </c>
      <c r="F136" s="119">
        <v>597759.90906492667</v>
      </c>
      <c r="G136" s="119">
        <v>455436.12119232514</v>
      </c>
      <c r="H136" s="119">
        <v>313112.33331972361</v>
      </c>
      <c r="I136" s="119">
        <v>170788.54544712184</v>
      </c>
    </row>
    <row r="137" spans="1:12" x14ac:dyDescent="0.3">
      <c r="A137" s="126"/>
      <c r="B137" s="118">
        <v>620</v>
      </c>
      <c r="C137" s="119">
        <v>1021022.2237432048</v>
      </c>
      <c r="D137" s="119">
        <v>883046.24756169063</v>
      </c>
      <c r="E137" s="119">
        <v>745070.27138017653</v>
      </c>
      <c r="F137" s="119">
        <v>607094.29519866221</v>
      </c>
      <c r="G137" s="119">
        <v>469118.31901714811</v>
      </c>
      <c r="H137" s="119">
        <v>331142.34283563402</v>
      </c>
      <c r="I137" s="119">
        <v>193166.36665411969</v>
      </c>
    </row>
    <row r="138" spans="1:12" x14ac:dyDescent="0.3">
      <c r="A138" s="126"/>
      <c r="B138" s="118">
        <v>630</v>
      </c>
      <c r="C138" s="119">
        <v>1017088.2634793159</v>
      </c>
      <c r="D138" s="119">
        <v>883260.86038993229</v>
      </c>
      <c r="E138" s="119">
        <v>749433.45730054856</v>
      </c>
      <c r="F138" s="119">
        <v>615606.05421116482</v>
      </c>
      <c r="G138" s="119">
        <v>481778.65112178121</v>
      </c>
      <c r="H138" s="119">
        <v>347951.24803239759</v>
      </c>
      <c r="I138" s="119">
        <v>214123.84494301397</v>
      </c>
    </row>
    <row r="139" spans="1:12" x14ac:dyDescent="0.3">
      <c r="A139" s="126"/>
      <c r="B139" s="118">
        <v>640</v>
      </c>
      <c r="C139" s="119">
        <v>1012954.7173026291</v>
      </c>
      <c r="D139" s="119">
        <v>883088.7279048562</v>
      </c>
      <c r="E139" s="119">
        <v>753222.73850708327</v>
      </c>
      <c r="F139" s="119">
        <v>623356.74910931021</v>
      </c>
      <c r="G139" s="119">
        <v>493490.75971153728</v>
      </c>
      <c r="H139" s="119">
        <v>363624.77031376422</v>
      </c>
      <c r="I139" s="119">
        <v>233758.7809159914</v>
      </c>
    </row>
    <row r="140" spans="1:12" x14ac:dyDescent="0.3">
      <c r="A140" s="126"/>
      <c r="B140" s="118">
        <v>650</v>
      </c>
      <c r="C140" s="119">
        <v>1008644.4924491229</v>
      </c>
      <c r="D140" s="119">
        <v>882563.93089298252</v>
      </c>
      <c r="E140" s="119">
        <v>756483.36933684221</v>
      </c>
      <c r="F140" s="119">
        <v>630402.80778070178</v>
      </c>
      <c r="G140" s="119">
        <v>504322.24622456147</v>
      </c>
      <c r="H140" s="119">
        <v>378241.68466842105</v>
      </c>
      <c r="I140" s="119">
        <v>252161.12311228062</v>
      </c>
    </row>
    <row r="141" spans="1:12" x14ac:dyDescent="0.3">
      <c r="A141" s="126"/>
      <c r="B141" s="118">
        <v>660</v>
      </c>
      <c r="C141" s="119">
        <v>1004178.3234829371</v>
      </c>
      <c r="D141" s="119">
        <v>881717.55232648132</v>
      </c>
      <c r="E141" s="119">
        <v>759256.78117002558</v>
      </c>
      <c r="F141" s="119">
        <v>636796.01001356984</v>
      </c>
      <c r="G141" s="119">
        <v>514335.23885711422</v>
      </c>
      <c r="H141" s="119">
        <v>391874.46770065837</v>
      </c>
      <c r="I141" s="119">
        <v>269413.69654420274</v>
      </c>
    </row>
    <row r="142" spans="1:12" x14ac:dyDescent="0.3">
      <c r="A142" s="126"/>
      <c r="B142" s="118">
        <v>670</v>
      </c>
      <c r="C142" s="119">
        <v>999574.99043870345</v>
      </c>
      <c r="D142" s="119">
        <v>880577.96776742931</v>
      </c>
      <c r="E142" s="119">
        <v>761580.94509615505</v>
      </c>
      <c r="F142" s="119">
        <v>642583.92242488079</v>
      </c>
      <c r="G142" s="119">
        <v>523586.89975360665</v>
      </c>
      <c r="H142" s="119">
        <v>404589.87708233227</v>
      </c>
      <c r="I142" s="119">
        <v>285592.85441105813</v>
      </c>
    </row>
    <row r="143" spans="1:12" x14ac:dyDescent="0.3">
      <c r="A143" s="126"/>
      <c r="B143" s="118">
        <v>680</v>
      </c>
      <c r="C143" s="119">
        <v>994851.51295467373</v>
      </c>
      <c r="D143" s="119">
        <v>879171.10447157209</v>
      </c>
      <c r="E143" s="119">
        <v>763490.69598847057</v>
      </c>
      <c r="F143" s="119">
        <v>647810.28750536893</v>
      </c>
      <c r="G143" s="119">
        <v>532129.8790222673</v>
      </c>
      <c r="H143" s="119">
        <v>416449.47053916566</v>
      </c>
      <c r="I143" s="119">
        <v>300769.06205606414</v>
      </c>
    </row>
    <row r="144" spans="1:12" x14ac:dyDescent="0.3">
      <c r="A144" s="126"/>
      <c r="B144" s="118">
        <v>690</v>
      </c>
      <c r="C144" s="119">
        <v>990023.32329994719</v>
      </c>
      <c r="D144" s="119">
        <v>877520.67292495316</v>
      </c>
      <c r="E144" s="119">
        <v>765018.02254995925</v>
      </c>
      <c r="F144" s="119">
        <v>652515.37217496522</v>
      </c>
      <c r="G144" s="119">
        <v>540012.72179997119</v>
      </c>
      <c r="H144" s="119">
        <v>427510.07142497716</v>
      </c>
      <c r="I144" s="119">
        <v>315007.42104998324</v>
      </c>
      <c r="L144" t="s">
        <v>27</v>
      </c>
    </row>
    <row r="145" spans="1:9" ht="15" thickBot="1" x14ac:dyDescent="0.35">
      <c r="A145" s="127"/>
      <c r="B145" s="118">
        <v>700</v>
      </c>
      <c r="C145" s="119">
        <v>985104.42081539321</v>
      </c>
      <c r="D145" s="119">
        <v>875648.37405812729</v>
      </c>
      <c r="E145" s="119">
        <v>766192.32730086136</v>
      </c>
      <c r="F145" s="119">
        <v>656736.28054359555</v>
      </c>
      <c r="G145" s="119">
        <v>547280.23378632963</v>
      </c>
      <c r="H145" s="120">
        <v>437824.1870290637</v>
      </c>
      <c r="I145" s="120">
        <v>328368.14027179778</v>
      </c>
    </row>
  </sheetData>
  <mergeCells count="9">
    <mergeCell ref="D60:E60"/>
    <mergeCell ref="D61:E61"/>
    <mergeCell ref="A101:A145"/>
    <mergeCell ref="C99:I99"/>
    <mergeCell ref="D26:E26"/>
    <mergeCell ref="G26:H26"/>
    <mergeCell ref="A26:B26"/>
    <mergeCell ref="A30:E30"/>
    <mergeCell ref="F30:H30"/>
  </mergeCells>
  <conditionalFormatting sqref="C101:C145">
    <cfRule type="cellIs" dxfId="14" priority="8" operator="equal">
      <formula>MAX($C$101:$C$145)</formula>
    </cfRule>
  </conditionalFormatting>
  <conditionalFormatting sqref="D101:D145">
    <cfRule type="cellIs" dxfId="13" priority="7" operator="equal">
      <formula>MAX($D$101:$D$145)</formula>
    </cfRule>
  </conditionalFormatting>
  <conditionalFormatting sqref="E101:E145">
    <cfRule type="cellIs" dxfId="12" priority="6" operator="equal">
      <formula>MAX($E$101:$E$145)</formula>
    </cfRule>
  </conditionalFormatting>
  <conditionalFormatting sqref="F101:F145">
    <cfRule type="cellIs" dxfId="11" priority="5" operator="equal">
      <formula>MAX($F$101:$F$145)</formula>
    </cfRule>
  </conditionalFormatting>
  <conditionalFormatting sqref="G101:G145">
    <cfRule type="cellIs" dxfId="10" priority="4" operator="equal">
      <formula>MAX($G$101:$G$145)</formula>
    </cfRule>
  </conditionalFormatting>
  <conditionalFormatting sqref="K84">
    <cfRule type="top10" dxfId="9" priority="10" rank="1"/>
    <cfRule type="top10" priority="11" rank="1"/>
  </conditionalFormatting>
  <conditionalFormatting sqref="G48">
    <cfRule type="cellIs" dxfId="8" priority="2" operator="equal">
      <formula>MAX($G$49:$G$93)</formula>
    </cfRule>
  </conditionalFormatting>
  <conditionalFormatting sqref="G49:G93">
    <cfRule type="cellIs" dxfId="0" priority="1" operator="equal">
      <formula>MAX($G$49:$G$93)</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7"/>
  <sheetViews>
    <sheetView tabSelected="1" topLeftCell="A28" workbookViewId="0">
      <selection activeCell="G41" sqref="G41"/>
    </sheetView>
  </sheetViews>
  <sheetFormatPr defaultRowHeight="14.4" x14ac:dyDescent="0.3"/>
  <cols>
    <col min="1" max="1" width="20.44140625" bestFit="1" customWidth="1"/>
    <col min="2" max="2" width="23.109375" bestFit="1" customWidth="1"/>
    <col min="3" max="3" width="14.6640625" bestFit="1" customWidth="1"/>
    <col min="6" max="6" width="16.6640625" bestFit="1" customWidth="1"/>
    <col min="7" max="7" width="11.5546875" bestFit="1" customWidth="1"/>
    <col min="8" max="8" width="15.5546875" bestFit="1" customWidth="1"/>
  </cols>
  <sheetData>
    <row r="1" spans="1:8" ht="19.8" x14ac:dyDescent="0.4">
      <c r="A1" s="143" t="s">
        <v>80</v>
      </c>
      <c r="B1" s="143"/>
      <c r="C1" s="143"/>
      <c r="D1" s="143"/>
      <c r="E1" s="143"/>
      <c r="F1" s="143"/>
      <c r="G1" s="143"/>
    </row>
    <row r="3" spans="1:8" x14ac:dyDescent="0.3">
      <c r="A3" s="1" t="s">
        <v>63</v>
      </c>
      <c r="B3" s="1">
        <v>9.3000000000000007</v>
      </c>
      <c r="C3" s="152" t="s">
        <v>64</v>
      </c>
      <c r="E3" s="131" t="s">
        <v>72</v>
      </c>
      <c r="F3" s="131"/>
    </row>
    <row r="4" spans="1:8" x14ac:dyDescent="0.3">
      <c r="A4" s="1" t="s">
        <v>65</v>
      </c>
      <c r="B4" s="1">
        <v>20</v>
      </c>
      <c r="C4" s="152" t="s">
        <v>66</v>
      </c>
      <c r="E4" s="2" t="s">
        <v>73</v>
      </c>
      <c r="F4" s="2" t="s">
        <v>74</v>
      </c>
      <c r="G4" t="s">
        <v>75</v>
      </c>
      <c r="H4" t="s">
        <v>77</v>
      </c>
    </row>
    <row r="5" spans="1:8" x14ac:dyDescent="0.3">
      <c r="A5" s="1" t="s">
        <v>67</v>
      </c>
      <c r="B5" s="1">
        <v>1.2</v>
      </c>
      <c r="C5" s="152" t="s">
        <v>64</v>
      </c>
      <c r="E5" s="1">
        <v>1</v>
      </c>
      <c r="F5" s="61">
        <v>1.2</v>
      </c>
    </row>
    <row r="6" spans="1:8" x14ac:dyDescent="0.3">
      <c r="A6" s="1" t="s">
        <v>71</v>
      </c>
      <c r="B6" s="1">
        <v>8</v>
      </c>
      <c r="E6" s="1">
        <v>2</v>
      </c>
      <c r="F6" s="61">
        <f>IF(E6&lt;=$B$6,F5*(1+$B$7),F5*(1-$B$8))</f>
        <v>1.32</v>
      </c>
      <c r="G6" t="s">
        <v>76</v>
      </c>
      <c r="H6" t="s">
        <v>78</v>
      </c>
    </row>
    <row r="7" spans="1:8" x14ac:dyDescent="0.3">
      <c r="A7" s="1" t="s">
        <v>68</v>
      </c>
      <c r="B7" s="62">
        <v>0.1</v>
      </c>
      <c r="E7" s="1">
        <v>3</v>
      </c>
      <c r="F7" s="61">
        <f t="shared" ref="F7:F24" si="0">IF(E7&lt;=$B$6,F6*(1+$B$7),F6*(1-$B$8))</f>
        <v>1.4520000000000002</v>
      </c>
      <c r="H7" t="s">
        <v>79</v>
      </c>
    </row>
    <row r="8" spans="1:8" x14ac:dyDescent="0.3">
      <c r="A8" s="1" t="s">
        <v>69</v>
      </c>
      <c r="B8" s="62">
        <v>0.05</v>
      </c>
      <c r="E8" s="1">
        <v>4</v>
      </c>
      <c r="F8" s="61">
        <f t="shared" si="0"/>
        <v>1.5972000000000004</v>
      </c>
    </row>
    <row r="9" spans="1:8" x14ac:dyDescent="0.3">
      <c r="A9" s="1" t="s">
        <v>70</v>
      </c>
      <c r="B9" s="62">
        <v>0.12</v>
      </c>
      <c r="E9" s="1">
        <v>5</v>
      </c>
      <c r="F9" s="61">
        <f t="shared" si="0"/>
        <v>1.7569200000000005</v>
      </c>
    </row>
    <row r="10" spans="1:8" x14ac:dyDescent="0.3">
      <c r="E10" s="1">
        <v>6</v>
      </c>
      <c r="F10" s="61">
        <f t="shared" si="0"/>
        <v>1.9326120000000007</v>
      </c>
    </row>
    <row r="11" spans="1:8" x14ac:dyDescent="0.3">
      <c r="A11" t="s">
        <v>81</v>
      </c>
      <c r="B11" s="63">
        <f>NPV(B9,F5:F24)</f>
        <v>12.600290735832388</v>
      </c>
      <c r="C11" t="str">
        <f ca="1">_xlfn.FORMULATEXT(B11)</f>
        <v>=NPV(B9,F5:F24)</v>
      </c>
      <c r="E11" s="1">
        <v>7</v>
      </c>
      <c r="F11" s="61">
        <f t="shared" si="0"/>
        <v>2.1258732000000009</v>
      </c>
    </row>
    <row r="12" spans="1:8" x14ac:dyDescent="0.3">
      <c r="A12" t="s">
        <v>82</v>
      </c>
      <c r="B12" s="60">
        <v>9.3000000000000007</v>
      </c>
      <c r="E12" s="1">
        <v>8</v>
      </c>
      <c r="F12" s="61">
        <f t="shared" si="0"/>
        <v>2.3384605200000013</v>
      </c>
    </row>
    <row r="13" spans="1:8" x14ac:dyDescent="0.3">
      <c r="A13" s="65" t="s">
        <v>83</v>
      </c>
      <c r="B13" s="66">
        <f>B11-B12</f>
        <v>3.3002907358323874</v>
      </c>
      <c r="C13" s="151" t="s">
        <v>84</v>
      </c>
      <c r="E13" s="1">
        <v>9</v>
      </c>
      <c r="F13" s="61">
        <f t="shared" si="0"/>
        <v>2.221537494000001</v>
      </c>
    </row>
    <row r="14" spans="1:8" x14ac:dyDescent="0.3">
      <c r="E14" s="1">
        <v>10</v>
      </c>
      <c r="F14" s="61">
        <f t="shared" si="0"/>
        <v>2.1104606193000008</v>
      </c>
    </row>
    <row r="15" spans="1:8" x14ac:dyDescent="0.3">
      <c r="E15" s="1">
        <v>11</v>
      </c>
      <c r="F15" s="61">
        <f t="shared" si="0"/>
        <v>2.0049375883350007</v>
      </c>
    </row>
    <row r="16" spans="1:8" x14ac:dyDescent="0.3">
      <c r="E16" s="1">
        <v>12</v>
      </c>
      <c r="F16" s="61">
        <f t="shared" si="0"/>
        <v>1.9046907089182505</v>
      </c>
    </row>
    <row r="17" spans="1:17" x14ac:dyDescent="0.3">
      <c r="E17" s="1">
        <v>13</v>
      </c>
      <c r="F17" s="61">
        <f t="shared" si="0"/>
        <v>1.809456173472338</v>
      </c>
    </row>
    <row r="18" spans="1:17" x14ac:dyDescent="0.3">
      <c r="E18" s="1">
        <v>14</v>
      </c>
      <c r="F18" s="61">
        <f t="shared" si="0"/>
        <v>1.7189833647987209</v>
      </c>
    </row>
    <row r="19" spans="1:17" x14ac:dyDescent="0.3">
      <c r="E19" s="1">
        <v>15</v>
      </c>
      <c r="F19" s="61">
        <f t="shared" si="0"/>
        <v>1.6330341965587849</v>
      </c>
    </row>
    <row r="20" spans="1:17" x14ac:dyDescent="0.3">
      <c r="E20" s="1">
        <v>16</v>
      </c>
      <c r="F20" s="61">
        <f t="shared" si="0"/>
        <v>1.5513824867308457</v>
      </c>
    </row>
    <row r="21" spans="1:17" x14ac:dyDescent="0.3">
      <c r="E21" s="1">
        <v>17</v>
      </c>
      <c r="F21" s="61">
        <f t="shared" si="0"/>
        <v>1.4738133623943033</v>
      </c>
    </row>
    <row r="22" spans="1:17" x14ac:dyDescent="0.3">
      <c r="E22" s="1">
        <v>18</v>
      </c>
      <c r="F22" s="61">
        <f t="shared" si="0"/>
        <v>1.4001226942745881</v>
      </c>
    </row>
    <row r="23" spans="1:17" x14ac:dyDescent="0.3">
      <c r="E23" s="1">
        <v>19</v>
      </c>
      <c r="F23" s="61">
        <f t="shared" si="0"/>
        <v>1.3301165595608586</v>
      </c>
    </row>
    <row r="24" spans="1:17" ht="15" thickBot="1" x14ac:dyDescent="0.35">
      <c r="E24" s="153">
        <v>20</v>
      </c>
      <c r="F24" s="154">
        <f t="shared" si="0"/>
        <v>1.2636107315828156</v>
      </c>
    </row>
    <row r="25" spans="1:17" ht="15" thickBot="1" x14ac:dyDescent="0.35">
      <c r="E25" s="155" t="s">
        <v>135</v>
      </c>
      <c r="F25" s="156">
        <f>SUM(F5:F24)</f>
        <v>34.145211699926513</v>
      </c>
    </row>
    <row r="29" spans="1:17" x14ac:dyDescent="0.3">
      <c r="A29" s="69"/>
      <c r="B29" s="69"/>
      <c r="C29" s="69"/>
      <c r="D29" s="69"/>
      <c r="E29" s="69"/>
      <c r="F29" s="69"/>
      <c r="G29" s="69"/>
      <c r="H29" s="69"/>
      <c r="I29" s="69"/>
      <c r="J29" s="69"/>
      <c r="K29" s="69"/>
      <c r="L29" s="69"/>
      <c r="M29" s="69"/>
      <c r="N29" s="69"/>
      <c r="O29" s="69"/>
      <c r="P29" s="69"/>
      <c r="Q29" s="69"/>
    </row>
    <row r="36" spans="1:3" x14ac:dyDescent="0.3">
      <c r="A36" s="67" t="s">
        <v>43</v>
      </c>
      <c r="B36" s="67" t="s">
        <v>85</v>
      </c>
    </row>
    <row r="37" spans="1:3" x14ac:dyDescent="0.3">
      <c r="A37" s="1">
        <v>1</v>
      </c>
      <c r="B37" s="68">
        <v>30000</v>
      </c>
    </row>
    <row r="38" spans="1:3" x14ac:dyDescent="0.3">
      <c r="A38" s="1">
        <v>2</v>
      </c>
      <c r="B38" s="68">
        <v>65000</v>
      </c>
    </row>
    <row r="39" spans="1:3" x14ac:dyDescent="0.3">
      <c r="A39" s="1">
        <v>3</v>
      </c>
      <c r="B39" s="68">
        <v>80000</v>
      </c>
    </row>
    <row r="40" spans="1:3" x14ac:dyDescent="0.3">
      <c r="A40" s="1">
        <v>4</v>
      </c>
      <c r="B40" s="68">
        <v>75000</v>
      </c>
    </row>
    <row r="41" spans="1:3" x14ac:dyDescent="0.3">
      <c r="A41" s="1">
        <v>5</v>
      </c>
      <c r="B41" s="68">
        <v>55000</v>
      </c>
    </row>
    <row r="43" spans="1:3" x14ac:dyDescent="0.3">
      <c r="A43" s="4" t="s">
        <v>86</v>
      </c>
      <c r="B43" s="60">
        <v>150000</v>
      </c>
    </row>
    <row r="44" spans="1:3" x14ac:dyDescent="0.3">
      <c r="A44" s="4" t="s">
        <v>87</v>
      </c>
      <c r="B44" s="59">
        <v>0.15</v>
      </c>
    </row>
    <row r="45" spans="1:3" x14ac:dyDescent="0.3">
      <c r="A45" s="4"/>
    </row>
    <row r="46" spans="1:3" x14ac:dyDescent="0.3">
      <c r="A46" s="4" t="s">
        <v>89</v>
      </c>
      <c r="B46" s="63">
        <f>NPV(B44,B37:B41)</f>
        <v>198063.80735147279</v>
      </c>
    </row>
    <row r="47" spans="1:3" x14ac:dyDescent="0.3">
      <c r="A47" s="4" t="s">
        <v>88</v>
      </c>
      <c r="B47" s="70">
        <f>B46-B43</f>
        <v>48063.807351472788</v>
      </c>
      <c r="C47" t="s">
        <v>90</v>
      </c>
    </row>
  </sheetData>
  <mergeCells count="2">
    <mergeCell ref="A1:G1"/>
    <mergeCell ref="E3:F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7"/>
  <sheetViews>
    <sheetView topLeftCell="A88" workbookViewId="0">
      <selection activeCell="E82" sqref="E82"/>
    </sheetView>
  </sheetViews>
  <sheetFormatPr defaultRowHeight="14.4" x14ac:dyDescent="0.3"/>
  <cols>
    <col min="1" max="1" width="11.5546875" customWidth="1"/>
    <col min="2" max="4" width="24.5546875" bestFit="1" customWidth="1"/>
    <col min="5" max="5" width="11.5546875" bestFit="1" customWidth="1"/>
    <col min="6" max="6" width="12.6640625" customWidth="1"/>
    <col min="9" max="9" width="9.6640625" bestFit="1" customWidth="1"/>
    <col min="10" max="10" width="14.44140625" customWidth="1"/>
  </cols>
  <sheetData>
    <row r="1" spans="1:6" ht="20.399999999999999" thickBot="1" x14ac:dyDescent="0.45">
      <c r="A1" s="134" t="s">
        <v>42</v>
      </c>
      <c r="B1" s="134"/>
      <c r="C1" s="134"/>
      <c r="D1" s="134"/>
      <c r="E1" s="134"/>
      <c r="F1" s="134"/>
    </row>
    <row r="2" spans="1:6" ht="15" thickTop="1" x14ac:dyDescent="0.3"/>
    <row r="6" spans="1:6" x14ac:dyDescent="0.3">
      <c r="B6" s="26" t="s">
        <v>43</v>
      </c>
      <c r="C6" s="28" t="s">
        <v>58</v>
      </c>
      <c r="D6" s="26" t="s">
        <v>44</v>
      </c>
    </row>
    <row r="7" spans="1:6" x14ac:dyDescent="0.3">
      <c r="B7" s="3">
        <v>2017</v>
      </c>
      <c r="C7">
        <v>1</v>
      </c>
      <c r="D7" s="27">
        <v>218.6</v>
      </c>
    </row>
    <row r="8" spans="1:6" x14ac:dyDescent="0.3">
      <c r="B8" s="3">
        <v>2018</v>
      </c>
      <c r="C8">
        <v>2</v>
      </c>
      <c r="D8" s="27">
        <v>435</v>
      </c>
    </row>
    <row r="9" spans="1:6" x14ac:dyDescent="0.3">
      <c r="B9" s="3">
        <v>2019</v>
      </c>
      <c r="C9">
        <v>3</v>
      </c>
      <c r="D9" s="27">
        <v>915</v>
      </c>
    </row>
    <row r="10" spans="1:6" x14ac:dyDescent="0.3">
      <c r="B10" s="3">
        <v>2020</v>
      </c>
      <c r="C10">
        <v>4</v>
      </c>
      <c r="D10" s="27">
        <v>1825.9</v>
      </c>
    </row>
    <row r="11" spans="1:6" x14ac:dyDescent="0.3">
      <c r="B11" s="3">
        <v>2021</v>
      </c>
      <c r="C11">
        <v>5</v>
      </c>
      <c r="D11" s="27">
        <v>4021.8</v>
      </c>
    </row>
    <row r="12" spans="1:6" x14ac:dyDescent="0.3">
      <c r="B12" s="3"/>
      <c r="D12" s="27"/>
    </row>
    <row r="21" spans="1:9" ht="15" thickBot="1" x14ac:dyDescent="0.35"/>
    <row r="22" spans="1:9" x14ac:dyDescent="0.3">
      <c r="A22" s="140" t="s">
        <v>45</v>
      </c>
      <c r="B22" s="141"/>
      <c r="C22" s="142" t="s">
        <v>46</v>
      </c>
      <c r="D22" s="142"/>
      <c r="E22" s="131" t="s">
        <v>16</v>
      </c>
      <c r="F22" s="131"/>
      <c r="H22" t="s">
        <v>47</v>
      </c>
    </row>
    <row r="23" spans="1:9" x14ac:dyDescent="0.3">
      <c r="A23" s="34" t="s">
        <v>43</v>
      </c>
      <c r="B23" s="35" t="s">
        <v>44</v>
      </c>
      <c r="C23" s="29" t="s">
        <v>15</v>
      </c>
      <c r="D23" s="30" t="s">
        <v>14</v>
      </c>
      <c r="E23" s="31" t="s">
        <v>15</v>
      </c>
      <c r="F23" s="31" t="s">
        <v>14</v>
      </c>
      <c r="H23" t="s">
        <v>48</v>
      </c>
    </row>
    <row r="24" spans="1:9" x14ac:dyDescent="0.3">
      <c r="A24" s="36">
        <v>1</v>
      </c>
      <c r="B24" s="37">
        <v>218.6</v>
      </c>
      <c r="C24" s="33">
        <f>$I$24*EXP($I$25*A24)</f>
        <v>214.07807824032759</v>
      </c>
      <c r="D24" s="1">
        <f>$I$29*A24^$I$30</f>
        <v>170.97</v>
      </c>
      <c r="E24" s="32">
        <f>ABS(C24-B24)/B24</f>
        <v>2.0685826896946063E-2</v>
      </c>
      <c r="F24" s="32">
        <f>ABS(D24-B24)/B24</f>
        <v>0.2178865507776761</v>
      </c>
      <c r="H24" t="s">
        <v>49</v>
      </c>
      <c r="I24">
        <v>103.59</v>
      </c>
    </row>
    <row r="25" spans="1:9" x14ac:dyDescent="0.3">
      <c r="A25" s="36">
        <v>2</v>
      </c>
      <c r="B25" s="37">
        <v>435</v>
      </c>
      <c r="C25" s="33">
        <f t="shared" ref="C25:C28" si="0">$I$24*EXP($I$25*A25)</f>
        <v>442.41165733248204</v>
      </c>
      <c r="D25" s="1">
        <f t="shared" ref="D25:D28" si="1">$I$29*A25^$I$30</f>
        <v>575.51087833709835</v>
      </c>
      <c r="E25" s="32">
        <f t="shared" ref="E25:E28" si="2">ABS(C25-B25)/B25</f>
        <v>1.7038292718349508E-2</v>
      </c>
      <c r="F25" s="32">
        <f t="shared" ref="F25:F28" si="3">ABS(D25-B25)/B25</f>
        <v>0.32301351341861689</v>
      </c>
      <c r="H25" t="s">
        <v>50</v>
      </c>
      <c r="I25">
        <v>0.72589999999999999</v>
      </c>
    </row>
    <row r="26" spans="1:9" x14ac:dyDescent="0.3">
      <c r="A26" s="36">
        <v>3</v>
      </c>
      <c r="B26" s="37">
        <v>915</v>
      </c>
      <c r="C26" s="33">
        <f t="shared" si="0"/>
        <v>914.28359294194479</v>
      </c>
      <c r="D26" s="1">
        <f t="shared" si="1"/>
        <v>1170.5957441095538</v>
      </c>
      <c r="E26" s="32">
        <f t="shared" si="2"/>
        <v>7.8295853339367281E-4</v>
      </c>
      <c r="F26" s="32">
        <f t="shared" si="3"/>
        <v>0.2793396110486927</v>
      </c>
    </row>
    <row r="27" spans="1:9" x14ac:dyDescent="0.3">
      <c r="A27" s="36">
        <v>4</v>
      </c>
      <c r="B27" s="37">
        <v>1825.9</v>
      </c>
      <c r="C27" s="33">
        <f t="shared" si="0"/>
        <v>1889.449508096086</v>
      </c>
      <c r="D27" s="1">
        <f t="shared" si="1"/>
        <v>1937.2566595562869</v>
      </c>
      <c r="E27" s="32">
        <f t="shared" si="2"/>
        <v>3.4804484416499207E-2</v>
      </c>
      <c r="F27" s="32">
        <f t="shared" si="3"/>
        <v>6.0987271787220979E-2</v>
      </c>
      <c r="H27" t="s">
        <v>51</v>
      </c>
    </row>
    <row r="28" spans="1:9" ht="15" thickBot="1" x14ac:dyDescent="0.35">
      <c r="A28" s="38">
        <v>5</v>
      </c>
      <c r="B28" s="39">
        <v>4021.8</v>
      </c>
      <c r="C28" s="33">
        <f t="shared" si="0"/>
        <v>3904.7178262896268</v>
      </c>
      <c r="D28" s="1">
        <f t="shared" si="1"/>
        <v>2863.4281246022297</v>
      </c>
      <c r="E28" s="32">
        <f t="shared" si="2"/>
        <v>2.9111883661637413E-2</v>
      </c>
      <c r="F28" s="32">
        <f t="shared" si="3"/>
        <v>0.28802324217956399</v>
      </c>
      <c r="H28" t="s">
        <v>52</v>
      </c>
    </row>
    <row r="29" spans="1:9" ht="15" thickBot="1" x14ac:dyDescent="0.35">
      <c r="D29" s="1" t="s">
        <v>53</v>
      </c>
      <c r="E29" s="40">
        <f>AVERAGE(E24:E28)</f>
        <v>2.0484689245365173E-2</v>
      </c>
      <c r="F29" s="32">
        <f>AVERAGE(F24:F28)</f>
        <v>0.23385003784235411</v>
      </c>
      <c r="H29" t="s">
        <v>49</v>
      </c>
      <c r="I29">
        <v>170.97</v>
      </c>
    </row>
    <row r="30" spans="1:9" ht="15" thickBot="1" x14ac:dyDescent="0.35">
      <c r="E30" s="41" t="s">
        <v>56</v>
      </c>
      <c r="H30" t="s">
        <v>50</v>
      </c>
      <c r="I30">
        <v>1.7511000000000001</v>
      </c>
    </row>
    <row r="36" spans="1:12" x14ac:dyDescent="0.3">
      <c r="A36" s="133" t="s">
        <v>54</v>
      </c>
      <c r="B36" s="133"/>
      <c r="C36" s="133"/>
    </row>
    <row r="37" spans="1:12" x14ac:dyDescent="0.3">
      <c r="A37" s="1" t="s">
        <v>43</v>
      </c>
      <c r="B37" s="1" t="s">
        <v>55</v>
      </c>
      <c r="C37" s="1" t="s">
        <v>57</v>
      </c>
    </row>
    <row r="38" spans="1:12" x14ac:dyDescent="0.3">
      <c r="A38" s="1">
        <v>2017</v>
      </c>
      <c r="B38" s="1">
        <v>1</v>
      </c>
      <c r="C38" s="8">
        <f>$I$24*EXP($I$25*B38)</f>
        <v>214.07807824032759</v>
      </c>
    </row>
    <row r="39" spans="1:12" x14ac:dyDescent="0.3">
      <c r="A39" s="1">
        <v>2018</v>
      </c>
      <c r="B39" s="1">
        <v>2</v>
      </c>
      <c r="C39" s="8">
        <f t="shared" ref="C39:C45" si="4">$I$24*EXP($I$25*B39)</f>
        <v>442.41165733248204</v>
      </c>
    </row>
    <row r="40" spans="1:12" x14ac:dyDescent="0.3">
      <c r="A40" s="1">
        <v>2019</v>
      </c>
      <c r="B40" s="1">
        <v>3</v>
      </c>
      <c r="C40" s="8">
        <f t="shared" si="4"/>
        <v>914.28359294194479</v>
      </c>
    </row>
    <row r="41" spans="1:12" x14ac:dyDescent="0.3">
      <c r="A41" s="1">
        <v>2020</v>
      </c>
      <c r="B41" s="1">
        <v>4</v>
      </c>
      <c r="C41" s="8">
        <f t="shared" si="4"/>
        <v>1889.449508096086</v>
      </c>
    </row>
    <row r="42" spans="1:12" x14ac:dyDescent="0.3">
      <c r="A42" s="1">
        <v>2021</v>
      </c>
      <c r="B42" s="1">
        <v>5</v>
      </c>
      <c r="C42" s="8">
        <f t="shared" si="4"/>
        <v>3904.7178262896268</v>
      </c>
    </row>
    <row r="43" spans="1:12" x14ac:dyDescent="0.3">
      <c r="A43" s="1">
        <v>2022</v>
      </c>
      <c r="B43" s="1">
        <v>6</v>
      </c>
      <c r="C43" s="8">
        <f t="shared" si="4"/>
        <v>8069.4515718006751</v>
      </c>
    </row>
    <row r="44" spans="1:12" x14ac:dyDescent="0.3">
      <c r="A44" s="1">
        <v>2023</v>
      </c>
      <c r="B44" s="1">
        <v>7</v>
      </c>
      <c r="C44" s="43">
        <f t="shared" si="4"/>
        <v>16676.24949265836</v>
      </c>
    </row>
    <row r="45" spans="1:12" x14ac:dyDescent="0.3">
      <c r="A45" s="1">
        <v>2024</v>
      </c>
      <c r="B45" s="1">
        <v>8</v>
      </c>
      <c r="C45" s="8">
        <f t="shared" si="4"/>
        <v>34462.9736812872</v>
      </c>
    </row>
    <row r="47" spans="1:12" x14ac:dyDescent="0.3">
      <c r="A47" s="42"/>
      <c r="B47" s="42"/>
      <c r="C47" s="42"/>
      <c r="D47" s="42"/>
      <c r="E47" s="42"/>
      <c r="F47" s="42"/>
      <c r="G47" s="42"/>
      <c r="H47" s="42"/>
      <c r="I47" s="42"/>
      <c r="J47" s="42"/>
      <c r="K47" s="42"/>
      <c r="L47" s="42"/>
    </row>
    <row r="50" spans="1:10" ht="18" thickBot="1" x14ac:dyDescent="0.4">
      <c r="A50" s="135" t="s">
        <v>59</v>
      </c>
      <c r="B50" s="135"/>
      <c r="C50" s="135"/>
    </row>
    <row r="51" spans="1:10" ht="15" thickTop="1" x14ac:dyDescent="0.3">
      <c r="A51" s="26" t="s">
        <v>43</v>
      </c>
      <c r="B51" s="28" t="s">
        <v>58</v>
      </c>
      <c r="C51" s="26" t="s">
        <v>44</v>
      </c>
    </row>
    <row r="52" spans="1:10" x14ac:dyDescent="0.3">
      <c r="A52" s="3">
        <v>2017</v>
      </c>
      <c r="B52">
        <v>1</v>
      </c>
      <c r="C52" s="27">
        <v>218.6</v>
      </c>
    </row>
    <row r="53" spans="1:10" x14ac:dyDescent="0.3">
      <c r="A53" s="3">
        <v>2018</v>
      </c>
      <c r="B53">
        <v>2</v>
      </c>
      <c r="C53" s="27">
        <v>435</v>
      </c>
    </row>
    <row r="54" spans="1:10" x14ac:dyDescent="0.3">
      <c r="A54" s="3">
        <v>2019</v>
      </c>
      <c r="B54">
        <v>3</v>
      </c>
      <c r="C54" s="27">
        <v>915</v>
      </c>
    </row>
    <row r="55" spans="1:10" x14ac:dyDescent="0.3">
      <c r="A55" s="3">
        <v>2020</v>
      </c>
      <c r="B55">
        <v>4</v>
      </c>
      <c r="C55" s="27">
        <v>1825.9</v>
      </c>
    </row>
    <row r="56" spans="1:10" x14ac:dyDescent="0.3">
      <c r="A56" s="3">
        <v>2021</v>
      </c>
      <c r="B56">
        <v>5</v>
      </c>
      <c r="C56" s="27">
        <v>4021.8</v>
      </c>
    </row>
    <row r="57" spans="1:10" x14ac:dyDescent="0.3">
      <c r="A57" s="3">
        <v>2022</v>
      </c>
      <c r="B57">
        <v>6</v>
      </c>
      <c r="C57" s="27">
        <v>3582.1</v>
      </c>
    </row>
    <row r="59" spans="1:10" ht="15" thickBot="1" x14ac:dyDescent="0.35"/>
    <row r="60" spans="1:10" ht="20.399999999999999" thickBot="1" x14ac:dyDescent="0.45">
      <c r="A60" s="134" t="s">
        <v>60</v>
      </c>
      <c r="B60" s="134"/>
      <c r="C60" s="134"/>
      <c r="D60" s="134"/>
      <c r="I60" s="138" t="s">
        <v>47</v>
      </c>
      <c r="J60" s="139"/>
    </row>
    <row r="61" spans="1:10" ht="15" thickTop="1" x14ac:dyDescent="0.3">
      <c r="A61" s="26" t="s">
        <v>43</v>
      </c>
      <c r="B61" s="28" t="s">
        <v>58</v>
      </c>
      <c r="C61" s="28" t="s">
        <v>47</v>
      </c>
      <c r="D61" s="28" t="s">
        <v>61</v>
      </c>
      <c r="I61" s="45" t="s">
        <v>48</v>
      </c>
      <c r="J61" s="46"/>
    </row>
    <row r="62" spans="1:10" x14ac:dyDescent="0.3">
      <c r="A62" s="3">
        <v>2017</v>
      </c>
      <c r="B62">
        <v>1</v>
      </c>
      <c r="C62">
        <f>$J$62*EXP($J$63*B62)</f>
        <v>249.9055921457622</v>
      </c>
      <c r="D62">
        <f>$J$67*B62^$J$68</f>
        <v>173.94</v>
      </c>
      <c r="I62" s="45" t="s">
        <v>49</v>
      </c>
      <c r="J62" s="46">
        <v>135.80000000000001</v>
      </c>
    </row>
    <row r="63" spans="1:10" x14ac:dyDescent="0.3">
      <c r="A63" s="3">
        <v>2018</v>
      </c>
      <c r="B63">
        <v>2</v>
      </c>
      <c r="C63">
        <f t="shared" ref="C63:C67" si="5">$J$62*EXP($J$63*B63)</f>
        <v>459.88810740592078</v>
      </c>
      <c r="D63">
        <f t="shared" ref="D63:D67" si="6">$J$67*B63^$J$68</f>
        <v>573.3792672273787</v>
      </c>
      <c r="I63" s="45" t="s">
        <v>50</v>
      </c>
      <c r="J63" s="46">
        <v>0.6099</v>
      </c>
    </row>
    <row r="64" spans="1:10" x14ac:dyDescent="0.3">
      <c r="A64" s="3">
        <v>2019</v>
      </c>
      <c r="B64">
        <v>3</v>
      </c>
      <c r="C64">
        <f t="shared" si="5"/>
        <v>846.30787777666035</v>
      </c>
      <c r="D64">
        <f t="shared" si="6"/>
        <v>1152.0661940645791</v>
      </c>
      <c r="I64" s="45"/>
      <c r="J64" s="46"/>
    </row>
    <row r="65" spans="1:10" x14ac:dyDescent="0.3">
      <c r="A65" s="3">
        <v>2020</v>
      </c>
      <c r="B65">
        <v>4</v>
      </c>
      <c r="C65">
        <f t="shared" si="5"/>
        <v>1557.415841924887</v>
      </c>
      <c r="D65">
        <f t="shared" si="6"/>
        <v>1890.0987931827399</v>
      </c>
      <c r="I65" s="136" t="s">
        <v>51</v>
      </c>
      <c r="J65" s="137"/>
    </row>
    <row r="66" spans="1:10" x14ac:dyDescent="0.3">
      <c r="A66" s="3">
        <v>2021</v>
      </c>
      <c r="B66">
        <v>5</v>
      </c>
      <c r="C66">
        <f t="shared" si="5"/>
        <v>2866.0303990679654</v>
      </c>
      <c r="D66">
        <f t="shared" si="6"/>
        <v>2774.9613986002573</v>
      </c>
      <c r="I66" s="45" t="s">
        <v>52</v>
      </c>
      <c r="J66" s="46"/>
    </row>
    <row r="67" spans="1:10" x14ac:dyDescent="0.3">
      <c r="A67" s="3">
        <v>2022</v>
      </c>
      <c r="B67">
        <v>6</v>
      </c>
      <c r="C67">
        <f t="shared" si="5"/>
        <v>5274.2048894464997</v>
      </c>
      <c r="D67">
        <f t="shared" si="6"/>
        <v>3797.6938608151286</v>
      </c>
      <c r="I67" s="45" t="s">
        <v>49</v>
      </c>
      <c r="J67" s="46">
        <v>173.94</v>
      </c>
    </row>
    <row r="68" spans="1:10" ht="15" thickBot="1" x14ac:dyDescent="0.35">
      <c r="I68" s="47" t="s">
        <v>50</v>
      </c>
      <c r="J68" s="48">
        <v>1.7209000000000001</v>
      </c>
    </row>
    <row r="69" spans="1:10" ht="20.399999999999999" thickBot="1" x14ac:dyDescent="0.45">
      <c r="B69" s="49"/>
      <c r="C69" s="50" t="s">
        <v>16</v>
      </c>
      <c r="D69" s="51"/>
    </row>
    <row r="70" spans="1:10" ht="15" thickTop="1" x14ac:dyDescent="0.3">
      <c r="B70" s="52" t="s">
        <v>43</v>
      </c>
      <c r="C70" s="53" t="s">
        <v>47</v>
      </c>
      <c r="D70" s="54" t="s">
        <v>61</v>
      </c>
    </row>
    <row r="71" spans="1:10" x14ac:dyDescent="0.3">
      <c r="B71" s="55">
        <v>2017</v>
      </c>
      <c r="C71" s="56">
        <f>ABS(C62-C52)/C52</f>
        <v>0.14320947916634127</v>
      </c>
      <c r="D71" s="57">
        <f>ABS(D62-C52)/C52</f>
        <v>0.20430009149130832</v>
      </c>
    </row>
    <row r="72" spans="1:10" x14ac:dyDescent="0.3">
      <c r="B72" s="55">
        <v>2018</v>
      </c>
      <c r="C72" s="56">
        <f t="shared" ref="C72:C76" si="7">ABS(C63-C53)/C53</f>
        <v>5.7214040013610981E-2</v>
      </c>
      <c r="D72" s="57">
        <f t="shared" ref="D72:D76" si="8">ABS(D63-C53)/C53</f>
        <v>0.31811325799397405</v>
      </c>
    </row>
    <row r="73" spans="1:10" x14ac:dyDescent="0.3">
      <c r="B73" s="55">
        <v>2019</v>
      </c>
      <c r="C73" s="56">
        <f t="shared" si="7"/>
        <v>7.5073357621136233E-2</v>
      </c>
      <c r="D73" s="57">
        <f t="shared" si="8"/>
        <v>0.25908873668260013</v>
      </c>
    </row>
    <row r="74" spans="1:10" x14ac:dyDescent="0.3">
      <c r="B74" s="55">
        <v>2020</v>
      </c>
      <c r="C74" s="56">
        <f t="shared" si="7"/>
        <v>0.14704209325544285</v>
      </c>
      <c r="D74" s="57">
        <f t="shared" si="8"/>
        <v>3.5160081703674781E-2</v>
      </c>
    </row>
    <row r="75" spans="1:10" x14ac:dyDescent="0.3">
      <c r="B75" s="55">
        <v>2021</v>
      </c>
      <c r="C75" s="56">
        <f t="shared" si="7"/>
        <v>0.28737619994331759</v>
      </c>
      <c r="D75" s="57">
        <f t="shared" si="8"/>
        <v>0.31002004112580012</v>
      </c>
    </row>
    <row r="76" spans="1:10" x14ac:dyDescent="0.3">
      <c r="B76" s="55">
        <v>2022</v>
      </c>
      <c r="C76" s="56">
        <f t="shared" si="7"/>
        <v>0.47237790386826156</v>
      </c>
      <c r="D76" s="57">
        <f t="shared" si="8"/>
        <v>6.0186443933761949E-2</v>
      </c>
    </row>
    <row r="77" spans="1:10" x14ac:dyDescent="0.3">
      <c r="B77" s="2" t="s">
        <v>62</v>
      </c>
      <c r="C77" s="58">
        <f>AVERAGE(C71:C76)</f>
        <v>0.19704884564468508</v>
      </c>
      <c r="D77" s="58">
        <f>AVERAGE(D71:D76)</f>
        <v>0.19781144215518656</v>
      </c>
    </row>
  </sheetData>
  <mergeCells count="9">
    <mergeCell ref="A60:D60"/>
    <mergeCell ref="A50:C50"/>
    <mergeCell ref="I65:J65"/>
    <mergeCell ref="I60:J60"/>
    <mergeCell ref="A1:F1"/>
    <mergeCell ref="A22:B22"/>
    <mergeCell ref="C22:D22"/>
    <mergeCell ref="E22:F22"/>
    <mergeCell ref="A36:C3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0"/>
  <sheetViews>
    <sheetView workbookViewId="0">
      <selection activeCell="H126" sqref="H126"/>
    </sheetView>
  </sheetViews>
  <sheetFormatPr defaultRowHeight="14.4" x14ac:dyDescent="0.3"/>
  <cols>
    <col min="1" max="1" width="22.33203125" bestFit="1" customWidth="1"/>
    <col min="2" max="2" width="25.6640625" bestFit="1" customWidth="1"/>
    <col min="3" max="3" width="34.6640625" bestFit="1" customWidth="1"/>
    <col min="6" max="6" width="10.5546875" customWidth="1"/>
    <col min="7" max="7" width="12.5546875" bestFit="1" customWidth="1"/>
    <col min="8" max="8" width="11.109375" bestFit="1" customWidth="1"/>
    <col min="9" max="11" width="12.6640625" bestFit="1" customWidth="1"/>
    <col min="13" max="13" width="12.6640625" bestFit="1" customWidth="1"/>
  </cols>
  <sheetData>
    <row r="1" spans="1:7" ht="20.399999999999999" thickBot="1" x14ac:dyDescent="0.45">
      <c r="A1" s="143" t="s">
        <v>91</v>
      </c>
      <c r="B1" s="143"/>
      <c r="C1" s="134"/>
      <c r="D1" s="143"/>
      <c r="E1" s="134"/>
      <c r="F1" s="134"/>
      <c r="G1" s="134"/>
    </row>
    <row r="2" spans="1:7" ht="18.600000000000001" thickTop="1" thickBot="1" x14ac:dyDescent="0.4">
      <c r="A2" s="135" t="s">
        <v>103</v>
      </c>
      <c r="B2" s="135"/>
    </row>
    <row r="3" spans="1:7" ht="15" thickTop="1" x14ac:dyDescent="0.3">
      <c r="A3" s="71" t="s">
        <v>43</v>
      </c>
      <c r="B3" s="76" t="s">
        <v>58</v>
      </c>
      <c r="C3" s="72" t="s">
        <v>92</v>
      </c>
      <c r="D3" s="80" t="s">
        <v>98</v>
      </c>
    </row>
    <row r="4" spans="1:7" x14ac:dyDescent="0.3">
      <c r="A4" s="73">
        <v>1992</v>
      </c>
      <c r="B4" s="1">
        <v>1</v>
      </c>
      <c r="C4" s="74">
        <v>150781.16666666666</v>
      </c>
      <c r="D4" s="1">
        <v>0</v>
      </c>
    </row>
    <row r="5" spans="1:7" x14ac:dyDescent="0.3">
      <c r="A5" s="75">
        <v>1993</v>
      </c>
      <c r="B5" s="1">
        <v>2</v>
      </c>
      <c r="C5" s="74">
        <v>161696.25</v>
      </c>
      <c r="D5" s="32">
        <f>(C5-C4)/C4</f>
        <v>7.2390229991146179E-2</v>
      </c>
    </row>
    <row r="6" spans="1:7" x14ac:dyDescent="0.3">
      <c r="A6" s="75">
        <v>1994</v>
      </c>
      <c r="B6" s="1">
        <v>3</v>
      </c>
      <c r="C6" s="74">
        <v>175688.83333333334</v>
      </c>
      <c r="D6" s="32">
        <f t="shared" ref="D6:D23" si="0">(C6-C5)/C5</f>
        <v>8.6536226618325052E-2</v>
      </c>
    </row>
    <row r="7" spans="1:7" x14ac:dyDescent="0.3">
      <c r="A7" s="75">
        <v>1995</v>
      </c>
      <c r="B7" s="1">
        <v>4</v>
      </c>
      <c r="C7" s="74">
        <v>185437.25</v>
      </c>
      <c r="D7" s="32">
        <f t="shared" si="0"/>
        <v>5.5486831358092327E-2</v>
      </c>
    </row>
    <row r="8" spans="1:7" x14ac:dyDescent="0.3">
      <c r="A8" s="75">
        <v>1996</v>
      </c>
      <c r="B8" s="1">
        <v>5</v>
      </c>
      <c r="C8" s="74">
        <v>196728.16666666666</v>
      </c>
      <c r="D8" s="32">
        <f t="shared" si="0"/>
        <v>6.0888072200524203E-2</v>
      </c>
    </row>
    <row r="9" spans="1:7" x14ac:dyDescent="0.3">
      <c r="A9" s="75">
        <v>1997</v>
      </c>
      <c r="B9" s="1">
        <v>6</v>
      </c>
      <c r="C9" s="74">
        <v>206334.08333333334</v>
      </c>
      <c r="D9" s="32">
        <f t="shared" si="0"/>
        <v>4.8828374855659648E-2</v>
      </c>
    </row>
    <row r="10" spans="1:7" x14ac:dyDescent="0.3">
      <c r="A10" s="75">
        <v>1998</v>
      </c>
      <c r="B10" s="1">
        <v>7</v>
      </c>
      <c r="C10" s="74">
        <v>215657.66666666666</v>
      </c>
      <c r="D10" s="32">
        <f t="shared" si="0"/>
        <v>4.5186830904087892E-2</v>
      </c>
    </row>
    <row r="11" spans="1:7" x14ac:dyDescent="0.3">
      <c r="A11" s="75">
        <v>1999</v>
      </c>
      <c r="B11" s="1">
        <v>8</v>
      </c>
      <c r="C11" s="74">
        <v>233872</v>
      </c>
      <c r="D11" s="32">
        <f t="shared" si="0"/>
        <v>8.4459475124927977E-2</v>
      </c>
    </row>
    <row r="12" spans="1:7" x14ac:dyDescent="0.3">
      <c r="A12" s="75">
        <v>2000</v>
      </c>
      <c r="B12" s="1">
        <v>9</v>
      </c>
      <c r="C12" s="74">
        <v>248748.25</v>
      </c>
      <c r="D12" s="32">
        <f t="shared" si="0"/>
        <v>6.3608512348635154E-2</v>
      </c>
    </row>
    <row r="13" spans="1:7" x14ac:dyDescent="0.3">
      <c r="A13" s="75">
        <v>2001</v>
      </c>
      <c r="B13" s="1">
        <v>10</v>
      </c>
      <c r="C13" s="74">
        <v>255663.75</v>
      </c>
      <c r="D13" s="32">
        <f t="shared" si="0"/>
        <v>2.7801200611461588E-2</v>
      </c>
    </row>
    <row r="14" spans="1:7" x14ac:dyDescent="0.3">
      <c r="A14" s="75">
        <v>2002</v>
      </c>
      <c r="B14" s="1">
        <v>11</v>
      </c>
      <c r="C14" s="74">
        <v>261272.41666666666</v>
      </c>
      <c r="D14" s="32">
        <f t="shared" si="0"/>
        <v>2.1937668780445632E-2</v>
      </c>
    </row>
    <row r="15" spans="1:7" x14ac:dyDescent="0.3">
      <c r="A15" s="75">
        <v>2003</v>
      </c>
      <c r="B15" s="1">
        <v>12</v>
      </c>
      <c r="C15" s="74">
        <v>272232.5</v>
      </c>
      <c r="D15" s="32">
        <f t="shared" si="0"/>
        <v>4.1948872648567039E-2</v>
      </c>
    </row>
    <row r="16" spans="1:7" x14ac:dyDescent="0.3">
      <c r="A16" s="75">
        <v>2004</v>
      </c>
      <c r="B16" s="1">
        <v>13</v>
      </c>
      <c r="C16" s="74">
        <v>288987.5</v>
      </c>
      <c r="D16" s="32">
        <f t="shared" si="0"/>
        <v>6.154665589156328E-2</v>
      </c>
    </row>
    <row r="17" spans="1:4" x14ac:dyDescent="0.3">
      <c r="A17" s="75">
        <v>2005</v>
      </c>
      <c r="B17" s="1">
        <v>14</v>
      </c>
      <c r="C17" s="74">
        <v>307826.08333333331</v>
      </c>
      <c r="D17" s="32">
        <f t="shared" si="0"/>
        <v>6.5188229017979368E-2</v>
      </c>
    </row>
    <row r="18" spans="1:4" x14ac:dyDescent="0.3">
      <c r="A18" s="75">
        <v>2006</v>
      </c>
      <c r="B18" s="1">
        <v>15</v>
      </c>
      <c r="C18" s="74">
        <v>323823.08333333331</v>
      </c>
      <c r="D18" s="32">
        <f t="shared" si="0"/>
        <v>5.1967655978903675E-2</v>
      </c>
    </row>
    <row r="19" spans="1:4" x14ac:dyDescent="0.3">
      <c r="A19" s="75">
        <v>2007</v>
      </c>
      <c r="B19" s="1">
        <v>16</v>
      </c>
      <c r="C19" s="74">
        <v>334008</v>
      </c>
      <c r="D19" s="32">
        <f t="shared" si="0"/>
        <v>3.1452102060873323E-2</v>
      </c>
    </row>
    <row r="20" spans="1:4" x14ac:dyDescent="0.3">
      <c r="A20" s="75">
        <v>2008</v>
      </c>
      <c r="B20" s="1">
        <v>17</v>
      </c>
      <c r="C20" s="74">
        <v>328780.33333333331</v>
      </c>
      <c r="D20" s="32">
        <f t="shared" si="0"/>
        <v>-1.5651321724829005E-2</v>
      </c>
    </row>
    <row r="21" spans="1:4" x14ac:dyDescent="0.3">
      <c r="A21" s="75">
        <v>2009</v>
      </c>
      <c r="B21" s="1">
        <v>18</v>
      </c>
      <c r="C21" s="74">
        <v>303288.91666666669</v>
      </c>
      <c r="D21" s="32">
        <f t="shared" si="0"/>
        <v>-7.7533277030965853E-2</v>
      </c>
    </row>
    <row r="22" spans="1:4" x14ac:dyDescent="0.3">
      <c r="A22" s="75">
        <v>2010</v>
      </c>
      <c r="B22" s="1">
        <v>19</v>
      </c>
      <c r="C22" s="74">
        <v>323964.16666666669</v>
      </c>
      <c r="D22" s="32">
        <f t="shared" si="0"/>
        <v>6.8170146892388359E-2</v>
      </c>
    </row>
    <row r="23" spans="1:4" x14ac:dyDescent="0.3">
      <c r="A23" s="75">
        <v>2011</v>
      </c>
      <c r="B23" s="1">
        <v>20</v>
      </c>
      <c r="C23" s="83">
        <v>349717.75</v>
      </c>
      <c r="D23" s="32">
        <f t="shared" si="0"/>
        <v>7.949516021576454E-2</v>
      </c>
    </row>
    <row r="24" spans="1:4" x14ac:dyDescent="0.3">
      <c r="C24" s="2" t="s">
        <v>99</v>
      </c>
      <c r="D24" s="32">
        <f>AVERAGE(D5:D23)</f>
        <v>4.5984612986502658E-2</v>
      </c>
    </row>
    <row r="26" spans="1:4" ht="15" thickBot="1" x14ac:dyDescent="0.35"/>
    <row r="27" spans="1:4" x14ac:dyDescent="0.3">
      <c r="A27" s="84" t="s">
        <v>93</v>
      </c>
      <c r="B27" s="44" t="s">
        <v>94</v>
      </c>
    </row>
    <row r="28" spans="1:4" x14ac:dyDescent="0.3">
      <c r="A28" s="85" t="s">
        <v>49</v>
      </c>
      <c r="B28" s="87">
        <v>158193</v>
      </c>
    </row>
    <row r="29" spans="1:4" ht="15" thickBot="1" x14ac:dyDescent="0.35">
      <c r="A29" s="86" t="s">
        <v>50</v>
      </c>
      <c r="B29" s="88">
        <v>4.2999999999999997E-2</v>
      </c>
    </row>
    <row r="30" spans="1:4" x14ac:dyDescent="0.3">
      <c r="A30" s="147" t="s">
        <v>100</v>
      </c>
      <c r="B30" s="147"/>
      <c r="C30" s="147"/>
    </row>
    <row r="31" spans="1:4" x14ac:dyDescent="0.3">
      <c r="A31" s="77" t="s">
        <v>43</v>
      </c>
      <c r="B31" s="76" t="s">
        <v>95</v>
      </c>
      <c r="C31" s="80" t="s">
        <v>96</v>
      </c>
    </row>
    <row r="32" spans="1:4" ht="15" thickBot="1" x14ac:dyDescent="0.35">
      <c r="A32" s="78">
        <v>1992</v>
      </c>
      <c r="B32" s="8">
        <f t="shared" ref="B32:B51" si="1">$B$28*EXP($B$29*B4)</f>
        <v>165143.66740010298</v>
      </c>
      <c r="C32" s="32">
        <f t="shared" ref="C32:C51" si="2">ABS(B32-C4)/C4</f>
        <v>9.5253943519270107E-2</v>
      </c>
    </row>
    <row r="33" spans="1:8" x14ac:dyDescent="0.3">
      <c r="A33" s="79">
        <v>1993</v>
      </c>
      <c r="B33" s="8">
        <f t="shared" si="1"/>
        <v>172399.73249357322</v>
      </c>
      <c r="C33" s="32">
        <f t="shared" si="2"/>
        <v>6.6194995205969331E-2</v>
      </c>
      <c r="F33" s="148" t="s">
        <v>101</v>
      </c>
      <c r="G33" s="149"/>
      <c r="H33" s="150"/>
    </row>
    <row r="34" spans="1:8" x14ac:dyDescent="0.3">
      <c r="A34" s="79">
        <v>1994</v>
      </c>
      <c r="B34" s="8">
        <f t="shared" si="1"/>
        <v>179974.61381214956</v>
      </c>
      <c r="C34" s="32">
        <f t="shared" si="2"/>
        <v>2.4394154127512661E-2</v>
      </c>
      <c r="F34" s="89" t="s">
        <v>43</v>
      </c>
      <c r="G34" s="76" t="s">
        <v>58</v>
      </c>
      <c r="H34" s="90" t="s">
        <v>102</v>
      </c>
    </row>
    <row r="35" spans="1:8" x14ac:dyDescent="0.3">
      <c r="A35" s="79">
        <v>1995</v>
      </c>
      <c r="B35" s="8">
        <f t="shared" si="1"/>
        <v>187882.31946960744</v>
      </c>
      <c r="C35" s="32">
        <f t="shared" si="2"/>
        <v>1.3185427790842644E-2</v>
      </c>
      <c r="F35" s="91">
        <v>1992</v>
      </c>
      <c r="G35" s="1">
        <v>1</v>
      </c>
      <c r="H35" s="98">
        <f>$B$28*EXP($B$29*G35)</f>
        <v>165143.66740010298</v>
      </c>
    </row>
    <row r="36" spans="1:8" x14ac:dyDescent="0.3">
      <c r="A36" s="79">
        <v>1996</v>
      </c>
      <c r="B36" s="8">
        <f t="shared" si="1"/>
        <v>196137.47306675219</v>
      </c>
      <c r="C36" s="32">
        <f t="shared" si="2"/>
        <v>3.0025878343863449E-3</v>
      </c>
      <c r="F36" s="91">
        <v>1993</v>
      </c>
      <c r="G36" s="1">
        <v>2</v>
      </c>
      <c r="H36" s="98">
        <f t="shared" ref="H36:H93" si="3">$B$28*EXP($B$29*G36)</f>
        <v>172399.73249357322</v>
      </c>
    </row>
    <row r="37" spans="1:8" x14ac:dyDescent="0.3">
      <c r="A37" s="79">
        <v>1997</v>
      </c>
      <c r="B37" s="8">
        <f t="shared" si="1"/>
        <v>204755.34073462404</v>
      </c>
      <c r="C37" s="32">
        <f t="shared" si="2"/>
        <v>7.6513902754439152E-3</v>
      </c>
      <c r="F37" s="91">
        <v>1994</v>
      </c>
      <c r="G37" s="1">
        <v>3</v>
      </c>
      <c r="H37" s="98">
        <f t="shared" si="3"/>
        <v>179974.61381214956</v>
      </c>
    </row>
    <row r="38" spans="1:8" x14ac:dyDescent="0.3">
      <c r="A38" s="79">
        <v>1998</v>
      </c>
      <c r="B38" s="8">
        <f t="shared" si="1"/>
        <v>213751.8593659233</v>
      </c>
      <c r="C38" s="32">
        <f t="shared" si="2"/>
        <v>8.8371877995373337E-3</v>
      </c>
      <c r="F38" s="91">
        <v>1995</v>
      </c>
      <c r="G38" s="1">
        <v>4</v>
      </c>
      <c r="H38" s="98">
        <f t="shared" si="3"/>
        <v>187882.31946960744</v>
      </c>
    </row>
    <row r="39" spans="1:8" x14ac:dyDescent="0.3">
      <c r="A39" s="79">
        <v>1999</v>
      </c>
      <c r="B39" s="8">
        <f t="shared" si="1"/>
        <v>223143.66608686617</v>
      </c>
      <c r="C39" s="32">
        <f t="shared" si="2"/>
        <v>4.5872673569875101E-2</v>
      </c>
      <c r="F39" s="91">
        <v>1996</v>
      </c>
      <c r="G39" s="1">
        <v>5</v>
      </c>
      <c r="H39" s="98">
        <f t="shared" si="3"/>
        <v>196137.47306675219</v>
      </c>
    </row>
    <row r="40" spans="1:8" x14ac:dyDescent="0.3">
      <c r="A40" s="79">
        <v>2000</v>
      </c>
      <c r="B40" s="8">
        <f t="shared" si="1"/>
        <v>232948.12902397109</v>
      </c>
      <c r="C40" s="32">
        <f t="shared" si="2"/>
        <v>6.3518521139460909E-2</v>
      </c>
      <c r="F40" s="91">
        <v>1997</v>
      </c>
      <c r="G40" s="1">
        <v>6</v>
      </c>
      <c r="H40" s="98">
        <f t="shared" si="3"/>
        <v>204755.34073462404</v>
      </c>
    </row>
    <row r="41" spans="1:8" x14ac:dyDescent="0.3">
      <c r="A41" s="79">
        <v>2001</v>
      </c>
      <c r="B41" s="8">
        <f t="shared" si="1"/>
        <v>243183.37942267326</v>
      </c>
      <c r="C41" s="32">
        <f t="shared" si="2"/>
        <v>4.88155656690741E-2</v>
      </c>
      <c r="F41" s="91">
        <v>1998</v>
      </c>
      <c r="G41" s="1">
        <v>7</v>
      </c>
      <c r="H41" s="98">
        <f t="shared" si="3"/>
        <v>213751.8593659233</v>
      </c>
    </row>
    <row r="42" spans="1:8" x14ac:dyDescent="0.3">
      <c r="A42" s="79">
        <v>2002</v>
      </c>
      <c r="B42" s="8">
        <f t="shared" si="1"/>
        <v>253868.34517716331</v>
      </c>
      <c r="C42" s="32">
        <f t="shared" si="2"/>
        <v>2.833851190250028E-2</v>
      </c>
      <c r="F42" s="91">
        <v>1999</v>
      </c>
      <c r="G42" s="1">
        <v>8</v>
      </c>
      <c r="H42" s="98">
        <f t="shared" si="3"/>
        <v>223143.66608686617</v>
      </c>
    </row>
    <row r="43" spans="1:8" x14ac:dyDescent="0.3">
      <c r="A43" s="79">
        <v>2003</v>
      </c>
      <c r="B43" s="8">
        <f t="shared" si="1"/>
        <v>265022.78583345655</v>
      </c>
      <c r="C43" s="32">
        <f t="shared" si="2"/>
        <v>2.6483664391810113E-2</v>
      </c>
      <c r="F43" s="91">
        <v>2000</v>
      </c>
      <c r="G43" s="1">
        <v>9</v>
      </c>
      <c r="H43" s="98">
        <f t="shared" si="3"/>
        <v>232948.12902397109</v>
      </c>
    </row>
    <row r="44" spans="1:8" x14ac:dyDescent="0.3">
      <c r="A44" s="79">
        <v>2004</v>
      </c>
      <c r="B44" s="8">
        <f t="shared" si="1"/>
        <v>276667.32913042337</v>
      </c>
      <c r="C44" s="32">
        <f t="shared" si="2"/>
        <v>4.2632192982660591E-2</v>
      </c>
      <c r="F44" s="91">
        <v>2001</v>
      </c>
      <c r="G44" s="1">
        <v>10</v>
      </c>
      <c r="H44" s="98">
        <f t="shared" si="3"/>
        <v>243183.37942267326</v>
      </c>
    </row>
    <row r="45" spans="1:8" x14ac:dyDescent="0.3">
      <c r="A45" s="79">
        <v>2005</v>
      </c>
      <c r="B45" s="8">
        <f t="shared" si="1"/>
        <v>288823.50914635573</v>
      </c>
      <c r="C45" s="32">
        <f t="shared" si="2"/>
        <v>6.1731527040222924E-2</v>
      </c>
      <c r="F45" s="91">
        <v>2002</v>
      </c>
      <c r="G45" s="1">
        <v>11</v>
      </c>
      <c r="H45" s="98">
        <f t="shared" si="3"/>
        <v>253868.34517716331</v>
      </c>
    </row>
    <row r="46" spans="1:8" x14ac:dyDescent="0.3">
      <c r="A46" s="79">
        <v>2006</v>
      </c>
      <c r="B46" s="8">
        <f t="shared" si="1"/>
        <v>301513.80612161325</v>
      </c>
      <c r="C46" s="32">
        <f t="shared" si="2"/>
        <v>6.8893412359845876E-2</v>
      </c>
      <c r="F46" s="91">
        <v>2003</v>
      </c>
      <c r="G46" s="1">
        <v>12</v>
      </c>
      <c r="H46" s="98">
        <f t="shared" si="3"/>
        <v>265022.78583345655</v>
      </c>
    </row>
    <row r="47" spans="1:8" x14ac:dyDescent="0.3">
      <c r="A47" s="79">
        <v>2007</v>
      </c>
      <c r="B47" s="8">
        <f t="shared" si="1"/>
        <v>314761.68803099269</v>
      </c>
      <c r="C47" s="32">
        <f t="shared" si="2"/>
        <v>5.7622308354911583E-2</v>
      </c>
      <c r="F47" s="91">
        <v>2004</v>
      </c>
      <c r="G47" s="1">
        <v>13</v>
      </c>
      <c r="H47" s="98">
        <f t="shared" si="3"/>
        <v>276667.32913042337</v>
      </c>
    </row>
    <row r="48" spans="1:8" x14ac:dyDescent="0.3">
      <c r="A48" s="79">
        <v>2008</v>
      </c>
      <c r="B48" s="8">
        <f t="shared" si="1"/>
        <v>328591.65398269973</v>
      </c>
      <c r="C48" s="32">
        <f t="shared" si="2"/>
        <v>5.7387663282855005E-4</v>
      </c>
      <c r="F48" s="91">
        <v>2005</v>
      </c>
      <c r="G48" s="1">
        <v>14</v>
      </c>
      <c r="H48" s="98">
        <f t="shared" si="3"/>
        <v>288823.50914635573</v>
      </c>
    </row>
    <row r="49" spans="1:8" x14ac:dyDescent="0.3">
      <c r="A49" s="79">
        <v>2009</v>
      </c>
      <c r="B49" s="8">
        <f t="shared" si="1"/>
        <v>343029.27952418046</v>
      </c>
      <c r="C49" s="32">
        <f t="shared" si="2"/>
        <v>0.13103137198116241</v>
      </c>
      <c r="F49" s="91">
        <v>2006</v>
      </c>
      <c r="G49" s="1">
        <v>15</v>
      </c>
      <c r="H49" s="98">
        <f t="shared" si="3"/>
        <v>301513.80612161325</v>
      </c>
    </row>
    <row r="50" spans="1:8" x14ac:dyDescent="0.3">
      <c r="A50" s="79">
        <v>2010</v>
      </c>
      <c r="B50" s="8">
        <f t="shared" si="1"/>
        <v>358101.26393859531</v>
      </c>
      <c r="C50" s="32">
        <f t="shared" si="2"/>
        <v>0.10537306524722216</v>
      </c>
      <c r="F50" s="91">
        <v>2007</v>
      </c>
      <c r="G50" s="1">
        <v>16</v>
      </c>
      <c r="H50" s="98">
        <f t="shared" si="3"/>
        <v>314761.68803099269</v>
      </c>
    </row>
    <row r="51" spans="1:8" x14ac:dyDescent="0.3">
      <c r="A51" s="79">
        <v>2011</v>
      </c>
      <c r="B51" s="8">
        <f t="shared" si="1"/>
        <v>373835.47961940081</v>
      </c>
      <c r="C51" s="32">
        <f t="shared" si="2"/>
        <v>6.8963412979183375E-2</v>
      </c>
      <c r="F51" s="91">
        <v>2008</v>
      </c>
      <c r="G51" s="1">
        <v>17</v>
      </c>
      <c r="H51" s="98">
        <f t="shared" si="3"/>
        <v>328591.65398269973</v>
      </c>
    </row>
    <row r="52" spans="1:8" x14ac:dyDescent="0.3">
      <c r="B52" s="81" t="s">
        <v>97</v>
      </c>
      <c r="C52" s="82">
        <f>AVERAGE(C32:C51)</f>
        <v>4.8418489540186016E-2</v>
      </c>
      <c r="F52" s="91">
        <v>2009</v>
      </c>
      <c r="G52" s="1">
        <v>18</v>
      </c>
      <c r="H52" s="98">
        <f t="shared" si="3"/>
        <v>343029.27952418046</v>
      </c>
    </row>
    <row r="53" spans="1:8" x14ac:dyDescent="0.3">
      <c r="F53" s="91">
        <v>2010</v>
      </c>
      <c r="G53" s="1">
        <v>19</v>
      </c>
      <c r="H53" s="98">
        <f t="shared" si="3"/>
        <v>358101.26393859531</v>
      </c>
    </row>
    <row r="54" spans="1:8" x14ac:dyDescent="0.3">
      <c r="F54" s="91">
        <v>2011</v>
      </c>
      <c r="G54" s="1">
        <v>20</v>
      </c>
      <c r="H54" s="98">
        <f t="shared" si="3"/>
        <v>373835.47961940081</v>
      </c>
    </row>
    <row r="55" spans="1:8" x14ac:dyDescent="0.3">
      <c r="F55" s="91">
        <v>2012</v>
      </c>
      <c r="G55" s="1">
        <v>21</v>
      </c>
      <c r="H55" s="98">
        <f t="shared" si="3"/>
        <v>390261.02361434634</v>
      </c>
    </row>
    <row r="56" spans="1:8" x14ac:dyDescent="0.3">
      <c r="F56" s="91">
        <v>2013</v>
      </c>
      <c r="G56" s="1">
        <v>22</v>
      </c>
      <c r="H56" s="98">
        <f t="shared" si="3"/>
        <v>407408.27143420593</v>
      </c>
    </row>
    <row r="57" spans="1:8" x14ac:dyDescent="0.3">
      <c r="F57" s="91">
        <v>2014</v>
      </c>
      <c r="G57" s="1">
        <v>23</v>
      </c>
      <c r="H57" s="98">
        <f t="shared" si="3"/>
        <v>425308.93322575185</v>
      </c>
    </row>
    <row r="58" spans="1:8" x14ac:dyDescent="0.3">
      <c r="F58" s="91">
        <v>2015</v>
      </c>
      <c r="G58" s="1">
        <v>24</v>
      </c>
      <c r="H58" s="98">
        <f t="shared" si="3"/>
        <v>443996.1124128513</v>
      </c>
    </row>
    <row r="59" spans="1:8" x14ac:dyDescent="0.3">
      <c r="F59" s="91">
        <v>2016</v>
      </c>
      <c r="G59" s="1">
        <v>25</v>
      </c>
      <c r="H59" s="98">
        <f t="shared" si="3"/>
        <v>463504.36691412784</v>
      </c>
    </row>
    <row r="60" spans="1:8" x14ac:dyDescent="0.3">
      <c r="F60" s="91">
        <v>2017</v>
      </c>
      <c r="G60" s="1">
        <v>26</v>
      </c>
      <c r="H60" s="98">
        <f t="shared" si="3"/>
        <v>483869.77305040054</v>
      </c>
    </row>
    <row r="61" spans="1:8" x14ac:dyDescent="0.3">
      <c r="F61" s="91">
        <v>2018</v>
      </c>
      <c r="G61" s="1">
        <v>27</v>
      </c>
      <c r="H61" s="98">
        <f t="shared" si="3"/>
        <v>505129.99226007872</v>
      </c>
    </row>
    <row r="62" spans="1:8" x14ac:dyDescent="0.3">
      <c r="F62" s="91">
        <v>2019</v>
      </c>
      <c r="G62" s="1">
        <v>28</v>
      </c>
      <c r="H62" s="98">
        <f t="shared" si="3"/>
        <v>527324.34074589284</v>
      </c>
    </row>
    <row r="63" spans="1:8" x14ac:dyDescent="0.3">
      <c r="F63" s="91">
        <v>2020</v>
      </c>
      <c r="G63" s="1">
        <v>29</v>
      </c>
      <c r="H63" s="98">
        <f t="shared" si="3"/>
        <v>550493.86218175455</v>
      </c>
    </row>
    <row r="64" spans="1:8" x14ac:dyDescent="0.3">
      <c r="F64" s="91">
        <v>2021</v>
      </c>
      <c r="G64" s="1">
        <v>30</v>
      </c>
      <c r="H64" s="98">
        <f t="shared" si="3"/>
        <v>574681.40361420403</v>
      </c>
    </row>
    <row r="65" spans="6:8" x14ac:dyDescent="0.3">
      <c r="F65" s="91">
        <v>2022</v>
      </c>
      <c r="G65" s="1">
        <v>31</v>
      </c>
      <c r="H65" s="98">
        <f t="shared" si="3"/>
        <v>599931.69469880743</v>
      </c>
    </row>
    <row r="66" spans="6:8" x14ac:dyDescent="0.3">
      <c r="F66" s="91">
        <v>2023</v>
      </c>
      <c r="G66" s="1">
        <v>32</v>
      </c>
      <c r="H66" s="98">
        <f t="shared" si="3"/>
        <v>626291.43041803339</v>
      </c>
    </row>
    <row r="67" spans="6:8" x14ac:dyDescent="0.3">
      <c r="F67" s="91">
        <v>2024</v>
      </c>
      <c r="G67" s="1">
        <v>33</v>
      </c>
      <c r="H67" s="98">
        <f t="shared" si="3"/>
        <v>653809.35743358068</v>
      </c>
    </row>
    <row r="68" spans="6:8" x14ac:dyDescent="0.3">
      <c r="F68" s="94">
        <v>2025</v>
      </c>
      <c r="G68" s="95">
        <v>34</v>
      </c>
      <c r="H68" s="99">
        <f t="shared" si="3"/>
        <v>682536.36423284397</v>
      </c>
    </row>
    <row r="69" spans="6:8" x14ac:dyDescent="0.3">
      <c r="F69" s="91">
        <v>2026</v>
      </c>
      <c r="G69" s="1">
        <v>35</v>
      </c>
      <c r="H69" s="98">
        <f t="shared" si="3"/>
        <v>712525.57523622608</v>
      </c>
    </row>
    <row r="70" spans="6:8" x14ac:dyDescent="0.3">
      <c r="F70" s="91">
        <v>2027</v>
      </c>
      <c r="G70" s="1">
        <v>36</v>
      </c>
      <c r="H70" s="98">
        <f t="shared" si="3"/>
        <v>743832.44903932756</v>
      </c>
    </row>
    <row r="71" spans="6:8" x14ac:dyDescent="0.3">
      <c r="F71" s="91">
        <v>2028</v>
      </c>
      <c r="G71" s="1">
        <v>37</v>
      </c>
      <c r="H71" s="98">
        <f t="shared" si="3"/>
        <v>776514.88097169134</v>
      </c>
    </row>
    <row r="72" spans="6:8" x14ac:dyDescent="0.3">
      <c r="F72" s="91">
        <v>2029</v>
      </c>
      <c r="G72" s="1">
        <v>38</v>
      </c>
      <c r="H72" s="98">
        <f t="shared" si="3"/>
        <v>810633.31016176147</v>
      </c>
    </row>
    <row r="73" spans="6:8" x14ac:dyDescent="0.3">
      <c r="F73" s="91">
        <v>2030</v>
      </c>
      <c r="G73" s="1">
        <v>39</v>
      </c>
      <c r="H73" s="98">
        <f t="shared" si="3"/>
        <v>846250.83130605274</v>
      </c>
    </row>
    <row r="74" spans="6:8" x14ac:dyDescent="0.3">
      <c r="F74" s="91">
        <v>2031</v>
      </c>
      <c r="G74" s="1">
        <v>40</v>
      </c>
      <c r="H74" s="98">
        <f t="shared" si="3"/>
        <v>883433.31134922162</v>
      </c>
    </row>
    <row r="75" spans="6:8" x14ac:dyDescent="0.3">
      <c r="F75" s="91">
        <v>2032</v>
      </c>
      <c r="G75" s="1">
        <v>41</v>
      </c>
      <c r="H75" s="98">
        <f t="shared" si="3"/>
        <v>922249.5112908124</v>
      </c>
    </row>
    <row r="76" spans="6:8" x14ac:dyDescent="0.3">
      <c r="F76" s="91">
        <v>2033</v>
      </c>
      <c r="G76" s="1">
        <v>42</v>
      </c>
      <c r="H76" s="98">
        <f t="shared" si="3"/>
        <v>962771.21334393672</v>
      </c>
    </row>
    <row r="77" spans="6:8" x14ac:dyDescent="0.3">
      <c r="F77" s="91">
        <v>2034</v>
      </c>
      <c r="G77" s="1">
        <v>43</v>
      </c>
      <c r="H77" s="98">
        <f t="shared" si="3"/>
        <v>1005073.3536810393</v>
      </c>
    </row>
    <row r="78" spans="6:8" x14ac:dyDescent="0.3">
      <c r="F78" s="91">
        <v>2035</v>
      </c>
      <c r="G78" s="1">
        <v>44</v>
      </c>
      <c r="H78" s="98">
        <f t="shared" si="3"/>
        <v>1049234.1610122295</v>
      </c>
    </row>
    <row r="79" spans="6:8" x14ac:dyDescent="0.3">
      <c r="F79" s="91">
        <v>2036</v>
      </c>
      <c r="G79" s="1">
        <v>45</v>
      </c>
      <c r="H79" s="98">
        <f t="shared" si="3"/>
        <v>1095335.3012524555</v>
      </c>
    </row>
    <row r="80" spans="6:8" x14ac:dyDescent="0.3">
      <c r="F80" s="91">
        <v>2037</v>
      </c>
      <c r="G80" s="1">
        <v>46</v>
      </c>
      <c r="H80" s="98">
        <f t="shared" si="3"/>
        <v>1143462.02854505</v>
      </c>
    </row>
    <row r="81" spans="1:15" x14ac:dyDescent="0.3">
      <c r="F81" s="91">
        <v>2038</v>
      </c>
      <c r="G81" s="1">
        <v>47</v>
      </c>
      <c r="H81" s="98">
        <f t="shared" si="3"/>
        <v>1193703.3429209306</v>
      </c>
    </row>
    <row r="82" spans="1:15" x14ac:dyDescent="0.3">
      <c r="F82" s="91">
        <v>2039</v>
      </c>
      <c r="G82" s="1">
        <v>48</v>
      </c>
      <c r="H82" s="98">
        <f t="shared" si="3"/>
        <v>1246152.1548850155</v>
      </c>
    </row>
    <row r="83" spans="1:15" x14ac:dyDescent="0.3">
      <c r="F83" s="91">
        <v>2040</v>
      </c>
      <c r="G83" s="1">
        <v>49</v>
      </c>
      <c r="H83" s="98">
        <f t="shared" si="3"/>
        <v>1300905.4572342171</v>
      </c>
    </row>
    <row r="84" spans="1:15" x14ac:dyDescent="0.3">
      <c r="F84" s="91">
        <v>2041</v>
      </c>
      <c r="G84" s="1">
        <v>50</v>
      </c>
      <c r="H84" s="98">
        <f t="shared" si="3"/>
        <v>1358064.5044247624</v>
      </c>
    </row>
    <row r="85" spans="1:15" x14ac:dyDescent="0.3">
      <c r="F85" s="91">
        <v>2042</v>
      </c>
      <c r="G85" s="1">
        <v>51</v>
      </c>
      <c r="H85" s="98">
        <f t="shared" si="3"/>
        <v>1417734.9998205265</v>
      </c>
    </row>
    <row r="86" spans="1:15" x14ac:dyDescent="0.3">
      <c r="F86" s="91">
        <v>2043</v>
      </c>
      <c r="G86" s="1">
        <v>52</v>
      </c>
      <c r="H86" s="98">
        <f t="shared" si="3"/>
        <v>1480027.2911686744</v>
      </c>
    </row>
    <row r="87" spans="1:15" x14ac:dyDescent="0.3">
      <c r="F87" s="91">
        <v>2044</v>
      </c>
      <c r="G87" s="1">
        <v>53</v>
      </c>
      <c r="H87" s="98">
        <f t="shared" si="3"/>
        <v>1545056.5746640807</v>
      </c>
    </row>
    <row r="88" spans="1:15" x14ac:dyDescent="0.3">
      <c r="F88" s="91">
        <v>2045</v>
      </c>
      <c r="G88" s="1">
        <v>54</v>
      </c>
      <c r="H88" s="98">
        <f t="shared" si="3"/>
        <v>1612943.1079799184</v>
      </c>
    </row>
    <row r="89" spans="1:15" x14ac:dyDescent="0.3">
      <c r="F89" s="91">
        <v>2046</v>
      </c>
      <c r="G89" s="1">
        <v>55</v>
      </c>
      <c r="H89" s="98">
        <f t="shared" si="3"/>
        <v>1683812.4326583603</v>
      </c>
    </row>
    <row r="90" spans="1:15" x14ac:dyDescent="0.3">
      <c r="F90" s="91">
        <v>2047</v>
      </c>
      <c r="G90" s="1">
        <v>56</v>
      </c>
      <c r="H90" s="98">
        <f t="shared" si="3"/>
        <v>1757795.6062726579</v>
      </c>
    </row>
    <row r="91" spans="1:15" x14ac:dyDescent="0.3">
      <c r="F91" s="91">
        <v>2048</v>
      </c>
      <c r="G91" s="1">
        <v>57</v>
      </c>
      <c r="H91" s="98">
        <f t="shared" si="3"/>
        <v>1835029.4447899342</v>
      </c>
    </row>
    <row r="92" spans="1:15" x14ac:dyDescent="0.3">
      <c r="F92" s="91">
        <v>2049</v>
      </c>
      <c r="G92" s="1">
        <v>58</v>
      </c>
      <c r="H92" s="98">
        <f t="shared" si="3"/>
        <v>1915656.7755828928</v>
      </c>
    </row>
    <row r="93" spans="1:15" ht="15" thickBot="1" x14ac:dyDescent="0.35">
      <c r="F93" s="96">
        <v>2050</v>
      </c>
      <c r="G93" s="97">
        <v>59</v>
      </c>
      <c r="H93" s="100">
        <f t="shared" si="3"/>
        <v>1999826.7015583178</v>
      </c>
    </row>
    <row r="96" spans="1:15" x14ac:dyDescent="0.3">
      <c r="A96" s="69"/>
      <c r="B96" s="69"/>
      <c r="C96" s="69"/>
      <c r="D96" s="69"/>
      <c r="E96" s="69"/>
      <c r="F96" s="69"/>
      <c r="G96" s="69"/>
      <c r="H96" s="69"/>
      <c r="I96" s="69"/>
      <c r="J96" s="69"/>
      <c r="K96" s="69"/>
      <c r="L96" s="69"/>
      <c r="M96" s="69"/>
      <c r="N96" s="69"/>
      <c r="O96" s="69"/>
    </row>
    <row r="112" spans="1:2" ht="20.399999999999999" thickBot="1" x14ac:dyDescent="0.45">
      <c r="A112" s="134" t="s">
        <v>104</v>
      </c>
      <c r="B112" s="134"/>
    </row>
    <row r="113" spans="1:11" ht="15" thickTop="1" x14ac:dyDescent="0.3">
      <c r="G113" s="144" t="s">
        <v>119</v>
      </c>
      <c r="H113" s="145"/>
      <c r="I113" s="146"/>
    </row>
    <row r="114" spans="1:11" x14ac:dyDescent="0.3">
      <c r="A114" s="4" t="s">
        <v>105</v>
      </c>
      <c r="B114" t="s">
        <v>106</v>
      </c>
      <c r="D114" s="2" t="s">
        <v>43</v>
      </c>
      <c r="E114" s="1" t="s">
        <v>124</v>
      </c>
      <c r="F114" s="13" t="s">
        <v>125</v>
      </c>
      <c r="G114" s="91" t="s">
        <v>121</v>
      </c>
      <c r="H114" s="1" t="s">
        <v>122</v>
      </c>
      <c r="I114" s="104" t="s">
        <v>126</v>
      </c>
      <c r="J114" s="33" t="s">
        <v>123</v>
      </c>
      <c r="K114" s="1" t="s">
        <v>31</v>
      </c>
    </row>
    <row r="115" spans="1:11" x14ac:dyDescent="0.3">
      <c r="A115" s="4" t="s">
        <v>107</v>
      </c>
      <c r="B115" s="60">
        <v>4000000</v>
      </c>
      <c r="D115" s="1">
        <v>1</v>
      </c>
      <c r="E115" s="1">
        <f>B116</f>
        <v>80000</v>
      </c>
      <c r="F115" s="102">
        <f>B119</f>
        <v>25</v>
      </c>
      <c r="G115" s="105">
        <f>50%*J115</f>
        <v>1000000</v>
      </c>
      <c r="H115" s="68">
        <f>40%*J115</f>
        <v>800000</v>
      </c>
      <c r="I115" s="92">
        <f>G115+H115</f>
        <v>1800000</v>
      </c>
      <c r="J115" s="103">
        <f>E115*F115</f>
        <v>2000000</v>
      </c>
      <c r="K115" s="68">
        <f>J115-I115</f>
        <v>200000</v>
      </c>
    </row>
    <row r="116" spans="1:11" x14ac:dyDescent="0.3">
      <c r="A116" t="s">
        <v>113</v>
      </c>
      <c r="B116">
        <v>80000</v>
      </c>
      <c r="C116" t="s">
        <v>109</v>
      </c>
      <c r="D116" s="1">
        <v>2</v>
      </c>
      <c r="E116" s="1">
        <f>E115*(1+$B$117)</f>
        <v>127102.9911093073</v>
      </c>
      <c r="F116" s="102">
        <v>25</v>
      </c>
      <c r="G116" s="105">
        <f>50%*J116</f>
        <v>1588787.3888663412</v>
      </c>
      <c r="H116" s="68">
        <f>38%*J116</f>
        <v>1207478.4155384193</v>
      </c>
      <c r="I116" s="92">
        <f t="shared" ref="I116:I119" si="4">G116+H116</f>
        <v>2796265.8044047607</v>
      </c>
      <c r="J116" s="103">
        <f>E116*F116</f>
        <v>3177574.7777326824</v>
      </c>
      <c r="K116" s="68">
        <f t="shared" ref="K116:K119" si="5">J116-I116</f>
        <v>381308.9733279217</v>
      </c>
    </row>
    <row r="117" spans="1:11" x14ac:dyDescent="0.3">
      <c r="A117" t="s">
        <v>112</v>
      </c>
      <c r="B117" s="108">
        <v>0.58878738886634119</v>
      </c>
      <c r="C117" t="s">
        <v>110</v>
      </c>
      <c r="D117" s="1">
        <v>3</v>
      </c>
      <c r="E117" s="1">
        <f t="shared" ref="E117:E119" si="6">E116*(1+$B$117)</f>
        <v>201939.62936165815</v>
      </c>
      <c r="F117" s="102">
        <v>25</v>
      </c>
      <c r="G117" s="105">
        <f>50%*J117</f>
        <v>2524245.3670207271</v>
      </c>
      <c r="H117" s="68">
        <f>36%*J117</f>
        <v>1817456.6642549236</v>
      </c>
      <c r="I117" s="92">
        <f t="shared" si="4"/>
        <v>4341702.0312756505</v>
      </c>
      <c r="J117" s="103">
        <f>E117*F117</f>
        <v>5048490.7340414543</v>
      </c>
      <c r="K117" s="68">
        <f t="shared" si="5"/>
        <v>706788.70276580378</v>
      </c>
    </row>
    <row r="118" spans="1:11" x14ac:dyDescent="0.3">
      <c r="D118" s="1">
        <v>4</v>
      </c>
      <c r="E118" s="1">
        <f t="shared" si="6"/>
        <v>320839.13644214562</v>
      </c>
      <c r="F118" s="102">
        <v>25</v>
      </c>
      <c r="G118" s="105">
        <f>50%*J118</f>
        <v>4010489.2055268204</v>
      </c>
      <c r="H118" s="68">
        <f>34%*J118</f>
        <v>2727132.6597582381</v>
      </c>
      <c r="I118" s="92">
        <f t="shared" si="4"/>
        <v>6737621.8652850585</v>
      </c>
      <c r="J118" s="103">
        <f>E118*F118</f>
        <v>8020978.4110536408</v>
      </c>
      <c r="K118" s="68">
        <f t="shared" si="5"/>
        <v>1283356.5457685823</v>
      </c>
    </row>
    <row r="119" spans="1:11" ht="15" thickBot="1" x14ac:dyDescent="0.35">
      <c r="A119" t="s">
        <v>108</v>
      </c>
      <c r="B119" s="60">
        <v>25</v>
      </c>
      <c r="C119" t="s">
        <v>111</v>
      </c>
      <c r="D119" s="1">
        <v>5</v>
      </c>
      <c r="E119" s="1">
        <f t="shared" si="6"/>
        <v>509745.17383404833</v>
      </c>
      <c r="F119" s="102">
        <v>25</v>
      </c>
      <c r="G119" s="106">
        <f>50%*J119</f>
        <v>6371814.6729256045</v>
      </c>
      <c r="H119" s="107">
        <f>32%*J119</f>
        <v>4077961.3906723871</v>
      </c>
      <c r="I119" s="93">
        <f t="shared" si="4"/>
        <v>10449776.063597992</v>
      </c>
      <c r="J119" s="103">
        <f>E119*F119</f>
        <v>12743629.345851209</v>
      </c>
      <c r="K119" s="68">
        <f t="shared" si="5"/>
        <v>2293853.282253217</v>
      </c>
    </row>
    <row r="120" spans="1:11" x14ac:dyDescent="0.3">
      <c r="J120" s="64" t="s">
        <v>127</v>
      </c>
      <c r="K120" s="101">
        <f>SUM(K115:K119)</f>
        <v>4865307.5041155247</v>
      </c>
    </row>
    <row r="121" spans="1:11" x14ac:dyDescent="0.3">
      <c r="A121" t="s">
        <v>114</v>
      </c>
      <c r="B121" s="59">
        <v>0.5</v>
      </c>
      <c r="C121" t="s">
        <v>120</v>
      </c>
    </row>
    <row r="122" spans="1:11" x14ac:dyDescent="0.3">
      <c r="A122" t="s">
        <v>115</v>
      </c>
      <c r="B122" s="59">
        <v>0.4</v>
      </c>
      <c r="C122" t="s">
        <v>120</v>
      </c>
    </row>
    <row r="123" spans="1:11" x14ac:dyDescent="0.3">
      <c r="A123" t="s">
        <v>116</v>
      </c>
      <c r="B123" s="59">
        <v>0.02</v>
      </c>
      <c r="C123" t="s">
        <v>117</v>
      </c>
    </row>
    <row r="125" spans="1:11" x14ac:dyDescent="0.3">
      <c r="A125" t="s">
        <v>118</v>
      </c>
      <c r="B125" s="60">
        <f>K120</f>
        <v>4865307.5041155247</v>
      </c>
      <c r="C125" t="s">
        <v>128</v>
      </c>
      <c r="D125" t="s">
        <v>133</v>
      </c>
    </row>
    <row r="126" spans="1:11" x14ac:dyDescent="0.3">
      <c r="A126" s="69"/>
      <c r="B126" s="69"/>
      <c r="C126" s="69"/>
      <c r="D126" s="69"/>
      <c r="E126" s="69"/>
    </row>
    <row r="127" spans="1:11" x14ac:dyDescent="0.3">
      <c r="A127" t="s">
        <v>70</v>
      </c>
      <c r="B127" s="59">
        <v>0.05</v>
      </c>
      <c r="C127" t="s">
        <v>129</v>
      </c>
    </row>
    <row r="128" spans="1:11" x14ac:dyDescent="0.3">
      <c r="A128" t="s">
        <v>89</v>
      </c>
      <c r="B128" s="63">
        <f>NPV(B127,K115:K119)</f>
        <v>4000000.0002807076</v>
      </c>
      <c r="C128" t="s">
        <v>130</v>
      </c>
    </row>
    <row r="129" spans="1:3" x14ac:dyDescent="0.3">
      <c r="A129" t="s">
        <v>88</v>
      </c>
      <c r="B129" s="63">
        <f>B128-B115</f>
        <v>2.8070760890841484E-4</v>
      </c>
      <c r="C129" t="s">
        <v>131</v>
      </c>
    </row>
    <row r="130" spans="1:3" x14ac:dyDescent="0.3">
      <c r="C130" t="s">
        <v>132</v>
      </c>
    </row>
  </sheetData>
  <mergeCells count="6">
    <mergeCell ref="G113:I113"/>
    <mergeCell ref="A1:G1"/>
    <mergeCell ref="A30:C30"/>
    <mergeCell ref="A2:B2"/>
    <mergeCell ref="A112:B112"/>
    <mergeCell ref="F33:H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 19th Hole</vt:lpstr>
      <vt:lpstr>Gopher drugs and practice que</vt:lpstr>
      <vt:lpstr>Exercise Equipment</vt:lpstr>
      <vt:lpstr>Module 3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2024-01-16T18:01:19Z</dcterms:modified>
</cp:coreProperties>
</file>