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100\Desktop\F70LB and F71BF\Spreadsheets\"/>
    </mc:Choice>
  </mc:AlternateContent>
  <bookViews>
    <workbookView xWindow="0" yWindow="0" windowWidth="14805" windowHeight="7200"/>
  </bookViews>
  <sheets>
    <sheet name="Q1" sheetId="1" r:id="rId1"/>
    <sheet name="Q2" sheetId="2" r:id="rId2"/>
    <sheet name="Q3" sheetId="3" r:id="rId3"/>
    <sheet name="Q4" sheetId="4" r:id="rId4"/>
    <sheet name="Q5" sheetId="5" r:id="rId5"/>
    <sheet name="Q6a" sheetId="6" r:id="rId6"/>
    <sheet name="Q6b" sheetId="7" r:id="rId7"/>
    <sheet name="Q7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3" i="8" l="1"/>
  <c r="U22" i="8"/>
  <c r="U21" i="8"/>
  <c r="U23" i="6"/>
  <c r="U22" i="6"/>
  <c r="U21" i="6"/>
  <c r="U22" i="5"/>
  <c r="U23" i="5"/>
  <c r="U21" i="5"/>
  <c r="A28" i="8"/>
  <c r="A29" i="8" s="1"/>
  <c r="I23" i="8"/>
  <c r="L23" i="8" s="1"/>
  <c r="B29" i="8"/>
  <c r="B28" i="8"/>
  <c r="I22" i="8" s="1"/>
  <c r="F29" i="8"/>
  <c r="C29" i="8"/>
  <c r="F28" i="8"/>
  <c r="C28" i="8"/>
  <c r="F27" i="8"/>
  <c r="C27" i="8"/>
  <c r="D27" i="8" s="1"/>
  <c r="E27" i="8" s="1"/>
  <c r="F23" i="8"/>
  <c r="C23" i="8"/>
  <c r="K23" i="8" s="1"/>
  <c r="R22" i="8"/>
  <c r="O22" i="8"/>
  <c r="O23" i="8" s="1"/>
  <c r="J22" i="8"/>
  <c r="J23" i="8" s="1"/>
  <c r="F22" i="8"/>
  <c r="C22" i="8"/>
  <c r="K22" i="8" s="1"/>
  <c r="A22" i="8"/>
  <c r="A23" i="8" s="1"/>
  <c r="J21" i="8"/>
  <c r="F21" i="8"/>
  <c r="C21" i="8"/>
  <c r="K21" i="8" s="1"/>
  <c r="B21" i="8"/>
  <c r="I21" i="8" s="1"/>
  <c r="P11" i="8"/>
  <c r="P9" i="8"/>
  <c r="P9" i="6"/>
  <c r="D6" i="7" s="1"/>
  <c r="P11" i="6"/>
  <c r="P11" i="5"/>
  <c r="O22" i="6"/>
  <c r="O23" i="6" s="1"/>
  <c r="B7" i="7"/>
  <c r="B8" i="7" s="1"/>
  <c r="F23" i="6"/>
  <c r="C23" i="6"/>
  <c r="K23" i="6" s="1"/>
  <c r="B23" i="6"/>
  <c r="I23" i="6" s="1"/>
  <c r="R22" i="6"/>
  <c r="J22" i="6"/>
  <c r="J23" i="6" s="1"/>
  <c r="F22" i="6"/>
  <c r="C22" i="6"/>
  <c r="K22" i="6" s="1"/>
  <c r="B22" i="6"/>
  <c r="I22" i="6" s="1"/>
  <c r="L22" i="6" s="1"/>
  <c r="A22" i="6"/>
  <c r="A23" i="6" s="1"/>
  <c r="J21" i="6"/>
  <c r="F21" i="6"/>
  <c r="C21" i="6"/>
  <c r="K21" i="6" s="1"/>
  <c r="B21" i="6"/>
  <c r="D21" i="6" s="1"/>
  <c r="K22" i="5"/>
  <c r="O22" i="5"/>
  <c r="O23" i="5" s="1"/>
  <c r="J22" i="5"/>
  <c r="J21" i="5"/>
  <c r="F23" i="5"/>
  <c r="C23" i="5"/>
  <c r="K23" i="5" s="1"/>
  <c r="B23" i="5"/>
  <c r="I23" i="5" s="1"/>
  <c r="R22" i="5"/>
  <c r="J23" i="5"/>
  <c r="F22" i="5"/>
  <c r="C22" i="5"/>
  <c r="B22" i="5"/>
  <c r="I22" i="5" s="1"/>
  <c r="A22" i="5"/>
  <c r="A23" i="5" s="1"/>
  <c r="F21" i="5"/>
  <c r="C21" i="5"/>
  <c r="K21" i="5" s="1"/>
  <c r="B21" i="5"/>
  <c r="I21" i="5" s="1"/>
  <c r="C3" i="5"/>
  <c r="B18" i="4"/>
  <c r="B19" i="4" s="1"/>
  <c r="C18" i="4"/>
  <c r="D18" i="4"/>
  <c r="C19" i="4"/>
  <c r="D19" i="4"/>
  <c r="D17" i="4"/>
  <c r="C17" i="4"/>
  <c r="E17" i="4" s="1"/>
  <c r="L23" i="5" l="1"/>
  <c r="D8" i="7"/>
  <c r="L21" i="5"/>
  <c r="I21" i="6"/>
  <c r="L21" i="6" s="1"/>
  <c r="D7" i="7"/>
  <c r="L22" i="5"/>
  <c r="L23" i="6"/>
  <c r="L21" i="8"/>
  <c r="L22" i="8"/>
  <c r="D21" i="8"/>
  <c r="R23" i="8"/>
  <c r="R23" i="6"/>
  <c r="E21" i="6"/>
  <c r="M21" i="6" s="1"/>
  <c r="D21" i="5"/>
  <c r="R23" i="5"/>
  <c r="F17" i="4"/>
  <c r="H17" i="4" s="1"/>
  <c r="I17" i="4" s="1"/>
  <c r="E18" i="4" s="1"/>
  <c r="F18" i="4" s="1"/>
  <c r="U15" i="5" l="1"/>
  <c r="G27" i="8"/>
  <c r="H27" i="8" s="1"/>
  <c r="D28" i="8" s="1"/>
  <c r="E28" i="8" s="1"/>
  <c r="E21" i="8"/>
  <c r="M21" i="8" s="1"/>
  <c r="G21" i="8"/>
  <c r="N21" i="8" s="1"/>
  <c r="R24" i="8"/>
  <c r="U15" i="8"/>
  <c r="R24" i="6"/>
  <c r="U15" i="6"/>
  <c r="G21" i="6"/>
  <c r="N21" i="6" s="1"/>
  <c r="E21" i="5"/>
  <c r="H18" i="4"/>
  <c r="I18" i="4" s="1"/>
  <c r="E19" i="4" s="1"/>
  <c r="G28" i="8" l="1"/>
  <c r="H28" i="8" s="1"/>
  <c r="D29" i="8" s="1"/>
  <c r="E29" i="8" s="1"/>
  <c r="H21" i="8"/>
  <c r="H21" i="6"/>
  <c r="P21" i="6" s="1"/>
  <c r="M21" i="5"/>
  <c r="G21" i="5"/>
  <c r="F19" i="4"/>
  <c r="H21" i="5" l="1"/>
  <c r="P21" i="5" s="1"/>
  <c r="N21" i="5"/>
  <c r="G29" i="8"/>
  <c r="D22" i="8"/>
  <c r="P21" i="8"/>
  <c r="Q21" i="8" s="1"/>
  <c r="S21" i="8" s="1"/>
  <c r="T21" i="8" s="1"/>
  <c r="D22" i="6"/>
  <c r="Q21" i="6"/>
  <c r="S21" i="6" s="1"/>
  <c r="T21" i="6" s="1"/>
  <c r="D22" i="5"/>
  <c r="H19" i="4"/>
  <c r="I19" i="4" s="1"/>
  <c r="H29" i="8" l="1"/>
  <c r="V21" i="8"/>
  <c r="E22" i="8"/>
  <c r="M22" i="8" s="1"/>
  <c r="C6" i="7"/>
  <c r="E6" i="7" s="1"/>
  <c r="V21" i="6"/>
  <c r="E22" i="6"/>
  <c r="M22" i="6" s="1"/>
  <c r="Q21" i="5"/>
  <c r="S21" i="5" s="1"/>
  <c r="T21" i="5" s="1"/>
  <c r="E22" i="5"/>
  <c r="M22" i="5" s="1"/>
  <c r="G22" i="8" l="1"/>
  <c r="N22" i="8" s="1"/>
  <c r="G22" i="6"/>
  <c r="N22" i="6" s="1"/>
  <c r="V21" i="5"/>
  <c r="G22" i="5"/>
  <c r="H22" i="5" l="1"/>
  <c r="P22" i="5" s="1"/>
  <c r="Q22" i="5" s="1"/>
  <c r="S22" i="5" s="1"/>
  <c r="T22" i="5" s="1"/>
  <c r="N22" i="5"/>
  <c r="H22" i="8"/>
  <c r="H22" i="6"/>
  <c r="P22" i="6" s="1"/>
  <c r="V22" i="5"/>
  <c r="D23" i="5"/>
  <c r="E23" i="5" s="1"/>
  <c r="D23" i="8" l="1"/>
  <c r="P22" i="8"/>
  <c r="Q22" i="8" s="1"/>
  <c r="S22" i="8" s="1"/>
  <c r="T22" i="8" s="1"/>
  <c r="D23" i="6"/>
  <c r="Q22" i="6"/>
  <c r="S22" i="6" s="1"/>
  <c r="T22" i="6" s="1"/>
  <c r="G23" i="5"/>
  <c r="M23" i="5"/>
  <c r="H23" i="5" l="1"/>
  <c r="P23" i="5" s="1"/>
  <c r="N23" i="5"/>
  <c r="V22" i="8"/>
  <c r="E23" i="8"/>
  <c r="M23" i="8" s="1"/>
  <c r="C7" i="7"/>
  <c r="E7" i="7" s="1"/>
  <c r="V22" i="6"/>
  <c r="E23" i="6"/>
  <c r="M23" i="6" s="1"/>
  <c r="Q23" i="5"/>
  <c r="S23" i="5" s="1"/>
  <c r="T23" i="5" s="1"/>
  <c r="G23" i="8" l="1"/>
  <c r="N23" i="8" s="1"/>
  <c r="H23" i="8"/>
  <c r="G23" i="6"/>
  <c r="N23" i="6" s="1"/>
  <c r="T15" i="5"/>
  <c r="V9" i="5" s="1"/>
  <c r="V23" i="5"/>
  <c r="P23" i="8" l="1"/>
  <c r="Q23" i="8" s="1"/>
  <c r="S23" i="8" s="1"/>
  <c r="T23" i="8" s="1"/>
  <c r="V23" i="8" s="1"/>
  <c r="H31" i="8"/>
  <c r="T15" i="8"/>
  <c r="V9" i="8" s="1"/>
  <c r="H23" i="6"/>
  <c r="P23" i="6" l="1"/>
  <c r="Q23" i="6" s="1"/>
  <c r="S23" i="6" s="1"/>
  <c r="T23" i="6" l="1"/>
  <c r="C8" i="7"/>
  <c r="E8" i="7" s="1"/>
  <c r="F6" i="7" s="1"/>
  <c r="O10" i="3"/>
  <c r="O11" i="3"/>
  <c r="O9" i="3"/>
  <c r="I10" i="3"/>
  <c r="I9" i="3"/>
  <c r="J11" i="3"/>
  <c r="H11" i="3"/>
  <c r="E11" i="3"/>
  <c r="N11" i="3" s="1"/>
  <c r="J10" i="3"/>
  <c r="G10" i="3"/>
  <c r="G11" i="3" s="1"/>
  <c r="I11" i="3" s="1"/>
  <c r="E10" i="3"/>
  <c r="N10" i="3" s="1"/>
  <c r="C10" i="3"/>
  <c r="C11" i="3" s="1"/>
  <c r="J9" i="3"/>
  <c r="E9" i="3"/>
  <c r="N9" i="3" s="1"/>
  <c r="U4" i="3"/>
  <c r="U4" i="2"/>
  <c r="M10" i="2"/>
  <c r="O10" i="2" s="1"/>
  <c r="H10" i="2"/>
  <c r="H11" i="2" s="1"/>
  <c r="H12" i="2" s="1"/>
  <c r="H13" i="2" s="1"/>
  <c r="D11" i="2"/>
  <c r="D12" i="2" s="1"/>
  <c r="D13" i="2" s="1"/>
  <c r="E13" i="2" s="1"/>
  <c r="D10" i="2"/>
  <c r="B10" i="2"/>
  <c r="M11" i="2" s="1"/>
  <c r="O11" i="2" s="1"/>
  <c r="G11" i="2"/>
  <c r="G12" i="2" s="1"/>
  <c r="G13" i="2" s="1"/>
  <c r="E10" i="2"/>
  <c r="O9" i="2"/>
  <c r="I9" i="2"/>
  <c r="E9" i="2"/>
  <c r="N9" i="2" s="1"/>
  <c r="U4" i="1"/>
  <c r="O10" i="1"/>
  <c r="O11" i="1"/>
  <c r="O9" i="1"/>
  <c r="N10" i="1"/>
  <c r="J10" i="1"/>
  <c r="J11" i="1"/>
  <c r="J9" i="1"/>
  <c r="K11" i="1"/>
  <c r="L9" i="1"/>
  <c r="P9" i="1" s="1"/>
  <c r="Q9" i="1" s="1"/>
  <c r="R9" i="1" s="1"/>
  <c r="E10" i="1"/>
  <c r="E11" i="1"/>
  <c r="N11" i="1" s="1"/>
  <c r="E9" i="1"/>
  <c r="N9" i="1" s="1"/>
  <c r="I9" i="1"/>
  <c r="G10" i="1"/>
  <c r="C10" i="1"/>
  <c r="C11" i="1" s="1"/>
  <c r="H11" i="1"/>
  <c r="K13" i="2" l="1"/>
  <c r="N10" i="2"/>
  <c r="E12" i="2"/>
  <c r="K9" i="2"/>
  <c r="L9" i="2" s="1"/>
  <c r="P9" i="2" s="1"/>
  <c r="Q9" i="2" s="1"/>
  <c r="R9" i="2" s="1"/>
  <c r="F10" i="1"/>
  <c r="F11" i="1" s="1"/>
  <c r="B11" i="2"/>
  <c r="K10" i="2"/>
  <c r="V23" i="6"/>
  <c r="T15" i="6"/>
  <c r="V9" i="6" s="1"/>
  <c r="L10" i="3"/>
  <c r="P10" i="3" s="1"/>
  <c r="Q10" i="3" s="1"/>
  <c r="R10" i="3" s="1"/>
  <c r="L9" i="3"/>
  <c r="P9" i="3" s="1"/>
  <c r="Q9" i="3" s="1"/>
  <c r="R9" i="3" s="1"/>
  <c r="F10" i="3"/>
  <c r="F11" i="3" s="1"/>
  <c r="K11" i="3"/>
  <c r="I12" i="2"/>
  <c r="I10" i="2"/>
  <c r="L10" i="2" s="1"/>
  <c r="E11" i="2"/>
  <c r="F10" i="2"/>
  <c r="F11" i="2"/>
  <c r="F12" i="2" s="1"/>
  <c r="I11" i="2"/>
  <c r="I10" i="1"/>
  <c r="L10" i="1" s="1"/>
  <c r="P10" i="1" s="1"/>
  <c r="Q10" i="1" s="1"/>
  <c r="R10" i="1" s="1"/>
  <c r="G11" i="1"/>
  <c r="B12" i="2" l="1"/>
  <c r="M12" i="2"/>
  <c r="O12" i="2" s="1"/>
  <c r="K12" i="2"/>
  <c r="L12" i="2" s="1"/>
  <c r="F13" i="2"/>
  <c r="K11" i="2"/>
  <c r="N11" i="2"/>
  <c r="L11" i="3"/>
  <c r="P11" i="3" s="1"/>
  <c r="Q11" i="3" s="1"/>
  <c r="R11" i="3" s="1"/>
  <c r="R7" i="3" s="1"/>
  <c r="P10" i="2"/>
  <c r="Q10" i="2" s="1"/>
  <c r="R10" i="2" s="1"/>
  <c r="I13" i="2"/>
  <c r="L13" i="2" s="1"/>
  <c r="L11" i="2"/>
  <c r="I11" i="1"/>
  <c r="L11" i="1" s="1"/>
  <c r="P11" i="1" s="1"/>
  <c r="Q11" i="1" s="1"/>
  <c r="R11" i="1" s="1"/>
  <c r="R7" i="1" s="1"/>
  <c r="B13" i="2" l="1"/>
  <c r="M13" i="2"/>
  <c r="P11" i="2"/>
  <c r="Q11" i="2" s="1"/>
  <c r="R11" i="2" s="1"/>
  <c r="O13" i="2" l="1"/>
  <c r="N13" i="2"/>
  <c r="P13" i="2" s="1"/>
  <c r="Q13" i="2" s="1"/>
  <c r="R13" i="2" s="1"/>
  <c r="N12" i="2"/>
  <c r="P12" i="2" s="1"/>
  <c r="Q12" i="2" s="1"/>
  <c r="R12" i="2" s="1"/>
  <c r="R7" i="2" s="1"/>
</calcChain>
</file>

<file path=xl/comments1.xml><?xml version="1.0" encoding="utf-8"?>
<comments xmlns="http://schemas.openxmlformats.org/spreadsheetml/2006/main">
  <authors>
    <author>Peter Ridges Local User</author>
  </authors>
  <commentList>
    <comment ref="M12" authorId="0" shapeId="0">
      <text>
        <r>
          <rPr>
            <b/>
            <sz val="9"/>
            <color indexed="81"/>
            <rFont val="Tahoma"/>
            <family val="2"/>
          </rPr>
          <t>Peter Ridges Local User:</t>
        </r>
        <r>
          <rPr>
            <sz val="9"/>
            <color indexed="81"/>
            <rFont val="Tahoma"/>
            <family val="2"/>
          </rPr>
          <t xml:space="preserve">
No reserve is needed after the maturity payment has been paid.</t>
        </r>
      </text>
    </comment>
  </commentList>
</comments>
</file>

<file path=xl/comments2.xml><?xml version="1.0" encoding="utf-8"?>
<comments xmlns="http://schemas.openxmlformats.org/spreadsheetml/2006/main">
  <authors>
    <author>Peter Ridges Local User</author>
  </authors>
  <commentList>
    <comment ref="M14" authorId="0" shapeId="0">
      <text>
        <r>
          <rPr>
            <b/>
            <sz val="9"/>
            <color indexed="81"/>
            <rFont val="Tahoma"/>
            <family val="2"/>
          </rPr>
          <t>Peter Ridges Local User:</t>
        </r>
        <r>
          <rPr>
            <sz val="9"/>
            <color indexed="81"/>
            <rFont val="Tahoma"/>
            <family val="2"/>
          </rPr>
          <t xml:space="preserve">
No reserve is needed after the maturity payment has been paid.</t>
        </r>
      </text>
    </comment>
  </commentList>
</comments>
</file>

<file path=xl/comments3.xml><?xml version="1.0" encoding="utf-8"?>
<comments xmlns="http://schemas.openxmlformats.org/spreadsheetml/2006/main">
  <authors>
    <author>Peter Ridges Local User</author>
  </authors>
  <commentList>
    <comment ref="M12" authorId="0" shapeId="0">
      <text>
        <r>
          <rPr>
            <b/>
            <sz val="9"/>
            <color indexed="81"/>
            <rFont val="Tahoma"/>
            <family val="2"/>
          </rPr>
          <t>Peter Ridges Local User:</t>
        </r>
        <r>
          <rPr>
            <sz val="9"/>
            <color indexed="81"/>
            <rFont val="Tahoma"/>
            <family val="2"/>
          </rPr>
          <t xml:space="preserve">
No reserve is needed after the maturity payment has been paid.</t>
        </r>
      </text>
    </comment>
  </commentList>
</comments>
</file>

<file path=xl/comments4.xml><?xml version="1.0" encoding="utf-8"?>
<comments xmlns="http://schemas.openxmlformats.org/spreadsheetml/2006/main">
  <authors>
    <author>Peter Ridges Local User</author>
  </authors>
  <commentList>
    <comment ref="C4" authorId="0" shapeId="0">
      <text>
        <r>
          <rPr>
            <b/>
            <sz val="9"/>
            <color indexed="81"/>
            <rFont val="Tahoma"/>
            <family val="2"/>
          </rPr>
          <t>Peter Ridges Local User:</t>
        </r>
        <r>
          <rPr>
            <sz val="9"/>
            <color indexed="81"/>
            <rFont val="Tahoma"/>
            <family val="2"/>
          </rPr>
          <t xml:space="preserve">
We have already allowed for mortality in calculating this column, so there is no need to allow for it again.</t>
        </r>
      </text>
    </comment>
  </commentList>
</comments>
</file>

<file path=xl/sharedStrings.xml><?xml version="1.0" encoding="utf-8"?>
<sst xmlns="http://schemas.openxmlformats.org/spreadsheetml/2006/main" count="240" uniqueCount="83">
  <si>
    <t>Year, t</t>
  </si>
  <si>
    <t>Premium</t>
  </si>
  <si>
    <t>Expenses</t>
  </si>
  <si>
    <t>i</t>
  </si>
  <si>
    <t>1+i</t>
  </si>
  <si>
    <t>Age at start of year, x+t-1</t>
  </si>
  <si>
    <t>AM92 ultimate</t>
  </si>
  <si>
    <t>Interest during year</t>
  </si>
  <si>
    <t>Death benefit, per life at start of year</t>
  </si>
  <si>
    <t>Survival benefit, per life at start of year</t>
  </si>
  <si>
    <t>Cashflow for year, CF</t>
  </si>
  <si>
    <r>
      <rPr>
        <vertAlign val="subscript"/>
        <sz val="11"/>
        <color theme="1"/>
        <rFont val="Calibri"/>
        <family val="2"/>
        <scheme val="minor"/>
      </rPr>
      <t>t-1</t>
    </r>
    <r>
      <rPr>
        <sz val="11"/>
        <color theme="1"/>
        <rFont val="Calibri"/>
        <family val="2"/>
        <scheme val="minor"/>
      </rPr>
      <t>V</t>
    </r>
  </si>
  <si>
    <t>Increase in reserves required for survivors</t>
  </si>
  <si>
    <t>Interest on reserves during year</t>
  </si>
  <si>
    <r>
      <t>PRO</t>
    </r>
    <r>
      <rPr>
        <vertAlign val="subscript"/>
        <sz val="11"/>
        <color theme="1"/>
        <rFont val="Calibri"/>
        <family val="2"/>
        <scheme val="minor"/>
      </rPr>
      <t>t</t>
    </r>
  </si>
  <si>
    <r>
      <t>q</t>
    </r>
    <r>
      <rPr>
        <vertAlign val="subscript"/>
        <sz val="11"/>
        <color theme="1"/>
        <rFont val="Calibri"/>
        <family val="2"/>
        <scheme val="minor"/>
      </rPr>
      <t>x+t</t>
    </r>
  </si>
  <si>
    <r>
      <t>p</t>
    </r>
    <r>
      <rPr>
        <vertAlign val="subscript"/>
        <sz val="11"/>
        <color theme="1"/>
        <rFont val="Calibri"/>
        <family val="2"/>
        <scheme val="minor"/>
      </rPr>
      <t>x+t</t>
    </r>
  </si>
  <si>
    <r>
      <rPr>
        <vertAlign val="subscript"/>
        <sz val="11"/>
        <color theme="1"/>
        <rFont val="Calibri"/>
        <family val="2"/>
        <scheme val="minor"/>
      </rPr>
      <t>t-1</t>
    </r>
    <r>
      <rPr>
        <sz val="11"/>
        <color theme="1"/>
        <rFont val="Calibri"/>
        <family val="2"/>
        <scheme val="minor"/>
      </rPr>
      <t>p</t>
    </r>
    <r>
      <rPr>
        <vertAlign val="subscript"/>
        <sz val="11"/>
        <color theme="1"/>
        <rFont val="Calibri"/>
        <family val="2"/>
        <scheme val="minor"/>
      </rPr>
      <t>x</t>
    </r>
  </si>
  <si>
    <t>not used</t>
  </si>
  <si>
    <r>
      <t>σ</t>
    </r>
    <r>
      <rPr>
        <vertAlign val="subscript"/>
        <sz val="11"/>
        <color theme="1"/>
        <rFont val="Calibri"/>
        <family val="2"/>
      </rPr>
      <t>t</t>
    </r>
  </si>
  <si>
    <t>EPV of profits</t>
  </si>
  <si>
    <t>not given</t>
  </si>
  <si>
    <t>Exercise: check the profit margin, payback period and IRR.</t>
  </si>
  <si>
    <t>Then change to the low inflation scenario.</t>
  </si>
  <si>
    <t>RDR or IRR</t>
  </si>
  <si>
    <t>Annual Premium</t>
  </si>
  <si>
    <t>Charges</t>
  </si>
  <si>
    <t>Year 1 allocation</t>
  </si>
  <si>
    <t>Other allocations</t>
  </si>
  <si>
    <t>Bid/offer spread</t>
  </si>
  <si>
    <t>Annual policy fee</t>
  </si>
  <si>
    <t>Annual management charge</t>
  </si>
  <si>
    <t>Mortality charge per unit</t>
  </si>
  <si>
    <t>See table below</t>
  </si>
  <si>
    <t>Assumed unit growth (annual)</t>
  </si>
  <si>
    <t>Year</t>
  </si>
  <si>
    <t>Allocated premium</t>
  </si>
  <si>
    <t>Policy fee</t>
  </si>
  <si>
    <t>Fund at year end, before charges</t>
  </si>
  <si>
    <t>AMC</t>
  </si>
  <si>
    <t>Mortality charge per £</t>
  </si>
  <si>
    <t>Mortality charge</t>
  </si>
  <si>
    <t>Fund at year end, after charges</t>
  </si>
  <si>
    <t>n/a</t>
  </si>
  <si>
    <t>Minimum death benefit</t>
  </si>
  <si>
    <t>Exercise: change some of the yellow numbers</t>
  </si>
  <si>
    <t>to see what difference it makes.</t>
  </si>
  <si>
    <t>Unallocated premium</t>
  </si>
  <si>
    <t>Expense</t>
  </si>
  <si>
    <t>Interest</t>
  </si>
  <si>
    <t>Assumed mortality rate</t>
  </si>
  <si>
    <t>Mortality cost</t>
  </si>
  <si>
    <t>Total sterling cashflow</t>
  </si>
  <si>
    <r>
      <t>σ</t>
    </r>
    <r>
      <rPr>
        <vertAlign val="subscript"/>
        <sz val="11"/>
        <color theme="1"/>
        <rFont val="Calibri"/>
        <family val="2"/>
        <scheme val="minor"/>
      </rPr>
      <t>t</t>
    </r>
  </si>
  <si>
    <r>
      <t>σ</t>
    </r>
    <r>
      <rPr>
        <vertAlign val="subscript"/>
        <sz val="11"/>
        <color theme="1"/>
        <rFont val="Calibri"/>
        <family val="2"/>
        <scheme val="minor"/>
      </rPr>
      <t xml:space="preserve">t </t>
    </r>
    <r>
      <rPr>
        <sz val="11"/>
        <color theme="1"/>
        <rFont val="Calibri"/>
        <family val="2"/>
        <scheme val="minor"/>
      </rPr>
      <t>discounted at RDR</t>
    </r>
  </si>
  <si>
    <t>EPV premiums</t>
  </si>
  <si>
    <r>
      <t>Cumulative discounted σ</t>
    </r>
    <r>
      <rPr>
        <vertAlign val="subscript"/>
        <sz val="11"/>
        <color theme="1"/>
        <rFont val="Calibri"/>
        <family val="2"/>
        <scheme val="minor"/>
      </rPr>
      <t>t</t>
    </r>
  </si>
  <si>
    <t>Profit margin</t>
  </si>
  <si>
    <t>Totals</t>
  </si>
  <si>
    <t>Assumptions</t>
  </si>
  <si>
    <t>Expenses: % of first premium</t>
  </si>
  <si>
    <t>Expenses: % of later premiums</t>
  </si>
  <si>
    <t>Fixed annual expense</t>
  </si>
  <si>
    <t>(not first year)</t>
  </si>
  <si>
    <t>Mortality rate</t>
  </si>
  <si>
    <t>Unit fund calculations</t>
  </si>
  <si>
    <t>Sterling fund calculations</t>
  </si>
  <si>
    <t>Fund management charge</t>
  </si>
  <si>
    <r>
      <rPr>
        <vertAlign val="subscript"/>
        <sz val="11"/>
        <rFont val="Calibri"/>
        <family val="2"/>
        <scheme val="minor"/>
      </rPr>
      <t>t-1</t>
    </r>
    <r>
      <rPr>
        <sz val="11"/>
        <rFont val="Calibri"/>
        <family val="2"/>
        <scheme val="minor"/>
      </rPr>
      <t>p</t>
    </r>
    <r>
      <rPr>
        <vertAlign val="subscript"/>
        <sz val="11"/>
        <rFont val="Calibri"/>
        <family val="2"/>
        <scheme val="minor"/>
      </rPr>
      <t>x</t>
    </r>
  </si>
  <si>
    <r>
      <t>σ</t>
    </r>
    <r>
      <rPr>
        <vertAlign val="subscript"/>
        <sz val="11"/>
        <rFont val="Calibri"/>
        <family val="2"/>
        <scheme val="minor"/>
      </rPr>
      <t>t</t>
    </r>
  </si>
  <si>
    <r>
      <t>σ</t>
    </r>
    <r>
      <rPr>
        <vertAlign val="subscript"/>
        <sz val="11"/>
        <rFont val="Calibri"/>
        <family val="2"/>
        <scheme val="minor"/>
      </rPr>
      <t xml:space="preserve">t </t>
    </r>
    <r>
      <rPr>
        <sz val="11"/>
        <rFont val="Calibri"/>
        <family val="2"/>
        <scheme val="minor"/>
      </rPr>
      <t>discounted at RDR</t>
    </r>
  </si>
  <si>
    <r>
      <t>Cumulative discounted σ</t>
    </r>
    <r>
      <rPr>
        <vertAlign val="subscript"/>
        <sz val="11"/>
        <rFont val="Calibri"/>
        <family val="2"/>
        <scheme val="minor"/>
      </rPr>
      <t>t</t>
    </r>
  </si>
  <si>
    <r>
      <t>σ</t>
    </r>
    <r>
      <rPr>
        <vertAlign val="subscript"/>
        <sz val="11"/>
        <rFont val="Calibri"/>
        <family val="2"/>
        <scheme val="minor"/>
      </rPr>
      <t xml:space="preserve">t </t>
    </r>
    <r>
      <rPr>
        <sz val="11"/>
        <rFont val="Calibri"/>
        <family val="2"/>
        <scheme val="minor"/>
      </rPr>
      <t>before reserves are set up.</t>
    </r>
  </si>
  <si>
    <r>
      <t>v</t>
    </r>
    <r>
      <rPr>
        <vertAlign val="superscript"/>
        <sz val="11"/>
        <rFont val="Calibri"/>
        <family val="2"/>
        <scheme val="minor"/>
      </rPr>
      <t>t</t>
    </r>
  </si>
  <si>
    <t>EPV at t=1</t>
  </si>
  <si>
    <t>Reserve</t>
  </si>
  <si>
    <t>"Capital unit fund" calculations</t>
  </si>
  <si>
    <t>"Accumulation unit fund" calculations</t>
  </si>
  <si>
    <t>Total fund at t=3</t>
  </si>
  <si>
    <t>Annual management charges</t>
  </si>
  <si>
    <t>In Q7, the RDR is not given in the question.</t>
  </si>
  <si>
    <t>Fund management charges</t>
  </si>
  <si>
    <t>Note that this column combines two FMCs.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</si>
</sst>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£&quot;#,##0;[Red]\-&quot;£&quot;#,##0"/>
    <numFmt numFmtId="8" formatCode="&quot;£&quot;#,##0.00;[Red]\-&quot;£&quot;#,##0.00"/>
    <numFmt numFmtId="164" formatCode="0.00000"/>
    <numFmt numFmtId="165" formatCode="0.0000"/>
    <numFmt numFmtId="166" formatCode="&quot;£&quot;#,##0.00"/>
    <numFmt numFmtId="167" formatCode="0.0%"/>
    <numFmt numFmtId="168" formatCode="0.00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sz val="11"/>
      <name val="Calibri"/>
      <family val="2"/>
      <scheme val="minor"/>
    </font>
    <font>
      <i/>
      <sz val="20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bscript"/>
      <sz val="11"/>
      <name val="Calibri"/>
      <family val="2"/>
      <scheme val="minor"/>
    </font>
    <font>
      <vertAlign val="superscript"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9" fontId="0" fillId="2" borderId="0" xfId="0" applyNumberFormat="1" applyFill="1"/>
    <xf numFmtId="2" fontId="0" fillId="0" borderId="0" xfId="0" applyNumberFormat="1"/>
    <xf numFmtId="0" fontId="0" fillId="0" borderId="0" xfId="0" applyAlignment="1">
      <alignment horizontal="right" wrapText="1"/>
    </xf>
    <xf numFmtId="6" fontId="0" fillId="0" borderId="0" xfId="0" applyNumberFormat="1"/>
    <xf numFmtId="6" fontId="0" fillId="2" borderId="0" xfId="0" applyNumberFormat="1" applyFill="1"/>
    <xf numFmtId="8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6" fillId="0" borderId="0" xfId="0" applyFont="1" applyAlignment="1">
      <alignment horizontal="right"/>
    </xf>
    <xf numFmtId="166" fontId="0" fillId="0" borderId="0" xfId="0" applyNumberFormat="1"/>
    <xf numFmtId="166" fontId="1" fillId="3" borderId="1" xfId="0" applyNumberFormat="1" applyFont="1" applyFill="1" applyBorder="1"/>
    <xf numFmtId="10" fontId="0" fillId="2" borderId="0" xfId="0" applyNumberFormat="1" applyFill="1"/>
    <xf numFmtId="0" fontId="0" fillId="0" borderId="3" xfId="0" applyBorder="1"/>
    <xf numFmtId="9" fontId="0" fillId="2" borderId="4" xfId="0" applyNumberFormat="1" applyFill="1" applyBorder="1"/>
    <xf numFmtId="0" fontId="0" fillId="0" borderId="5" xfId="0" applyBorder="1"/>
    <xf numFmtId="9" fontId="0" fillId="2" borderId="6" xfId="0" applyNumberFormat="1" applyFill="1" applyBorder="1"/>
    <xf numFmtId="0" fontId="0" fillId="0" borderId="7" xfId="0" applyBorder="1"/>
    <xf numFmtId="9" fontId="0" fillId="2" borderId="8" xfId="0" applyNumberFormat="1" applyFill="1" applyBorder="1"/>
    <xf numFmtId="0" fontId="1" fillId="0" borderId="9" xfId="0" applyFont="1" applyBorder="1"/>
    <xf numFmtId="0" fontId="0" fillId="0" borderId="10" xfId="0" applyBorder="1" applyAlignment="1">
      <alignment horizontal="left"/>
    </xf>
    <xf numFmtId="0" fontId="0" fillId="0" borderId="11" xfId="0" applyBorder="1"/>
    <xf numFmtId="0" fontId="0" fillId="0" borderId="13" xfId="0" applyBorder="1"/>
    <xf numFmtId="0" fontId="2" fillId="0" borderId="0" xfId="0" applyFont="1"/>
    <xf numFmtId="9" fontId="0" fillId="2" borderId="12" xfId="0" applyNumberFormat="1" applyFill="1" applyBorder="1" applyAlignment="1">
      <alignment horizontal="left"/>
    </xf>
    <xf numFmtId="8" fontId="0" fillId="2" borderId="12" xfId="0" applyNumberFormat="1" applyFill="1" applyBorder="1" applyAlignment="1">
      <alignment horizontal="left"/>
    </xf>
    <xf numFmtId="10" fontId="0" fillId="2" borderId="12" xfId="0" applyNumberFormat="1" applyFill="1" applyBorder="1" applyAlignment="1">
      <alignment horizontal="left"/>
    </xf>
    <xf numFmtId="10" fontId="0" fillId="2" borderId="14" xfId="0" applyNumberFormat="1" applyFill="1" applyBorder="1" applyAlignment="1">
      <alignment horizontal="left" wrapText="1"/>
    </xf>
    <xf numFmtId="8" fontId="1" fillId="4" borderId="1" xfId="0" applyNumberFormat="1" applyFont="1" applyFill="1" applyBorder="1"/>
    <xf numFmtId="0" fontId="0" fillId="0" borderId="0" xfId="0" applyAlignment="1">
      <alignment wrapText="1"/>
    </xf>
    <xf numFmtId="0" fontId="0" fillId="0" borderId="15" xfId="0" applyBorder="1" applyAlignment="1">
      <alignment horizontal="right" wrapText="1"/>
    </xf>
    <xf numFmtId="166" fontId="1" fillId="0" borderId="0" xfId="0" applyNumberFormat="1" applyFont="1"/>
    <xf numFmtId="0" fontId="0" fillId="0" borderId="17" xfId="0" applyBorder="1"/>
    <xf numFmtId="0" fontId="0" fillId="0" borderId="10" xfId="0" applyBorder="1"/>
    <xf numFmtId="0" fontId="0" fillId="0" borderId="11" xfId="0" applyBorder="1" applyAlignment="1">
      <alignment wrapText="1"/>
    </xf>
    <xf numFmtId="0" fontId="0" fillId="0" borderId="12" xfId="0" applyBorder="1"/>
    <xf numFmtId="167" fontId="0" fillId="0" borderId="0" xfId="0" applyNumberFormat="1"/>
    <xf numFmtId="0" fontId="0" fillId="0" borderId="12" xfId="0" applyBorder="1" applyAlignment="1">
      <alignment wrapText="1"/>
    </xf>
    <xf numFmtId="167" fontId="0" fillId="2" borderId="0" xfId="0" applyNumberFormat="1" applyFill="1"/>
    <xf numFmtId="9" fontId="0" fillId="2" borderId="18" xfId="0" applyNumberFormat="1" applyFill="1" applyBorder="1"/>
    <xf numFmtId="0" fontId="0" fillId="5" borderId="19" xfId="0" applyFill="1" applyBorder="1"/>
    <xf numFmtId="0" fontId="0" fillId="5" borderId="20" xfId="0" applyFill="1" applyBorder="1"/>
    <xf numFmtId="0" fontId="0" fillId="5" borderId="21" xfId="0" applyFill="1" applyBorder="1"/>
    <xf numFmtId="0" fontId="9" fillId="5" borderId="20" xfId="0" applyFont="1" applyFill="1" applyBorder="1"/>
    <xf numFmtId="0" fontId="0" fillId="0" borderId="9" xfId="0" applyBorder="1" applyAlignment="1">
      <alignment horizontal="right" wrapText="1"/>
    </xf>
    <xf numFmtId="0" fontId="0" fillId="0" borderId="17" xfId="0" applyBorder="1" applyAlignment="1">
      <alignment horizontal="right" wrapText="1"/>
    </xf>
    <xf numFmtId="0" fontId="0" fillId="0" borderId="10" xfId="0" applyBorder="1" applyAlignment="1">
      <alignment horizontal="right" wrapText="1"/>
    </xf>
    <xf numFmtId="10" fontId="8" fillId="0" borderId="0" xfId="0" applyNumberFormat="1" applyFont="1"/>
    <xf numFmtId="8" fontId="0" fillId="0" borderId="12" xfId="0" applyNumberFormat="1" applyBorder="1"/>
    <xf numFmtId="8" fontId="0" fillId="0" borderId="18" xfId="0" applyNumberFormat="1" applyBorder="1"/>
    <xf numFmtId="166" fontId="0" fillId="0" borderId="18" xfId="0" applyNumberFormat="1" applyBorder="1"/>
    <xf numFmtId="10" fontId="8" fillId="0" borderId="18" xfId="0" applyNumberFormat="1" applyFont="1" applyBorder="1"/>
    <xf numFmtId="0" fontId="9" fillId="6" borderId="20" xfId="0" applyFont="1" applyFill="1" applyBorder="1"/>
    <xf numFmtId="0" fontId="0" fillId="6" borderId="19" xfId="0" applyFill="1" applyBorder="1"/>
    <xf numFmtId="0" fontId="0" fillId="6" borderId="20" xfId="0" applyFill="1" applyBorder="1"/>
    <xf numFmtId="0" fontId="0" fillId="6" borderId="21" xfId="0" applyFill="1" applyBorder="1"/>
    <xf numFmtId="0" fontId="0" fillId="0" borderId="9" xfId="0" applyBorder="1" applyAlignment="1">
      <alignment wrapText="1"/>
    </xf>
    <xf numFmtId="0" fontId="0" fillId="0" borderId="17" xfId="0" applyBorder="1" applyAlignment="1">
      <alignment horizontal="right"/>
    </xf>
    <xf numFmtId="6" fontId="0" fillId="0" borderId="18" xfId="0" applyNumberFormat="1" applyBorder="1"/>
    <xf numFmtId="8" fontId="0" fillId="0" borderId="14" xfId="0" applyNumberFormat="1" applyBorder="1"/>
    <xf numFmtId="8" fontId="0" fillId="0" borderId="11" xfId="0" applyNumberFormat="1" applyBorder="1"/>
    <xf numFmtId="0" fontId="0" fillId="0" borderId="11" xfId="0" applyBorder="1" applyAlignment="1">
      <alignment horizontal="right" wrapText="1"/>
    </xf>
    <xf numFmtId="0" fontId="0" fillId="0" borderId="12" xfId="0" applyBorder="1" applyAlignment="1">
      <alignment horizontal="right" wrapText="1"/>
    </xf>
    <xf numFmtId="0" fontId="10" fillId="0" borderId="0" xfId="0" applyFont="1"/>
    <xf numFmtId="8" fontId="1" fillId="7" borderId="1" xfId="0" applyNumberFormat="1" applyFont="1" applyFill="1" applyBorder="1"/>
    <xf numFmtId="8" fontId="0" fillId="0" borderId="13" xfId="0" applyNumberFormat="1" applyBorder="1"/>
    <xf numFmtId="0" fontId="10" fillId="0" borderId="18" xfId="0" applyFont="1" applyBorder="1"/>
    <xf numFmtId="167" fontId="1" fillId="7" borderId="16" xfId="0" applyNumberFormat="1" applyFont="1" applyFill="1" applyBorder="1"/>
    <xf numFmtId="168" fontId="0" fillId="0" borderId="0" xfId="0" applyNumberFormat="1"/>
    <xf numFmtId="168" fontId="11" fillId="0" borderId="18" xfId="0" applyNumberFormat="1" applyFont="1" applyBorder="1"/>
    <xf numFmtId="0" fontId="8" fillId="0" borderId="9" xfId="0" applyFont="1" applyBorder="1" applyAlignment="1">
      <alignment wrapText="1"/>
    </xf>
    <xf numFmtId="0" fontId="8" fillId="0" borderId="17" xfId="0" applyFont="1" applyBorder="1"/>
    <xf numFmtId="0" fontId="8" fillId="0" borderId="17" xfId="0" applyFont="1" applyBorder="1" applyAlignment="1">
      <alignment horizontal="right"/>
    </xf>
    <xf numFmtId="0" fontId="8" fillId="0" borderId="17" xfId="0" applyFont="1" applyBorder="1" applyAlignment="1">
      <alignment horizontal="right" wrapText="1"/>
    </xf>
    <xf numFmtId="0" fontId="8" fillId="0" borderId="10" xfId="0" applyFont="1" applyBorder="1" applyAlignment="1">
      <alignment horizontal="right" wrapText="1"/>
    </xf>
    <xf numFmtId="0" fontId="8" fillId="0" borderId="11" xfId="0" applyFont="1" applyBorder="1" applyAlignment="1">
      <alignment wrapText="1"/>
    </xf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 wrapText="1"/>
    </xf>
    <xf numFmtId="0" fontId="8" fillId="0" borderId="12" xfId="0" applyFont="1" applyBorder="1" applyAlignment="1">
      <alignment horizontal="right" wrapText="1"/>
    </xf>
    <xf numFmtId="8" fontId="8" fillId="0" borderId="11" xfId="0" applyNumberFormat="1" applyFont="1" applyBorder="1"/>
    <xf numFmtId="6" fontId="8" fillId="0" borderId="0" xfId="0" applyNumberFormat="1" applyFont="1"/>
    <xf numFmtId="8" fontId="8" fillId="0" borderId="0" xfId="0" applyNumberFormat="1" applyFont="1"/>
    <xf numFmtId="166" fontId="8" fillId="0" borderId="0" xfId="0" applyNumberFormat="1" applyFont="1"/>
    <xf numFmtId="168" fontId="10" fillId="0" borderId="0" xfId="0" applyNumberFormat="1" applyFont="1"/>
    <xf numFmtId="8" fontId="8" fillId="0" borderId="12" xfId="0" applyNumberFormat="1" applyFont="1" applyBorder="1"/>
    <xf numFmtId="8" fontId="8" fillId="0" borderId="13" xfId="0" applyNumberFormat="1" applyFont="1" applyBorder="1"/>
    <xf numFmtId="6" fontId="8" fillId="0" borderId="18" xfId="0" applyNumberFormat="1" applyFont="1" applyBorder="1"/>
    <xf numFmtId="8" fontId="8" fillId="0" borderId="18" xfId="0" applyNumberFormat="1" applyFont="1" applyBorder="1"/>
    <xf numFmtId="166" fontId="8" fillId="0" borderId="18" xfId="0" applyNumberFormat="1" applyFont="1" applyBorder="1"/>
    <xf numFmtId="168" fontId="10" fillId="0" borderId="18" xfId="0" applyNumberFormat="1" applyFont="1" applyBorder="1"/>
    <xf numFmtId="8" fontId="8" fillId="0" borderId="14" xfId="0" applyNumberFormat="1" applyFont="1" applyBorder="1"/>
    <xf numFmtId="2" fontId="0" fillId="0" borderId="14" xfId="0" applyNumberFormat="1" applyBorder="1"/>
    <xf numFmtId="2" fontId="0" fillId="0" borderId="12" xfId="0" applyNumberFormat="1" applyBorder="1"/>
    <xf numFmtId="166" fontId="1" fillId="8" borderId="1" xfId="0" applyNumberFormat="1" applyFont="1" applyFill="1" applyBorder="1"/>
    <xf numFmtId="10" fontId="0" fillId="2" borderId="21" xfId="0" applyNumberFormat="1" applyFill="1" applyBorder="1" applyAlignment="1">
      <alignment horizontal="left"/>
    </xf>
    <xf numFmtId="10" fontId="0" fillId="2" borderId="0" xfId="0" applyNumberFormat="1" applyFill="1" applyAlignment="1">
      <alignment horizontal="left"/>
    </xf>
    <xf numFmtId="0" fontId="0" fillId="0" borderId="2" xfId="0" applyBorder="1"/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right" wrapText="1"/>
    </xf>
    <xf numFmtId="6" fontId="0" fillId="0" borderId="0" xfId="0" applyNumberFormat="1" applyBorder="1"/>
    <xf numFmtId="8" fontId="0" fillId="0" borderId="0" xfId="0" applyNumberFormat="1" applyBorder="1"/>
    <xf numFmtId="166" fontId="0" fillId="0" borderId="0" xfId="0" applyNumberFormat="1" applyBorder="1"/>
    <xf numFmtId="0" fontId="10" fillId="0" borderId="0" xfId="0" applyFont="1" applyBorder="1"/>
    <xf numFmtId="168" fontId="1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U12"/>
  <sheetViews>
    <sheetView tabSelected="1" workbookViewId="0">
      <selection activeCell="B25" sqref="B25"/>
    </sheetView>
  </sheetViews>
  <sheetFormatPr defaultRowHeight="15" x14ac:dyDescent="0.25"/>
  <cols>
    <col min="3" max="6" width="13.7109375" customWidth="1"/>
    <col min="9" max="9" width="12.140625" customWidth="1"/>
    <col min="10" max="10" width="17" customWidth="1"/>
    <col min="11" max="11" width="19.85546875" customWidth="1"/>
    <col min="12" max="12" width="13.28515625" customWidth="1"/>
    <col min="14" max="14" width="14" customWidth="1"/>
    <col min="15" max="15" width="12" customWidth="1"/>
    <col min="20" max="20" width="10.28515625" customWidth="1"/>
  </cols>
  <sheetData>
    <row r="3" spans="2:21" x14ac:dyDescent="0.25">
      <c r="P3" t="s">
        <v>3</v>
      </c>
      <c r="Q3" s="3">
        <v>0.06</v>
      </c>
      <c r="T3" t="s">
        <v>24</v>
      </c>
      <c r="U3" s="3">
        <v>0.09</v>
      </c>
    </row>
    <row r="4" spans="2:21" x14ac:dyDescent="0.25">
      <c r="P4" t="s">
        <v>4</v>
      </c>
      <c r="Q4" s="4" t="s">
        <v>18</v>
      </c>
      <c r="U4" s="4">
        <f>1+U3</f>
        <v>1.0900000000000001</v>
      </c>
    </row>
    <row r="5" spans="2:21" x14ac:dyDescent="0.25">
      <c r="Q5" s="4"/>
      <c r="U5" s="4"/>
    </row>
    <row r="6" spans="2:21" ht="15.75" thickBot="1" x14ac:dyDescent="0.3"/>
    <row r="7" spans="2:21" ht="15.75" thickBot="1" x14ac:dyDescent="0.3">
      <c r="D7" s="99" t="s">
        <v>6</v>
      </c>
      <c r="J7" s="7">
        <v>30000</v>
      </c>
      <c r="R7" s="13">
        <f>SUM(R9:R1000)</f>
        <v>368.9337122428451</v>
      </c>
    </row>
    <row r="8" spans="2:21" s="1" customFormat="1" ht="61.5" x14ac:dyDescent="0.35">
      <c r="B8" s="1" t="s">
        <v>0</v>
      </c>
      <c r="C8" s="5" t="s">
        <v>5</v>
      </c>
      <c r="D8" s="5" t="s">
        <v>15</v>
      </c>
      <c r="E8" s="5" t="s">
        <v>16</v>
      </c>
      <c r="F8" s="5" t="s">
        <v>17</v>
      </c>
      <c r="G8" s="1" t="s">
        <v>1</v>
      </c>
      <c r="H8" s="1" t="s">
        <v>2</v>
      </c>
      <c r="I8" s="5" t="s">
        <v>7</v>
      </c>
      <c r="J8" s="5" t="s">
        <v>8</v>
      </c>
      <c r="K8" s="5" t="s">
        <v>9</v>
      </c>
      <c r="L8" s="5" t="s">
        <v>10</v>
      </c>
      <c r="M8" s="1" t="s">
        <v>11</v>
      </c>
      <c r="N8" s="5" t="s">
        <v>12</v>
      </c>
      <c r="O8" s="5" t="s">
        <v>13</v>
      </c>
      <c r="P8" s="1" t="s">
        <v>14</v>
      </c>
      <c r="Q8" s="11" t="s">
        <v>19</v>
      </c>
      <c r="R8" s="5" t="s">
        <v>20</v>
      </c>
    </row>
    <row r="9" spans="2:21" x14ac:dyDescent="0.25">
      <c r="B9">
        <v>1</v>
      </c>
      <c r="C9" s="2">
        <v>62</v>
      </c>
      <c r="D9" s="2">
        <v>1.0111999999999999E-2</v>
      </c>
      <c r="E9">
        <f>1-D9</f>
        <v>0.98988799999999999</v>
      </c>
      <c r="F9" s="9">
        <v>1</v>
      </c>
      <c r="G9" s="2">
        <v>9350</v>
      </c>
      <c r="H9" s="2">
        <v>-400</v>
      </c>
      <c r="I9">
        <f>$Q$3*(G9+H9)</f>
        <v>537</v>
      </c>
      <c r="J9" s="8">
        <f>-D9*$J$7</f>
        <v>-303.35999999999996</v>
      </c>
      <c r="K9">
        <v>0</v>
      </c>
      <c r="L9">
        <f>SUM(G9:K9)</f>
        <v>9183.64</v>
      </c>
      <c r="M9">
        <v>0</v>
      </c>
      <c r="N9" s="4">
        <f>E9*M10-M9</f>
        <v>9435.6124159999999</v>
      </c>
      <c r="O9">
        <f>$Q$3*M9</f>
        <v>0</v>
      </c>
      <c r="P9" s="4">
        <f>L9-N9+O9</f>
        <v>-251.97241600000052</v>
      </c>
      <c r="Q9" s="4">
        <f>P9*F9</f>
        <v>-251.97241600000052</v>
      </c>
      <c r="R9" s="4">
        <f>Q9/$U$4^B9</f>
        <v>-231.16735412844082</v>
      </c>
    </row>
    <row r="10" spans="2:21" x14ac:dyDescent="0.25">
      <c r="B10">
        <v>2</v>
      </c>
      <c r="C10">
        <f>C9+1</f>
        <v>63</v>
      </c>
      <c r="D10" s="2">
        <v>1.1344E-2</v>
      </c>
      <c r="E10">
        <f t="shared" ref="E10:E11" si="0">1-D10</f>
        <v>0.98865599999999998</v>
      </c>
      <c r="F10" s="9">
        <f>F9*E9</f>
        <v>0.98988799999999999</v>
      </c>
      <c r="G10">
        <f>G9</f>
        <v>9350</v>
      </c>
      <c r="H10" s="2">
        <v>-100</v>
      </c>
      <c r="I10">
        <f t="shared" ref="I10:I11" si="1">$Q$3*(G10+H10)</f>
        <v>555</v>
      </c>
      <c r="J10" s="8">
        <f t="shared" ref="J10:J11" si="2">-D10*$J$7</f>
        <v>-340.32</v>
      </c>
      <c r="K10">
        <v>0</v>
      </c>
      <c r="L10">
        <f t="shared" ref="L10:L11" si="3">SUM(G10:K10)</f>
        <v>9464.68</v>
      </c>
      <c r="M10" s="2">
        <v>9532</v>
      </c>
      <c r="N10" s="4">
        <f t="shared" ref="N10:N11" si="4">E10*M11-M10</f>
        <v>9760.6331839999984</v>
      </c>
      <c r="O10">
        <f t="shared" ref="O10:O11" si="5">$Q$3*M10</f>
        <v>571.91999999999996</v>
      </c>
      <c r="P10" s="4">
        <f t="shared" ref="P10:P11" si="6">L10-N10+O10</f>
        <v>275.96681600000181</v>
      </c>
      <c r="Q10" s="4">
        <f t="shared" ref="Q10:Q11" si="7">P10*F10</f>
        <v>273.1762395566098</v>
      </c>
      <c r="R10" s="4">
        <f t="shared" ref="R10:R11" si="8">Q10/$U$4^B10</f>
        <v>229.92697547059151</v>
      </c>
    </row>
    <row r="11" spans="2:21" x14ac:dyDescent="0.25">
      <c r="B11">
        <v>3</v>
      </c>
      <c r="C11">
        <f>C10+1</f>
        <v>64</v>
      </c>
      <c r="D11" s="2">
        <v>1.2716E-2</v>
      </c>
      <c r="E11">
        <f t="shared" si="0"/>
        <v>0.98728400000000005</v>
      </c>
      <c r="F11" s="9">
        <f>F10*E10</f>
        <v>0.97865871052800002</v>
      </c>
      <c r="G11">
        <f>G10</f>
        <v>9350</v>
      </c>
      <c r="H11">
        <f>H10</f>
        <v>-100</v>
      </c>
      <c r="I11">
        <f t="shared" si="1"/>
        <v>555</v>
      </c>
      <c r="J11" s="8">
        <f t="shared" si="2"/>
        <v>-381.48</v>
      </c>
      <c r="K11" s="8">
        <f>-J7*E11</f>
        <v>-29618.52</v>
      </c>
      <c r="L11" s="4">
        <f t="shared" si="3"/>
        <v>-20195</v>
      </c>
      <c r="M11" s="2">
        <v>19514</v>
      </c>
      <c r="N11" s="4">
        <f t="shared" si="4"/>
        <v>-19514</v>
      </c>
      <c r="O11">
        <f t="shared" si="5"/>
        <v>1170.8399999999999</v>
      </c>
      <c r="P11" s="4">
        <f t="shared" si="6"/>
        <v>489.83999999999992</v>
      </c>
      <c r="Q11" s="4">
        <f t="shared" si="7"/>
        <v>479.38618276503547</v>
      </c>
      <c r="R11" s="4">
        <f t="shared" si="8"/>
        <v>370.17409090069441</v>
      </c>
    </row>
    <row r="12" spans="2:21" x14ac:dyDescent="0.25">
      <c r="M12"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U14"/>
  <sheetViews>
    <sheetView workbookViewId="0">
      <selection activeCell="T4" sqref="T4"/>
    </sheetView>
  </sheetViews>
  <sheetFormatPr defaultRowHeight="15" x14ac:dyDescent="0.25"/>
  <cols>
    <col min="3" max="6" width="13.7109375" customWidth="1"/>
    <col min="9" max="9" width="12.140625" customWidth="1"/>
    <col min="10" max="10" width="17" customWidth="1"/>
    <col min="11" max="11" width="19.85546875" customWidth="1"/>
    <col min="12" max="12" width="13.28515625" customWidth="1"/>
    <col min="14" max="14" width="14" customWidth="1"/>
    <col min="15" max="15" width="12" customWidth="1"/>
    <col min="20" max="20" width="10.42578125" customWidth="1"/>
  </cols>
  <sheetData>
    <row r="3" spans="2:21" x14ac:dyDescent="0.25">
      <c r="P3" t="s">
        <v>3</v>
      </c>
      <c r="Q3" s="3">
        <v>0.08</v>
      </c>
      <c r="T3" t="s">
        <v>24</v>
      </c>
      <c r="U3" s="3">
        <v>0.1</v>
      </c>
    </row>
    <row r="4" spans="2:21" x14ac:dyDescent="0.25">
      <c r="P4" t="s">
        <v>4</v>
      </c>
      <c r="Q4" s="4" t="s">
        <v>18</v>
      </c>
      <c r="U4" s="4">
        <f>1+U3</f>
        <v>1.1000000000000001</v>
      </c>
    </row>
    <row r="5" spans="2:21" x14ac:dyDescent="0.25">
      <c r="Q5" s="4"/>
      <c r="U5" s="4"/>
    </row>
    <row r="6" spans="2:21" ht="15.75" thickBot="1" x14ac:dyDescent="0.3">
      <c r="S6" t="s">
        <v>22</v>
      </c>
    </row>
    <row r="7" spans="2:21" ht="15.75" thickBot="1" x14ac:dyDescent="0.3">
      <c r="D7" t="s">
        <v>6</v>
      </c>
      <c r="H7" s="2">
        <v>1.1000000000000001</v>
      </c>
      <c r="J7" s="7">
        <v>1000</v>
      </c>
      <c r="M7">
        <v>5</v>
      </c>
      <c r="R7" s="13">
        <f>SUM(R9:R1000)</f>
        <v>482.63205990105587</v>
      </c>
      <c r="S7" t="s">
        <v>23</v>
      </c>
    </row>
    <row r="8" spans="2:21" s="1" customFormat="1" ht="61.5" x14ac:dyDescent="0.35">
      <c r="B8" s="1" t="s">
        <v>0</v>
      </c>
      <c r="C8" s="5" t="s">
        <v>5</v>
      </c>
      <c r="D8" s="5" t="s">
        <v>15</v>
      </c>
      <c r="E8" s="5" t="s">
        <v>16</v>
      </c>
      <c r="F8" s="5" t="s">
        <v>17</v>
      </c>
      <c r="G8" s="1" t="s">
        <v>1</v>
      </c>
      <c r="H8" s="1" t="s">
        <v>2</v>
      </c>
      <c r="I8" s="5" t="s">
        <v>7</v>
      </c>
      <c r="J8" s="5" t="s">
        <v>8</v>
      </c>
      <c r="K8" s="5" t="s">
        <v>9</v>
      </c>
      <c r="L8" s="5" t="s">
        <v>10</v>
      </c>
      <c r="M8" s="1" t="s">
        <v>11</v>
      </c>
      <c r="N8" s="5" t="s">
        <v>12</v>
      </c>
      <c r="O8" s="5" t="s">
        <v>13</v>
      </c>
      <c r="P8" s="1" t="s">
        <v>14</v>
      </c>
      <c r="Q8" s="11" t="s">
        <v>19</v>
      </c>
      <c r="R8" s="5" t="s">
        <v>20</v>
      </c>
    </row>
    <row r="9" spans="2:21" x14ac:dyDescent="0.25">
      <c r="B9">
        <v>1</v>
      </c>
      <c r="C9" t="s">
        <v>21</v>
      </c>
      <c r="D9" s="2">
        <v>0.15</v>
      </c>
      <c r="E9">
        <f>1-D9</f>
        <v>0.85</v>
      </c>
      <c r="F9" s="9">
        <v>1</v>
      </c>
      <c r="G9" s="2">
        <v>3300</v>
      </c>
      <c r="H9" s="2">
        <v>-50</v>
      </c>
      <c r="I9" s="4">
        <f>$Q$3*(G9+H9)</f>
        <v>260</v>
      </c>
      <c r="J9" s="6">
        <v>0</v>
      </c>
      <c r="K9">
        <f>-$J$7*E9</f>
        <v>-850</v>
      </c>
      <c r="L9">
        <f>SUM(G9:K9)</f>
        <v>2660</v>
      </c>
      <c r="M9">
        <v>0</v>
      </c>
      <c r="N9" s="4">
        <f t="shared" ref="N9:N13" si="0">E9*M10-M9</f>
        <v>3400</v>
      </c>
      <c r="O9">
        <f>$Q$3*M9</f>
        <v>0</v>
      </c>
      <c r="P9" s="4">
        <f>L9-N9+O9</f>
        <v>-740</v>
      </c>
      <c r="Q9" s="4">
        <f>P9*F9</f>
        <v>-740</v>
      </c>
      <c r="R9" s="4">
        <f>Q9/$U$4^B9</f>
        <v>-672.72727272727263</v>
      </c>
    </row>
    <row r="10" spans="2:21" x14ac:dyDescent="0.25">
      <c r="B10">
        <f>B9+1</f>
        <v>2</v>
      </c>
      <c r="D10" s="2">
        <f>D9</f>
        <v>0.15</v>
      </c>
      <c r="E10">
        <f t="shared" ref="E10:E13" si="1">1-D10</f>
        <v>0.85</v>
      </c>
      <c r="F10" s="9">
        <f>F9*E9</f>
        <v>0.85</v>
      </c>
      <c r="G10">
        <v>0</v>
      </c>
      <c r="H10" s="4">
        <f>H9*$H$7</f>
        <v>-55.000000000000007</v>
      </c>
      <c r="I10" s="4">
        <f t="shared" ref="I10:I11" si="2">$Q$3*(G10+H10)</f>
        <v>-4.4000000000000004</v>
      </c>
      <c r="J10" s="6">
        <v>0</v>
      </c>
      <c r="K10">
        <f t="shared" ref="K10:K13" si="3">-$J$7*E10</f>
        <v>-850</v>
      </c>
      <c r="L10">
        <f t="shared" ref="L10:L11" si="4">SUM(G10:K10)</f>
        <v>-909.4</v>
      </c>
      <c r="M10" s="7">
        <f>($M$7-B9)*$J$7</f>
        <v>4000</v>
      </c>
      <c r="N10" s="4">
        <f t="shared" si="0"/>
        <v>-1450</v>
      </c>
      <c r="O10">
        <f t="shared" ref="O10:O11" si="5">$Q$3*M10</f>
        <v>320</v>
      </c>
      <c r="P10" s="4">
        <f t="shared" ref="P10:P13" si="6">L10-N10+O10</f>
        <v>860.6</v>
      </c>
      <c r="Q10" s="4">
        <f t="shared" ref="Q10:Q13" si="7">P10*F10</f>
        <v>731.51</v>
      </c>
      <c r="R10" s="4">
        <f t="shared" ref="R10:R11" si="8">Q10/$U$4^B10</f>
        <v>604.55371900826435</v>
      </c>
    </row>
    <row r="11" spans="2:21" x14ac:dyDescent="0.25">
      <c r="B11">
        <f t="shared" ref="B11:B13" si="9">B10+1</f>
        <v>3</v>
      </c>
      <c r="D11" s="2">
        <f t="shared" ref="D11:D13" si="10">D10</f>
        <v>0.15</v>
      </c>
      <c r="E11">
        <f t="shared" si="1"/>
        <v>0.85</v>
      </c>
      <c r="F11" s="9">
        <f>F10*E10</f>
        <v>0.72249999999999992</v>
      </c>
      <c r="G11">
        <f>G10</f>
        <v>0</v>
      </c>
      <c r="H11" s="4">
        <f t="shared" ref="H11:H13" si="11">H10*$H$7</f>
        <v>-60.500000000000014</v>
      </c>
      <c r="I11" s="4">
        <f t="shared" si="2"/>
        <v>-4.8400000000000016</v>
      </c>
      <c r="J11" s="6">
        <v>0</v>
      </c>
      <c r="K11">
        <f t="shared" si="3"/>
        <v>-850</v>
      </c>
      <c r="L11" s="4">
        <f t="shared" si="4"/>
        <v>-915.34</v>
      </c>
      <c r="M11" s="7">
        <f t="shared" ref="M11:M13" si="12">($M$7-B10)*$J$7</f>
        <v>3000</v>
      </c>
      <c r="N11" s="4">
        <f t="shared" si="0"/>
        <v>-1300</v>
      </c>
      <c r="O11">
        <f t="shared" si="5"/>
        <v>240</v>
      </c>
      <c r="P11" s="4">
        <f t="shared" si="6"/>
        <v>624.66</v>
      </c>
      <c r="Q11" s="4">
        <f t="shared" si="7"/>
        <v>451.31684999999993</v>
      </c>
      <c r="R11" s="4">
        <f t="shared" si="8"/>
        <v>339.08102930127706</v>
      </c>
    </row>
    <row r="12" spans="2:21" x14ac:dyDescent="0.25">
      <c r="B12">
        <f t="shared" si="9"/>
        <v>4</v>
      </c>
      <c r="D12" s="2">
        <f t="shared" si="10"/>
        <v>0.15</v>
      </c>
      <c r="E12">
        <f t="shared" si="1"/>
        <v>0.85</v>
      </c>
      <c r="F12" s="9">
        <f t="shared" ref="F12:F13" si="13">F11*E11</f>
        <v>0.61412499999999992</v>
      </c>
      <c r="G12">
        <f t="shared" ref="G12:G13" si="14">G11</f>
        <v>0</v>
      </c>
      <c r="H12" s="4">
        <f t="shared" si="11"/>
        <v>-66.550000000000026</v>
      </c>
      <c r="I12" s="4">
        <f t="shared" ref="I12:I13" si="15">$Q$3*(G12+H12)</f>
        <v>-5.3240000000000025</v>
      </c>
      <c r="J12" s="6">
        <v>0</v>
      </c>
      <c r="K12">
        <f t="shared" si="3"/>
        <v>-850</v>
      </c>
      <c r="L12" s="4">
        <f t="shared" ref="L12:L13" si="16">SUM(G12:K12)</f>
        <v>-921.87400000000002</v>
      </c>
      <c r="M12" s="7">
        <f t="shared" si="12"/>
        <v>2000</v>
      </c>
      <c r="N12" s="4">
        <f t="shared" si="0"/>
        <v>-1150</v>
      </c>
      <c r="O12">
        <f t="shared" ref="O12:O13" si="17">$Q$3*M12</f>
        <v>160</v>
      </c>
      <c r="P12" s="4">
        <f t="shared" si="6"/>
        <v>388.12599999999998</v>
      </c>
      <c r="Q12" s="4">
        <f t="shared" si="7"/>
        <v>238.35787974999997</v>
      </c>
      <c r="R12" s="4">
        <f t="shared" ref="R12:R13" si="18">Q12/$U$4^B12</f>
        <v>162.80163906153945</v>
      </c>
    </row>
    <row r="13" spans="2:21" x14ac:dyDescent="0.25">
      <c r="B13">
        <f t="shared" si="9"/>
        <v>5</v>
      </c>
      <c r="D13" s="2">
        <f t="shared" si="10"/>
        <v>0.15</v>
      </c>
      <c r="E13">
        <f t="shared" si="1"/>
        <v>0.85</v>
      </c>
      <c r="F13" s="9">
        <f t="shared" si="13"/>
        <v>0.52200624999999989</v>
      </c>
      <c r="G13">
        <f t="shared" si="14"/>
        <v>0</v>
      </c>
      <c r="H13" s="4">
        <f t="shared" si="11"/>
        <v>-73.205000000000041</v>
      </c>
      <c r="I13" s="4">
        <f t="shared" si="15"/>
        <v>-5.8564000000000034</v>
      </c>
      <c r="J13" s="6">
        <v>0</v>
      </c>
      <c r="K13">
        <f t="shared" si="3"/>
        <v>-850</v>
      </c>
      <c r="L13" s="4">
        <f t="shared" si="16"/>
        <v>-929.06140000000005</v>
      </c>
      <c r="M13" s="7">
        <f t="shared" si="12"/>
        <v>1000</v>
      </c>
      <c r="N13" s="4">
        <f t="shared" si="0"/>
        <v>-1000</v>
      </c>
      <c r="O13">
        <f t="shared" si="17"/>
        <v>80</v>
      </c>
      <c r="P13" s="4">
        <f t="shared" si="6"/>
        <v>150.93859999999995</v>
      </c>
      <c r="Q13" s="4">
        <f t="shared" si="7"/>
        <v>78.790892566249966</v>
      </c>
      <c r="R13" s="4">
        <f t="shared" si="18"/>
        <v>48.922945257247669</v>
      </c>
    </row>
    <row r="14" spans="2:21" x14ac:dyDescent="0.25">
      <c r="M14"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U12"/>
  <sheetViews>
    <sheetView workbookViewId="0">
      <selection activeCell="F25" sqref="F25"/>
    </sheetView>
  </sheetViews>
  <sheetFormatPr defaultRowHeight="15" x14ac:dyDescent="0.25"/>
  <cols>
    <col min="3" max="6" width="13.7109375" customWidth="1"/>
    <col min="9" max="9" width="12.140625" customWidth="1"/>
    <col min="10" max="10" width="17" customWidth="1"/>
    <col min="11" max="11" width="19.85546875" customWidth="1"/>
    <col min="12" max="12" width="13.28515625" customWidth="1"/>
    <col min="14" max="14" width="14" customWidth="1"/>
    <col min="15" max="15" width="12" customWidth="1"/>
    <col min="20" max="20" width="10.28515625" customWidth="1"/>
  </cols>
  <sheetData>
    <row r="3" spans="2:21" x14ac:dyDescent="0.25">
      <c r="P3" s="15" t="s">
        <v>3</v>
      </c>
      <c r="Q3" s="16">
        <v>0.06</v>
      </c>
      <c r="T3" t="s">
        <v>24</v>
      </c>
      <c r="U3" s="14">
        <v>7.6100000000000001E-2</v>
      </c>
    </row>
    <row r="4" spans="2:21" x14ac:dyDescent="0.25">
      <c r="P4" s="17"/>
      <c r="Q4" s="18">
        <v>0.05</v>
      </c>
      <c r="U4" s="10">
        <f>1+U3</f>
        <v>1.0761000000000001</v>
      </c>
    </row>
    <row r="5" spans="2:21" x14ac:dyDescent="0.25">
      <c r="P5" s="19"/>
      <c r="Q5" s="20">
        <v>0.05</v>
      </c>
      <c r="U5" s="4"/>
    </row>
    <row r="6" spans="2:21" ht="15.75" thickBot="1" x14ac:dyDescent="0.3"/>
    <row r="7" spans="2:21" ht="15.75" thickBot="1" x14ac:dyDescent="0.3">
      <c r="D7" t="s">
        <v>6</v>
      </c>
      <c r="J7" s="7">
        <v>30000</v>
      </c>
      <c r="R7" s="13">
        <f>SUM(R9:R1000)</f>
        <v>-1.1512165161491339E-3</v>
      </c>
    </row>
    <row r="8" spans="2:21" s="1" customFormat="1" ht="61.5" x14ac:dyDescent="0.35">
      <c r="B8" s="1" t="s">
        <v>0</v>
      </c>
      <c r="C8" s="5" t="s">
        <v>5</v>
      </c>
      <c r="D8" s="5" t="s">
        <v>15</v>
      </c>
      <c r="E8" s="5" t="s">
        <v>16</v>
      </c>
      <c r="F8" s="5" t="s">
        <v>17</v>
      </c>
      <c r="G8" s="1" t="s">
        <v>1</v>
      </c>
      <c r="H8" s="1" t="s">
        <v>2</v>
      </c>
      <c r="I8" s="5" t="s">
        <v>7</v>
      </c>
      <c r="J8" s="5" t="s">
        <v>8</v>
      </c>
      <c r="K8" s="5" t="s">
        <v>9</v>
      </c>
      <c r="L8" s="5" t="s">
        <v>10</v>
      </c>
      <c r="M8" s="1" t="s">
        <v>11</v>
      </c>
      <c r="N8" s="5" t="s">
        <v>12</v>
      </c>
      <c r="O8" s="5" t="s">
        <v>13</v>
      </c>
      <c r="P8" s="1" t="s">
        <v>14</v>
      </c>
      <c r="Q8" s="11" t="s">
        <v>19</v>
      </c>
      <c r="R8" s="5" t="s">
        <v>20</v>
      </c>
    </row>
    <row r="9" spans="2:21" x14ac:dyDescent="0.25">
      <c r="B9">
        <v>1</v>
      </c>
      <c r="C9" s="2">
        <v>62</v>
      </c>
      <c r="D9" s="2">
        <v>1.0111999999999999E-2</v>
      </c>
      <c r="E9">
        <f>1-D9</f>
        <v>0.98988799999999999</v>
      </c>
      <c r="F9" s="9">
        <v>1</v>
      </c>
      <c r="G9" s="2">
        <v>9350</v>
      </c>
      <c r="H9" s="2">
        <v>-400</v>
      </c>
      <c r="I9">
        <f>Q3*(G9+H9)</f>
        <v>537</v>
      </c>
      <c r="J9" s="8">
        <f>-D9*$J$7</f>
        <v>-303.35999999999996</v>
      </c>
      <c r="K9">
        <v>0</v>
      </c>
      <c r="L9">
        <f>SUM(G9:K9)</f>
        <v>9183.64</v>
      </c>
      <c r="M9">
        <v>0</v>
      </c>
      <c r="N9" s="4">
        <f>E9*M10-M9</f>
        <v>9435.6124159999999</v>
      </c>
      <c r="O9">
        <f>Q3*M9</f>
        <v>0</v>
      </c>
      <c r="P9" s="4">
        <f>L9-N9+O9</f>
        <v>-251.97241600000052</v>
      </c>
      <c r="Q9" s="4">
        <f>P9*F9</f>
        <v>-251.97241600000052</v>
      </c>
      <c r="R9" s="4">
        <f>Q9/$U$4^B9</f>
        <v>-234.15334634327712</v>
      </c>
    </row>
    <row r="10" spans="2:21" x14ac:dyDescent="0.25">
      <c r="B10">
        <v>2</v>
      </c>
      <c r="C10">
        <f>C9+1</f>
        <v>63</v>
      </c>
      <c r="D10" s="2">
        <v>1.1344E-2</v>
      </c>
      <c r="E10">
        <f t="shared" ref="E10:E11" si="0">1-D10</f>
        <v>0.98865599999999998</v>
      </c>
      <c r="F10" s="9">
        <f>F9*E9</f>
        <v>0.98988799999999999</v>
      </c>
      <c r="G10">
        <f>G9</f>
        <v>9350</v>
      </c>
      <c r="H10" s="2">
        <v>-100</v>
      </c>
      <c r="I10">
        <f t="shared" ref="I10:I11" si="1">Q4*(G10+H10)</f>
        <v>462.5</v>
      </c>
      <c r="J10" s="8">
        <f>-D10*$J$7</f>
        <v>-340.32</v>
      </c>
      <c r="K10">
        <v>0</v>
      </c>
      <c r="L10">
        <f t="shared" ref="L10:L11" si="2">SUM(G10:K10)</f>
        <v>9372.18</v>
      </c>
      <c r="M10" s="2">
        <v>9532</v>
      </c>
      <c r="N10" s="4">
        <f>E10*M11-M10</f>
        <v>9760.6331839999984</v>
      </c>
      <c r="O10">
        <f t="shared" ref="O10:O11" si="3">Q4*M10</f>
        <v>476.6</v>
      </c>
      <c r="P10" s="4">
        <f t="shared" ref="P10:P11" si="4">L10-N10+O10</f>
        <v>88.146816000001877</v>
      </c>
      <c r="Q10" s="4">
        <f>P10*F10</f>
        <v>87.255475396609853</v>
      </c>
      <c r="R10" s="4">
        <f>Q10/$U$4^B10</f>
        <v>75.350723427865958</v>
      </c>
    </row>
    <row r="11" spans="2:21" x14ac:dyDescent="0.25">
      <c r="B11">
        <v>3</v>
      </c>
      <c r="C11">
        <f>C10+1</f>
        <v>64</v>
      </c>
      <c r="D11" s="2">
        <v>1.2716E-2</v>
      </c>
      <c r="E11">
        <f t="shared" si="0"/>
        <v>0.98728400000000005</v>
      </c>
      <c r="F11" s="9">
        <f>F10*E10</f>
        <v>0.97865871052800002</v>
      </c>
      <c r="G11">
        <f>G10</f>
        <v>9350</v>
      </c>
      <c r="H11">
        <f>H10</f>
        <v>-100</v>
      </c>
      <c r="I11">
        <f t="shared" si="1"/>
        <v>462.5</v>
      </c>
      <c r="J11" s="8">
        <f>-D11*$J$7</f>
        <v>-381.48</v>
      </c>
      <c r="K11" s="8">
        <f>-J7*E11</f>
        <v>-29618.52</v>
      </c>
      <c r="L11" s="4">
        <f t="shared" si="2"/>
        <v>-20287.5</v>
      </c>
      <c r="M11" s="2">
        <v>19514</v>
      </c>
      <c r="N11" s="4">
        <f>E11*M12-M11</f>
        <v>-19514</v>
      </c>
      <c r="O11">
        <f t="shared" si="3"/>
        <v>975.7</v>
      </c>
      <c r="P11" s="4">
        <f t="shared" si="4"/>
        <v>202.20000000000005</v>
      </c>
      <c r="Q11" s="4">
        <f>P11*F11</f>
        <v>197.88479126876166</v>
      </c>
      <c r="R11" s="4">
        <f>Q11/$U$4^B11</f>
        <v>158.80147169889503</v>
      </c>
    </row>
    <row r="12" spans="2:21" x14ac:dyDescent="0.25">
      <c r="M12"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0"/>
  <sheetViews>
    <sheetView workbookViewId="0">
      <selection activeCell="F23" sqref="F23"/>
    </sheetView>
  </sheetViews>
  <sheetFormatPr defaultRowHeight="15" x14ac:dyDescent="0.25"/>
  <cols>
    <col min="1" max="1" width="5.5703125" customWidth="1"/>
    <col min="2" max="2" width="27.42578125" customWidth="1"/>
    <col min="3" max="3" width="11.42578125" customWidth="1"/>
    <col min="5" max="5" width="14.5703125" customWidth="1"/>
    <col min="7" max="7" width="12.85546875" customWidth="1"/>
    <col min="9" max="9" width="13.85546875" customWidth="1"/>
  </cols>
  <sheetData>
    <row r="2" spans="2:9" x14ac:dyDescent="0.25">
      <c r="B2" t="s">
        <v>25</v>
      </c>
      <c r="C2" s="7">
        <v>1000</v>
      </c>
    </row>
    <row r="3" spans="2:9" x14ac:dyDescent="0.25">
      <c r="B3" t="s">
        <v>44</v>
      </c>
      <c r="C3" s="7">
        <v>0</v>
      </c>
    </row>
    <row r="4" spans="2:9" ht="15.75" thickBot="1" x14ac:dyDescent="0.3">
      <c r="C4" s="6"/>
    </row>
    <row r="5" spans="2:9" x14ac:dyDescent="0.25">
      <c r="B5" s="21" t="s">
        <v>26</v>
      </c>
      <c r="C5" s="22"/>
      <c r="I5" t="s">
        <v>45</v>
      </c>
    </row>
    <row r="6" spans="2:9" x14ac:dyDescent="0.25">
      <c r="B6" s="23" t="s">
        <v>27</v>
      </c>
      <c r="C6" s="26">
        <v>0.95</v>
      </c>
      <c r="I6" t="s">
        <v>46</v>
      </c>
    </row>
    <row r="7" spans="2:9" x14ac:dyDescent="0.25">
      <c r="B7" s="23" t="s">
        <v>28</v>
      </c>
      <c r="C7" s="26">
        <v>1.01</v>
      </c>
    </row>
    <row r="8" spans="2:9" x14ac:dyDescent="0.25">
      <c r="B8" s="23" t="s">
        <v>29</v>
      </c>
      <c r="C8" s="26">
        <v>0.05</v>
      </c>
    </row>
    <row r="9" spans="2:9" x14ac:dyDescent="0.25">
      <c r="B9" s="23" t="s">
        <v>30</v>
      </c>
      <c r="C9" s="27">
        <v>0</v>
      </c>
    </row>
    <row r="10" spans="2:9" x14ac:dyDescent="0.25">
      <c r="B10" s="23" t="s">
        <v>31</v>
      </c>
      <c r="C10" s="28">
        <v>5.0000000000000001E-3</v>
      </c>
    </row>
    <row r="11" spans="2:9" ht="15.75" thickBot="1" x14ac:dyDescent="0.3">
      <c r="B11" s="24" t="s">
        <v>32</v>
      </c>
      <c r="C11" s="29" t="s">
        <v>43</v>
      </c>
    </row>
    <row r="13" spans="2:9" x14ac:dyDescent="0.25">
      <c r="B13" t="s">
        <v>34</v>
      </c>
      <c r="C13" s="14">
        <v>0.08</v>
      </c>
    </row>
    <row r="16" spans="2:9" ht="45" x14ac:dyDescent="0.25">
      <c r="B16" s="1" t="s">
        <v>35</v>
      </c>
      <c r="C16" s="5" t="s">
        <v>36</v>
      </c>
      <c r="D16" s="5" t="s">
        <v>37</v>
      </c>
      <c r="E16" s="5" t="s">
        <v>38</v>
      </c>
      <c r="F16" s="5" t="s">
        <v>39</v>
      </c>
      <c r="G16" s="5" t="s">
        <v>40</v>
      </c>
      <c r="H16" s="5" t="s">
        <v>41</v>
      </c>
      <c r="I16" s="5" t="s">
        <v>42</v>
      </c>
    </row>
    <row r="17" spans="2:9" x14ac:dyDescent="0.25">
      <c r="B17" s="1">
        <v>1</v>
      </c>
      <c r="C17">
        <f>$C$2*$C$6*(1-$C$8)</f>
        <v>902.5</v>
      </c>
      <c r="D17" s="8">
        <f>-$C$9</f>
        <v>0</v>
      </c>
      <c r="E17" s="12">
        <f>(C17+D17)*(1+C13)</f>
        <v>974.7</v>
      </c>
      <c r="F17" s="8">
        <f>-$C$10*E17</f>
        <v>-4.8734999999999999</v>
      </c>
      <c r="G17" s="25">
        <v>0.01</v>
      </c>
      <c r="H17" s="8">
        <f>-MAX(0,G17*($C$3-E17-F17))</f>
        <v>0</v>
      </c>
      <c r="I17" s="8">
        <f>E17+F17+H17</f>
        <v>969.82650000000001</v>
      </c>
    </row>
    <row r="18" spans="2:9" ht="15.75" thickBot="1" x14ac:dyDescent="0.3">
      <c r="B18" s="1">
        <f>B17+1</f>
        <v>2</v>
      </c>
      <c r="C18">
        <f>$C$2*$C$7*(1-$C$8)</f>
        <v>959.5</v>
      </c>
      <c r="D18" s="8">
        <f t="shared" ref="D18:D19" si="0">-$C$9</f>
        <v>0</v>
      </c>
      <c r="E18" s="12">
        <f>(I17+C18+D18)*(1+$C$13)</f>
        <v>2083.6726200000003</v>
      </c>
      <c r="F18" s="8">
        <f t="shared" ref="F18:F19" si="1">-$C$10*E18</f>
        <v>-10.418363100000002</v>
      </c>
      <c r="G18" s="25">
        <v>0.01</v>
      </c>
      <c r="H18" s="8">
        <f t="shared" ref="H18:H19" si="2">-MAX(0,G18*($C$3-E18-F18))</f>
        <v>0</v>
      </c>
      <c r="I18" s="8">
        <f t="shared" ref="I18:I19" si="3">E18+F18+H18</f>
        <v>2073.2542569000002</v>
      </c>
    </row>
    <row r="19" spans="2:9" ht="15.75" thickBot="1" x14ac:dyDescent="0.3">
      <c r="B19" s="1">
        <f t="shared" ref="B19" si="4">B18+1</f>
        <v>3</v>
      </c>
      <c r="C19">
        <f t="shared" ref="C19" si="5">$C$2*$C$7*(1-$C$8)</f>
        <v>959.5</v>
      </c>
      <c r="D19" s="8">
        <f t="shared" si="0"/>
        <v>0</v>
      </c>
      <c r="E19" s="12">
        <f t="shared" ref="E19" si="6">(I18+C19+D19)*(1+$C$13)</f>
        <v>3275.3745974520002</v>
      </c>
      <c r="F19" s="8">
        <f t="shared" si="1"/>
        <v>-16.376872987260001</v>
      </c>
      <c r="G19" s="25">
        <v>0.01</v>
      </c>
      <c r="H19" s="8">
        <f t="shared" si="2"/>
        <v>0</v>
      </c>
      <c r="I19" s="30">
        <f t="shared" si="3"/>
        <v>3258.9977244647403</v>
      </c>
    </row>
    <row r="20" spans="2:9" x14ac:dyDescent="0.25">
      <c r="B2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23"/>
  <sheetViews>
    <sheetView workbookViewId="0">
      <selection activeCell="A10" sqref="A10"/>
    </sheetView>
  </sheetViews>
  <sheetFormatPr defaultRowHeight="15" x14ac:dyDescent="0.25"/>
  <cols>
    <col min="1" max="1" width="5.5703125" customWidth="1"/>
    <col min="2" max="2" width="27.42578125" customWidth="1"/>
    <col min="3" max="3" width="11.42578125" customWidth="1"/>
    <col min="5" max="5" width="14.5703125" customWidth="1"/>
    <col min="6" max="6" width="13.28515625" customWidth="1"/>
    <col min="7" max="7" width="12.85546875" customWidth="1"/>
    <col min="9" max="9" width="13.85546875" customWidth="1"/>
    <col min="10" max="10" width="11.28515625" customWidth="1"/>
    <col min="13" max="13" width="12.7109375" customWidth="1"/>
    <col min="14" max="14" width="22" customWidth="1"/>
    <col min="20" max="21" width="11.28515625" customWidth="1"/>
    <col min="22" max="22" width="11.42578125" customWidth="1"/>
    <col min="23" max="23" width="11.7109375" customWidth="1"/>
  </cols>
  <sheetData>
    <row r="2" spans="2:23" x14ac:dyDescent="0.25">
      <c r="B2" t="s">
        <v>25</v>
      </c>
      <c r="C2" s="7">
        <v>1000</v>
      </c>
    </row>
    <row r="3" spans="2:23" x14ac:dyDescent="0.25">
      <c r="B3" t="s">
        <v>44</v>
      </c>
      <c r="C3" s="7">
        <f>2*C2</f>
        <v>2000</v>
      </c>
    </row>
    <row r="4" spans="2:23" ht="15.75" thickBot="1" x14ac:dyDescent="0.3">
      <c r="C4" s="6"/>
    </row>
    <row r="5" spans="2:23" x14ac:dyDescent="0.25">
      <c r="B5" s="21" t="s">
        <v>26</v>
      </c>
      <c r="C5" s="22"/>
      <c r="N5" s="21" t="s">
        <v>59</v>
      </c>
      <c r="O5" s="34"/>
      <c r="P5" s="35"/>
    </row>
    <row r="6" spans="2:23" ht="30" x14ac:dyDescent="0.25">
      <c r="B6" s="23" t="s">
        <v>27</v>
      </c>
      <c r="C6" s="26">
        <v>0.8</v>
      </c>
      <c r="N6" s="36" t="s">
        <v>60</v>
      </c>
      <c r="O6" s="3">
        <v>0.2</v>
      </c>
      <c r="P6" s="37"/>
    </row>
    <row r="7" spans="2:23" ht="30.75" thickBot="1" x14ac:dyDescent="0.3">
      <c r="B7" s="23" t="s">
        <v>28</v>
      </c>
      <c r="C7" s="26">
        <v>1.01</v>
      </c>
      <c r="N7" s="36" t="s">
        <v>61</v>
      </c>
      <c r="O7" s="40">
        <v>0</v>
      </c>
      <c r="P7" s="37"/>
    </row>
    <row r="8" spans="2:23" ht="30" x14ac:dyDescent="0.25">
      <c r="B8" s="23" t="s">
        <v>29</v>
      </c>
      <c r="C8" s="26">
        <v>0.05</v>
      </c>
      <c r="N8" s="36" t="s">
        <v>62</v>
      </c>
      <c r="O8" s="7">
        <v>20</v>
      </c>
      <c r="P8" s="39" t="s">
        <v>63</v>
      </c>
      <c r="V8" s="32" t="s">
        <v>57</v>
      </c>
      <c r="W8" s="1"/>
    </row>
    <row r="9" spans="2:23" ht="15.75" thickBot="1" x14ac:dyDescent="0.3">
      <c r="B9" s="23" t="s">
        <v>30</v>
      </c>
      <c r="C9" s="27">
        <v>0</v>
      </c>
      <c r="N9" s="23" t="s">
        <v>49</v>
      </c>
      <c r="O9" s="3">
        <v>0.04</v>
      </c>
      <c r="P9" s="37"/>
      <c r="V9" s="69">
        <f>T15/U15</f>
        <v>3.7809083620907055E-2</v>
      </c>
      <c r="W9" s="38"/>
    </row>
    <row r="10" spans="2:23" x14ac:dyDescent="0.25">
      <c r="B10" s="23" t="s">
        <v>31</v>
      </c>
      <c r="C10" s="28">
        <v>7.4999999999999997E-3</v>
      </c>
      <c r="N10" s="23" t="s">
        <v>64</v>
      </c>
      <c r="O10" s="2" t="s">
        <v>33</v>
      </c>
      <c r="P10" s="37"/>
    </row>
    <row r="11" spans="2:23" ht="15.75" thickBot="1" x14ac:dyDescent="0.3">
      <c r="B11" s="24" t="s">
        <v>32</v>
      </c>
      <c r="C11" s="29">
        <v>0</v>
      </c>
      <c r="N11" s="24" t="s">
        <v>24</v>
      </c>
      <c r="O11" s="41">
        <v>0.1</v>
      </c>
      <c r="P11" s="94">
        <f>1+O11</f>
        <v>1.1000000000000001</v>
      </c>
    </row>
    <row r="12" spans="2:23" x14ac:dyDescent="0.25">
      <c r="U12" s="12"/>
      <c r="V12" s="12"/>
      <c r="W12" s="33"/>
    </row>
    <row r="13" spans="2:23" x14ac:dyDescent="0.25">
      <c r="B13" t="s">
        <v>34</v>
      </c>
      <c r="C13" s="14">
        <v>0.09</v>
      </c>
    </row>
    <row r="14" spans="2:23" ht="15.75" thickBot="1" x14ac:dyDescent="0.3"/>
    <row r="15" spans="2:23" ht="15.75" thickBot="1" x14ac:dyDescent="0.3">
      <c r="S15" t="s">
        <v>58</v>
      </c>
      <c r="T15" s="66">
        <f>SUM(T21:T1000)</f>
        <v>103.13783685064504</v>
      </c>
      <c r="U15" s="8">
        <f>SUM(U21:U1000)</f>
        <v>2727.8586776859502</v>
      </c>
    </row>
    <row r="16" spans="2:23" x14ac:dyDescent="0.25">
      <c r="B16" s="1"/>
    </row>
    <row r="17" spans="1:22" ht="15.75" thickBot="1" x14ac:dyDescent="0.3"/>
    <row r="18" spans="1:22" ht="27" thickBot="1" x14ac:dyDescent="0.45">
      <c r="B18" s="42"/>
      <c r="C18" s="43"/>
      <c r="D18" s="45" t="s">
        <v>65</v>
      </c>
      <c r="E18" s="43"/>
      <c r="F18" s="43"/>
      <c r="G18" s="43"/>
      <c r="H18" s="44"/>
      <c r="I18" s="55"/>
      <c r="J18" s="56"/>
      <c r="K18" s="56"/>
      <c r="L18" s="56"/>
      <c r="M18" s="56"/>
      <c r="N18" s="54" t="s">
        <v>66</v>
      </c>
      <c r="O18" s="56"/>
      <c r="P18" s="56"/>
      <c r="Q18" s="56"/>
      <c r="R18" s="56"/>
      <c r="S18" s="56"/>
      <c r="T18" s="56"/>
      <c r="U18" s="56"/>
      <c r="V18" s="57"/>
    </row>
    <row r="19" spans="1:22" ht="76.5" x14ac:dyDescent="0.35">
      <c r="A19" s="1" t="s">
        <v>35</v>
      </c>
      <c r="B19" s="46" t="s">
        <v>36</v>
      </c>
      <c r="C19" s="47" t="s">
        <v>37</v>
      </c>
      <c r="D19" s="47" t="s">
        <v>38</v>
      </c>
      <c r="E19" s="47" t="s">
        <v>67</v>
      </c>
      <c r="F19" s="47" t="s">
        <v>40</v>
      </c>
      <c r="G19" s="47" t="s">
        <v>41</v>
      </c>
      <c r="H19" s="48" t="s">
        <v>42</v>
      </c>
      <c r="I19" s="58" t="s">
        <v>47</v>
      </c>
      <c r="J19" s="34" t="s">
        <v>48</v>
      </c>
      <c r="K19" s="34" t="s">
        <v>37</v>
      </c>
      <c r="L19" s="59" t="s">
        <v>49</v>
      </c>
      <c r="M19" s="47" t="s">
        <v>67</v>
      </c>
      <c r="N19" s="47" t="s">
        <v>41</v>
      </c>
      <c r="O19" s="47" t="s">
        <v>50</v>
      </c>
      <c r="P19" s="47" t="s">
        <v>51</v>
      </c>
      <c r="Q19" s="47" t="s">
        <v>52</v>
      </c>
      <c r="R19" s="47" t="s">
        <v>17</v>
      </c>
      <c r="S19" s="47" t="s">
        <v>53</v>
      </c>
      <c r="T19" s="47" t="s">
        <v>54</v>
      </c>
      <c r="U19" s="47" t="s">
        <v>55</v>
      </c>
      <c r="V19" s="48" t="s">
        <v>56</v>
      </c>
    </row>
    <row r="20" spans="1:22" x14ac:dyDescent="0.25">
      <c r="A20" s="1"/>
      <c r="B20" s="63"/>
      <c r="C20" s="5"/>
      <c r="D20" s="5"/>
      <c r="E20" s="5"/>
      <c r="F20" s="5"/>
      <c r="G20" s="5"/>
      <c r="H20" s="64"/>
      <c r="I20" s="36"/>
      <c r="J20" s="100"/>
      <c r="K20" s="100"/>
      <c r="L20" s="101"/>
      <c r="M20" s="102"/>
      <c r="N20" s="102"/>
      <c r="O20" s="102"/>
      <c r="P20" s="102"/>
      <c r="Q20" s="102"/>
      <c r="R20" s="102"/>
      <c r="S20" s="102"/>
      <c r="T20" s="102"/>
      <c r="U20" s="102"/>
      <c r="V20" s="64"/>
    </row>
    <row r="21" spans="1:22" x14ac:dyDescent="0.25">
      <c r="A21" s="1">
        <v>1</v>
      </c>
      <c r="B21" s="23">
        <f>$C$2*$C$6*(1-$C$8)</f>
        <v>760</v>
      </c>
      <c r="C21" s="8">
        <f>-$C$9</f>
        <v>0</v>
      </c>
      <c r="D21" s="12">
        <f>(H20+B21+C21)*(1+$C$13)</f>
        <v>828.40000000000009</v>
      </c>
      <c r="E21" s="8">
        <f>-$C$10*D21</f>
        <v>-6.2130000000000001</v>
      </c>
      <c r="F21" s="49">
        <f>$C$11</f>
        <v>0</v>
      </c>
      <c r="G21" s="8">
        <f>-MAX(0,F21*($C$3-D21-E21))</f>
        <v>0</v>
      </c>
      <c r="H21" s="50">
        <f>D21+E21+G21</f>
        <v>822.18700000000013</v>
      </c>
      <c r="I21" s="62">
        <f>$C$2-B21</f>
        <v>240</v>
      </c>
      <c r="J21" s="103">
        <f>-O6*C2</f>
        <v>-200</v>
      </c>
      <c r="K21" s="104">
        <f>-C21</f>
        <v>0</v>
      </c>
      <c r="L21" s="104">
        <f>$O$9*(I21+J21+K21)</f>
        <v>1.6</v>
      </c>
      <c r="M21" s="105">
        <f>-E21</f>
        <v>6.2130000000000001</v>
      </c>
      <c r="N21" s="104">
        <f>-G21</f>
        <v>0</v>
      </c>
      <c r="O21" s="106">
        <v>3.0000000000000001E-3</v>
      </c>
      <c r="P21" s="104">
        <f>-MAX(0,O21*($C$3-H21+M21))</f>
        <v>-3.5520779999999994</v>
      </c>
      <c r="Q21" s="104">
        <f>SUM(I21:N21)+P21</f>
        <v>44.260922000000001</v>
      </c>
      <c r="R21" s="107">
        <v>1</v>
      </c>
      <c r="S21" s="104">
        <f>Q21*R21</f>
        <v>44.260922000000001</v>
      </c>
      <c r="T21" s="104">
        <f>$S21/$P$11^$A21</f>
        <v>40.237201818181816</v>
      </c>
      <c r="U21" s="104">
        <f>$C$2*R21/$P$11^$A20</f>
        <v>1000</v>
      </c>
      <c r="V21" s="50">
        <f>SUM($T$21:T21)</f>
        <v>40.237201818181816</v>
      </c>
    </row>
    <row r="22" spans="1:22" ht="15.75" thickBot="1" x14ac:dyDescent="0.3">
      <c r="A22" s="1">
        <f>A21+1</f>
        <v>2</v>
      </c>
      <c r="B22" s="23">
        <f>$C$2*$C$7*(1-$C$8)</f>
        <v>959.5</v>
      </c>
      <c r="C22" s="8">
        <f t="shared" ref="C22:C23" si="0">-$C$9</f>
        <v>0</v>
      </c>
      <c r="D22" s="12">
        <f>(H21+B22+C22)*(1+$C$13)</f>
        <v>1942.0388300000002</v>
      </c>
      <c r="E22" s="8">
        <f t="shared" ref="E22:E23" si="1">-$C$10*D22</f>
        <v>-14.565291225000001</v>
      </c>
      <c r="F22" s="49">
        <f t="shared" ref="F22:F23" si="2">$C$11</f>
        <v>0</v>
      </c>
      <c r="G22" s="8">
        <f t="shared" ref="G22:G23" si="3">-MAX(0,F22*($C$3-D22-E22))</f>
        <v>0</v>
      </c>
      <c r="H22" s="50">
        <f t="shared" ref="H22:H23" si="4">D22+E22+G22</f>
        <v>1927.4735387750002</v>
      </c>
      <c r="I22" s="62">
        <f t="shared" ref="I22:I23" si="5">$C$2-B22</f>
        <v>40.5</v>
      </c>
      <c r="J22" s="103">
        <f>-$O$7*C2-O8</f>
        <v>-20</v>
      </c>
      <c r="K22" s="104">
        <f t="shared" ref="K22:K23" si="6">-C22</f>
        <v>0</v>
      </c>
      <c r="L22" s="104">
        <f t="shared" ref="L22:L23" si="7">$O$9*(I22+J22+K22)</f>
        <v>0.82000000000000006</v>
      </c>
      <c r="M22" s="105">
        <f t="shared" ref="M22:M23" si="8">-E22</f>
        <v>14.565291225000001</v>
      </c>
      <c r="N22" s="104">
        <f t="shared" ref="N22:N23" si="9">-G22</f>
        <v>0</v>
      </c>
      <c r="O22" s="106">
        <f>O21</f>
        <v>3.0000000000000001E-3</v>
      </c>
      <c r="P22" s="104">
        <f t="shared" ref="P22:P23" si="10">-MAX(0,O22*($C$3-H22+M22))</f>
        <v>-0.26127525734999946</v>
      </c>
      <c r="Q22" s="104">
        <f t="shared" ref="Q22:Q23" si="11">SUM(I22:N22)+P22</f>
        <v>35.624015967650003</v>
      </c>
      <c r="R22" s="107">
        <f>R21*(1-O21)</f>
        <v>0.997</v>
      </c>
      <c r="S22" s="104">
        <f t="shared" ref="S22:S23" si="12">Q22*R22</f>
        <v>35.517143919747056</v>
      </c>
      <c r="T22" s="104">
        <f t="shared" ref="T22:T23" si="13">$S22/$P$11^$A22</f>
        <v>29.353011503923181</v>
      </c>
      <c r="U22" s="104">
        <f t="shared" ref="U22:U23" si="14">$C$2*R22/$P$11^$A21</f>
        <v>906.36363636363626</v>
      </c>
      <c r="V22" s="50">
        <f>SUM($T$21:T22)</f>
        <v>69.590213322105001</v>
      </c>
    </row>
    <row r="23" spans="1:22" ht="15.75" thickBot="1" x14ac:dyDescent="0.3">
      <c r="A23" s="1">
        <f t="shared" ref="A23" si="15">A22+1</f>
        <v>3</v>
      </c>
      <c r="B23" s="24">
        <f t="shared" ref="B23" si="16">$C$2*$C$7*(1-$C$8)</f>
        <v>959.5</v>
      </c>
      <c r="C23" s="51">
        <f t="shared" si="0"/>
        <v>0</v>
      </c>
      <c r="D23" s="52">
        <f t="shared" ref="D23" si="17">(H22+B23+C23)*(1+$C$13)</f>
        <v>3146.8011572647506</v>
      </c>
      <c r="E23" s="51">
        <f t="shared" si="1"/>
        <v>-23.601008679485627</v>
      </c>
      <c r="F23" s="53">
        <f t="shared" si="2"/>
        <v>0</v>
      </c>
      <c r="G23" s="51">
        <f t="shared" si="3"/>
        <v>0</v>
      </c>
      <c r="H23" s="30">
        <f t="shared" si="4"/>
        <v>3123.2001485852652</v>
      </c>
      <c r="I23" s="67">
        <f t="shared" si="5"/>
        <v>40.5</v>
      </c>
      <c r="J23" s="60">
        <f>J22</f>
        <v>-20</v>
      </c>
      <c r="K23" s="51">
        <f t="shared" si="6"/>
        <v>0</v>
      </c>
      <c r="L23" s="51">
        <f t="shared" si="7"/>
        <v>0.82000000000000006</v>
      </c>
      <c r="M23" s="52">
        <f t="shared" si="8"/>
        <v>23.601008679485627</v>
      </c>
      <c r="N23" s="51">
        <f t="shared" si="9"/>
        <v>0</v>
      </c>
      <c r="O23" s="68">
        <f>O22</f>
        <v>3.0000000000000001E-3</v>
      </c>
      <c r="P23" s="51">
        <f t="shared" si="10"/>
        <v>0</v>
      </c>
      <c r="Q23" s="51">
        <f t="shared" si="11"/>
        <v>44.921008679485624</v>
      </c>
      <c r="R23" s="71">
        <f t="shared" ref="R23" si="18">R22*(1-O22)</f>
        <v>0.99400900000000003</v>
      </c>
      <c r="S23" s="51">
        <f t="shared" si="12"/>
        <v>44.651886916486824</v>
      </c>
      <c r="T23" s="51">
        <f t="shared" si="13"/>
        <v>33.547623528540051</v>
      </c>
      <c r="U23" s="51">
        <f t="shared" si="14"/>
        <v>821.49504132231391</v>
      </c>
      <c r="V23" s="61">
        <f>SUM($T$21:T23)</f>
        <v>103.13783685064504</v>
      </c>
    </row>
  </sheetData>
  <pageMargins left="0.70866141732283472" right="0.70866141732283472" top="0.74803149606299213" bottom="0.74803149606299213" header="0.31496062992125984" footer="0.31496062992125984"/>
  <pageSetup paperSize="9" scale="80" orientation="landscape" r:id="rId1"/>
  <ignoredErrors>
    <ignoredError sqref="L21:L23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24"/>
  <sheetViews>
    <sheetView workbookViewId="0">
      <selection activeCell="A12" sqref="A12"/>
    </sheetView>
  </sheetViews>
  <sheetFormatPr defaultRowHeight="15" x14ac:dyDescent="0.25"/>
  <cols>
    <col min="1" max="1" width="5.5703125" customWidth="1"/>
    <col min="2" max="2" width="27.42578125" customWidth="1"/>
    <col min="3" max="3" width="11.42578125" customWidth="1"/>
    <col min="5" max="5" width="14.5703125" customWidth="1"/>
    <col min="6" max="6" width="13.28515625" customWidth="1"/>
    <col min="7" max="7" width="12.85546875" customWidth="1"/>
    <col min="9" max="9" width="13.85546875" customWidth="1"/>
    <col min="10" max="10" width="11.28515625" customWidth="1"/>
    <col min="13" max="13" width="13" customWidth="1"/>
    <col min="14" max="14" width="22" customWidth="1"/>
    <col min="20" max="21" width="11.28515625" customWidth="1"/>
    <col min="22" max="22" width="11.42578125" customWidth="1"/>
    <col min="23" max="23" width="11.7109375" customWidth="1"/>
  </cols>
  <sheetData>
    <row r="2" spans="2:23" x14ac:dyDescent="0.25">
      <c r="B2" t="s">
        <v>25</v>
      </c>
      <c r="C2" s="7">
        <v>1000</v>
      </c>
    </row>
    <row r="3" spans="2:23" x14ac:dyDescent="0.25">
      <c r="B3" t="s">
        <v>44</v>
      </c>
      <c r="C3" s="7">
        <v>1500</v>
      </c>
    </row>
    <row r="4" spans="2:23" ht="15.75" thickBot="1" x14ac:dyDescent="0.3">
      <c r="C4" s="6"/>
    </row>
    <row r="5" spans="2:23" x14ac:dyDescent="0.25">
      <c r="B5" s="21" t="s">
        <v>26</v>
      </c>
      <c r="C5" s="22"/>
      <c r="N5" s="21" t="s">
        <v>59</v>
      </c>
      <c r="O5" s="34"/>
      <c r="P5" s="35"/>
    </row>
    <row r="6" spans="2:23" ht="30" x14ac:dyDescent="0.25">
      <c r="B6" s="23" t="s">
        <v>27</v>
      </c>
      <c r="C6" s="26">
        <v>0.5</v>
      </c>
      <c r="N6" s="36" t="s">
        <v>60</v>
      </c>
      <c r="O6" s="3">
        <v>0.4</v>
      </c>
      <c r="P6" s="37"/>
    </row>
    <row r="7" spans="2:23" ht="30.75" thickBot="1" x14ac:dyDescent="0.3">
      <c r="B7" s="23" t="s">
        <v>28</v>
      </c>
      <c r="C7" s="26">
        <v>1</v>
      </c>
      <c r="N7" s="36" t="s">
        <v>61</v>
      </c>
      <c r="O7" s="40">
        <v>0</v>
      </c>
      <c r="P7" s="37"/>
    </row>
    <row r="8" spans="2:23" ht="30" x14ac:dyDescent="0.25">
      <c r="B8" s="23" t="s">
        <v>29</v>
      </c>
      <c r="C8" s="26">
        <v>0.05</v>
      </c>
      <c r="N8" s="36" t="s">
        <v>62</v>
      </c>
      <c r="O8" s="7">
        <v>100</v>
      </c>
      <c r="P8" s="39" t="s">
        <v>63</v>
      </c>
      <c r="V8" s="32" t="s">
        <v>57</v>
      </c>
      <c r="W8" s="1"/>
    </row>
    <row r="9" spans="2:23" ht="15.75" thickBot="1" x14ac:dyDescent="0.3">
      <c r="B9" s="23" t="s">
        <v>30</v>
      </c>
      <c r="C9" s="27">
        <v>0</v>
      </c>
      <c r="N9" s="23" t="s">
        <v>49</v>
      </c>
      <c r="O9" s="3">
        <v>0.03</v>
      </c>
      <c r="P9" s="95">
        <f>1+O9</f>
        <v>1.03</v>
      </c>
      <c r="V9" s="69">
        <f>T15/U15</f>
        <v>1.7180531464924886E-2</v>
      </c>
      <c r="W9" s="38"/>
    </row>
    <row r="10" spans="2:23" x14ac:dyDescent="0.25">
      <c r="B10" s="23" t="s">
        <v>31</v>
      </c>
      <c r="C10" s="28">
        <v>5.0000000000000001E-3</v>
      </c>
      <c r="N10" s="23" t="s">
        <v>64</v>
      </c>
      <c r="O10" s="2" t="s">
        <v>33</v>
      </c>
      <c r="P10" s="37"/>
    </row>
    <row r="11" spans="2:23" ht="15.75" thickBot="1" x14ac:dyDescent="0.3">
      <c r="B11" s="24" t="s">
        <v>32</v>
      </c>
      <c r="C11" s="29">
        <v>0</v>
      </c>
      <c r="N11" s="24" t="s">
        <v>24</v>
      </c>
      <c r="O11" s="41">
        <v>0.1</v>
      </c>
      <c r="P11" s="94">
        <f>1+O11</f>
        <v>1.1000000000000001</v>
      </c>
    </row>
    <row r="12" spans="2:23" x14ac:dyDescent="0.25">
      <c r="U12" s="12"/>
      <c r="V12" s="12"/>
      <c r="W12" s="33"/>
    </row>
    <row r="13" spans="2:23" x14ac:dyDescent="0.25">
      <c r="B13" t="s">
        <v>34</v>
      </c>
      <c r="C13" s="14">
        <v>0.03</v>
      </c>
    </row>
    <row r="14" spans="2:23" ht="15.75" thickBot="1" x14ac:dyDescent="0.3"/>
    <row r="15" spans="2:23" ht="15.75" thickBot="1" x14ac:dyDescent="0.3">
      <c r="S15" t="s">
        <v>58</v>
      </c>
      <c r="T15" s="66">
        <f>SUM(T21:T1000)</f>
        <v>46.646761588913208</v>
      </c>
      <c r="U15" s="8">
        <f>SUM(U21:U1000)</f>
        <v>2715.0942148760328</v>
      </c>
    </row>
    <row r="16" spans="2:23" x14ac:dyDescent="0.25">
      <c r="B16" s="1"/>
    </row>
    <row r="17" spans="1:22" ht="15.75" thickBot="1" x14ac:dyDescent="0.3"/>
    <row r="18" spans="1:22" ht="27" thickBot="1" x14ac:dyDescent="0.45">
      <c r="B18" s="42"/>
      <c r="C18" s="43"/>
      <c r="D18" s="45" t="s">
        <v>65</v>
      </c>
      <c r="E18" s="43"/>
      <c r="F18" s="43"/>
      <c r="G18" s="43"/>
      <c r="H18" s="44"/>
      <c r="I18" s="55"/>
      <c r="J18" s="56"/>
      <c r="K18" s="56"/>
      <c r="L18" s="56"/>
      <c r="M18" s="56"/>
      <c r="N18" s="54" t="s">
        <v>66</v>
      </c>
      <c r="O18" s="56"/>
      <c r="P18" s="56"/>
      <c r="Q18" s="56"/>
      <c r="R18" s="56"/>
      <c r="S18" s="56"/>
      <c r="T18" s="56"/>
      <c r="U18" s="56"/>
      <c r="V18" s="57"/>
    </row>
    <row r="19" spans="1:22" ht="76.5" x14ac:dyDescent="0.35">
      <c r="A19" s="1" t="s">
        <v>35</v>
      </c>
      <c r="B19" s="46" t="s">
        <v>36</v>
      </c>
      <c r="C19" s="47" t="s">
        <v>37</v>
      </c>
      <c r="D19" s="47" t="s">
        <v>38</v>
      </c>
      <c r="E19" s="47" t="s">
        <v>67</v>
      </c>
      <c r="F19" s="47" t="s">
        <v>40</v>
      </c>
      <c r="G19" s="47" t="s">
        <v>41</v>
      </c>
      <c r="H19" s="48" t="s">
        <v>42</v>
      </c>
      <c r="I19" s="72" t="s">
        <v>47</v>
      </c>
      <c r="J19" s="73" t="s">
        <v>48</v>
      </c>
      <c r="K19" s="73" t="s">
        <v>37</v>
      </c>
      <c r="L19" s="74" t="s">
        <v>49</v>
      </c>
      <c r="M19" s="75" t="s">
        <v>67</v>
      </c>
      <c r="N19" s="75" t="s">
        <v>41</v>
      </c>
      <c r="O19" s="75" t="s">
        <v>50</v>
      </c>
      <c r="P19" s="75" t="s">
        <v>51</v>
      </c>
      <c r="Q19" s="75" t="s">
        <v>52</v>
      </c>
      <c r="R19" s="75" t="s">
        <v>68</v>
      </c>
      <c r="S19" s="75" t="s">
        <v>69</v>
      </c>
      <c r="T19" s="75" t="s">
        <v>70</v>
      </c>
      <c r="U19" s="75" t="s">
        <v>55</v>
      </c>
      <c r="V19" s="76" t="s">
        <v>71</v>
      </c>
    </row>
    <row r="20" spans="1:22" x14ac:dyDescent="0.25">
      <c r="A20" s="1"/>
      <c r="B20" s="63"/>
      <c r="C20" s="5"/>
      <c r="D20" s="5"/>
      <c r="E20" s="5"/>
      <c r="F20" s="5"/>
      <c r="G20" s="5"/>
      <c r="H20" s="64"/>
      <c r="I20" s="77"/>
      <c r="J20" s="78"/>
      <c r="K20" s="78"/>
      <c r="L20" s="79"/>
      <c r="M20" s="80"/>
      <c r="N20" s="80"/>
      <c r="O20" s="80"/>
      <c r="P20" s="80"/>
      <c r="Q20" s="80"/>
      <c r="R20" s="80"/>
      <c r="S20" s="80"/>
      <c r="T20" s="80"/>
      <c r="U20" s="80"/>
      <c r="V20" s="81"/>
    </row>
    <row r="21" spans="1:22" x14ac:dyDescent="0.25">
      <c r="A21" s="1">
        <v>1</v>
      </c>
      <c r="B21" s="23">
        <f>$C$2*$C$6*(1-$C$8)</f>
        <v>475</v>
      </c>
      <c r="C21" s="8">
        <f>-$C$9</f>
        <v>0</v>
      </c>
      <c r="D21" s="12">
        <f>(H20+B21+C21)*(1+$C$13)</f>
        <v>489.25</v>
      </c>
      <c r="E21" s="8">
        <f>-$C$10*D21</f>
        <v>-2.44625</v>
      </c>
      <c r="F21" s="49">
        <f>$C$11</f>
        <v>0</v>
      </c>
      <c r="G21" s="8">
        <f>-MAX(0,F21*($C$3-D21-E21))</f>
        <v>0</v>
      </c>
      <c r="H21" s="50">
        <f>D21+E21+G21</f>
        <v>486.80374999999998</v>
      </c>
      <c r="I21" s="82">
        <f>$C$2-B21</f>
        <v>525</v>
      </c>
      <c r="J21" s="83">
        <f>-O6*C2</f>
        <v>-400</v>
      </c>
      <c r="K21" s="84">
        <f>-C21</f>
        <v>0</v>
      </c>
      <c r="L21" s="84">
        <f>$O$9*(I21+J21+K21)</f>
        <v>3.75</v>
      </c>
      <c r="M21" s="85">
        <f>-E21</f>
        <v>2.44625</v>
      </c>
      <c r="N21" s="84">
        <f>-G21</f>
        <v>0</v>
      </c>
      <c r="O21" s="65">
        <v>8.0000000000000002E-3</v>
      </c>
      <c r="P21" s="84">
        <f>-MAX(0,O21*($C$3-H21+M21))</f>
        <v>-8.12514</v>
      </c>
      <c r="Q21" s="84">
        <f>SUM(I21:N21)+P21</f>
        <v>123.07110999999999</v>
      </c>
      <c r="R21" s="86">
        <v>1</v>
      </c>
      <c r="S21" s="84">
        <f>Q21*R21</f>
        <v>123.07110999999999</v>
      </c>
      <c r="T21" s="84">
        <f>$S21/$P$11^$A21</f>
        <v>111.88282727272725</v>
      </c>
      <c r="U21" s="104">
        <f>$C$2*R21/$P$11^$A20</f>
        <v>1000</v>
      </c>
      <c r="V21" s="87">
        <f>SUM($T$21:T21)</f>
        <v>111.88282727272725</v>
      </c>
    </row>
    <row r="22" spans="1:22" ht="15.75" thickBot="1" x14ac:dyDescent="0.3">
      <c r="A22" s="1">
        <f>A21+1</f>
        <v>2</v>
      </c>
      <c r="B22" s="23">
        <f>$C$2*$C$7*(1-$C$8)</f>
        <v>950</v>
      </c>
      <c r="C22" s="8">
        <f t="shared" ref="C22:C23" si="0">-$C$9</f>
        <v>0</v>
      </c>
      <c r="D22" s="12">
        <f>(H21+B22+C22)*(1+$C$13)</f>
        <v>1479.9078625</v>
      </c>
      <c r="E22" s="8">
        <f t="shared" ref="E22:E23" si="1">-$C$10*D22</f>
        <v>-7.3995393125</v>
      </c>
      <c r="F22" s="49">
        <f t="shared" ref="F22:F23" si="2">$C$11</f>
        <v>0</v>
      </c>
      <c r="G22" s="8">
        <f t="shared" ref="G22:G23" si="3">-MAX(0,F22*($C$3-D22-E22))</f>
        <v>0</v>
      </c>
      <c r="H22" s="50">
        <f t="shared" ref="H22:H23" si="4">D22+E22+G22</f>
        <v>1472.5083231874999</v>
      </c>
      <c r="I22" s="82">
        <f t="shared" ref="I22:I23" si="5">$C$2-B22</f>
        <v>50</v>
      </c>
      <c r="J22" s="83">
        <f>-$O$7*C2-O8</f>
        <v>-100</v>
      </c>
      <c r="K22" s="84">
        <f t="shared" ref="K22:K23" si="6">-C22</f>
        <v>0</v>
      </c>
      <c r="L22" s="84">
        <f t="shared" ref="L22:L23" si="7">$O$9*(I22+J22+K22)</f>
        <v>-1.5</v>
      </c>
      <c r="M22" s="85">
        <f t="shared" ref="M22:M23" si="8">-E22</f>
        <v>7.3995393125</v>
      </c>
      <c r="N22" s="84">
        <f t="shared" ref="N22:N23" si="9">-G22</f>
        <v>0</v>
      </c>
      <c r="O22" s="65">
        <f>O21</f>
        <v>8.0000000000000002E-3</v>
      </c>
      <c r="P22" s="84">
        <f>-MAX(0,O22*($C$3-H22+M22))</f>
        <v>-0.27912972900000116</v>
      </c>
      <c r="Q22" s="84">
        <f t="shared" ref="Q22:Q23" si="10">SUM(I22:N22)+P22</f>
        <v>-44.379590416500008</v>
      </c>
      <c r="R22" s="86">
        <f>R21*(1-O21)</f>
        <v>0.99199999999999999</v>
      </c>
      <c r="S22" s="84">
        <f t="shared" ref="S22:S23" si="11">Q22*R22</f>
        <v>-44.024553693168009</v>
      </c>
      <c r="T22" s="84">
        <f t="shared" ref="T22:T23" si="12">$S22/$P$11^$A22</f>
        <v>-36.383928672039673</v>
      </c>
      <c r="U22" s="104">
        <f t="shared" ref="U22:U23" si="13">$C$2*R22/$P$11^$A21</f>
        <v>901.81818181818176</v>
      </c>
      <c r="V22" s="87">
        <f>SUM($T$21:T22)</f>
        <v>75.498898600687582</v>
      </c>
    </row>
    <row r="23" spans="1:22" ht="15.75" thickBot="1" x14ac:dyDescent="0.3">
      <c r="A23" s="1">
        <f t="shared" ref="A23" si="14">A22+1</f>
        <v>3</v>
      </c>
      <c r="B23" s="24">
        <f t="shared" ref="B23" si="15">$C$2*$C$7*(1-$C$8)</f>
        <v>950</v>
      </c>
      <c r="C23" s="51">
        <f t="shared" si="0"/>
        <v>0</v>
      </c>
      <c r="D23" s="52">
        <f t="shared" ref="D23" si="16">(H22+B23+C23)*(1+$C$13)</f>
        <v>2495.1835728831247</v>
      </c>
      <c r="E23" s="51">
        <f t="shared" si="1"/>
        <v>-12.475917864415624</v>
      </c>
      <c r="F23" s="53">
        <f t="shared" si="2"/>
        <v>0</v>
      </c>
      <c r="G23" s="51">
        <f t="shared" si="3"/>
        <v>0</v>
      </c>
      <c r="H23" s="30">
        <f t="shared" si="4"/>
        <v>2482.7076550187089</v>
      </c>
      <c r="I23" s="88">
        <f t="shared" si="5"/>
        <v>50</v>
      </c>
      <c r="J23" s="89">
        <f>J22</f>
        <v>-100</v>
      </c>
      <c r="K23" s="90">
        <f t="shared" si="6"/>
        <v>0</v>
      </c>
      <c r="L23" s="90">
        <f t="shared" si="7"/>
        <v>-1.5</v>
      </c>
      <c r="M23" s="91">
        <f t="shared" si="8"/>
        <v>12.475917864415624</v>
      </c>
      <c r="N23" s="90">
        <f t="shared" si="9"/>
        <v>0</v>
      </c>
      <c r="O23" s="68">
        <f>O22</f>
        <v>8.0000000000000002E-3</v>
      </c>
      <c r="P23" s="90">
        <f>-MAX(0,O23*($C$3-H23+M23))</f>
        <v>0</v>
      </c>
      <c r="Q23" s="90">
        <f t="shared" si="10"/>
        <v>-39.024082135584379</v>
      </c>
      <c r="R23" s="92">
        <f t="shared" ref="R23:R24" si="17">R22*(1-O22)</f>
        <v>0.98406399999999994</v>
      </c>
      <c r="S23" s="90">
        <f t="shared" si="11"/>
        <v>-38.402194362671707</v>
      </c>
      <c r="T23" s="90">
        <f t="shared" si="12"/>
        <v>-28.852137011774378</v>
      </c>
      <c r="U23" s="51">
        <f t="shared" si="13"/>
        <v>813.27603305785112</v>
      </c>
      <c r="V23" s="93">
        <f>SUM($T$21:T23)</f>
        <v>46.646761588913208</v>
      </c>
    </row>
    <row r="24" spans="1:22" x14ac:dyDescent="0.25">
      <c r="R24" s="86">
        <f t="shared" si="17"/>
        <v>0.97619148799999989</v>
      </c>
    </row>
  </sheetData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F9"/>
  <sheetViews>
    <sheetView workbookViewId="0">
      <selection activeCell="C14" sqref="C14"/>
    </sheetView>
  </sheetViews>
  <sheetFormatPr defaultRowHeight="15" x14ac:dyDescent="0.25"/>
  <cols>
    <col min="5" max="5" width="10.5703125" bestFit="1" customWidth="1"/>
  </cols>
  <sheetData>
    <row r="4" spans="2:6" ht="63" x14ac:dyDescent="0.25">
      <c r="B4" s="1" t="s">
        <v>35</v>
      </c>
      <c r="C4" s="80" t="s">
        <v>72</v>
      </c>
      <c r="D4" s="80" t="s">
        <v>73</v>
      </c>
      <c r="E4" s="80" t="s">
        <v>74</v>
      </c>
      <c r="F4" s="80" t="s">
        <v>75</v>
      </c>
    </row>
    <row r="5" spans="2:6" ht="15.75" thickBot="1" x14ac:dyDescent="0.3">
      <c r="B5" s="1"/>
      <c r="C5" s="80"/>
    </row>
    <row r="6" spans="2:6" ht="15.75" thickBot="1" x14ac:dyDescent="0.3">
      <c r="B6" s="1">
        <v>1</v>
      </c>
      <c r="C6" s="84">
        <f>Q6a!S21</f>
        <v>123.07110999999999</v>
      </c>
      <c r="D6" s="70">
        <f>1/Q6a!$P$9^B5</f>
        <v>1</v>
      </c>
      <c r="E6" s="12">
        <f>C6*D6</f>
        <v>123.07110999999999</v>
      </c>
      <c r="F6" s="96">
        <f>SUM(E6:E8)</f>
        <v>44.131073552988248</v>
      </c>
    </row>
    <row r="7" spans="2:6" x14ac:dyDescent="0.25">
      <c r="B7" s="1">
        <f>B6+1</f>
        <v>2</v>
      </c>
      <c r="C7" s="84">
        <f>Q6a!S22</f>
        <v>-44.024553693168009</v>
      </c>
      <c r="D7" s="70">
        <f>1/Q6a!$P$9^B6</f>
        <v>0.970873786407767</v>
      </c>
      <c r="E7" s="12">
        <f t="shared" ref="E7:E8" si="0">C7*D7</f>
        <v>-42.742285138998071</v>
      </c>
    </row>
    <row r="8" spans="2:6" x14ac:dyDescent="0.25">
      <c r="B8" s="1">
        <f t="shared" ref="B8" si="1">B7+1</f>
        <v>3</v>
      </c>
      <c r="C8" s="84">
        <f>Q6a!S23</f>
        <v>-38.402194362671707</v>
      </c>
      <c r="D8" s="70">
        <f>1/Q6a!$P$9^B7</f>
        <v>0.94259590913375435</v>
      </c>
      <c r="E8" s="12">
        <f t="shared" si="0"/>
        <v>-36.197751308013672</v>
      </c>
    </row>
    <row r="9" spans="2:6" x14ac:dyDescent="0.25">
      <c r="B9" s="1"/>
      <c r="D9" s="70"/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1"/>
  <sheetViews>
    <sheetView topLeftCell="A4" workbookViewId="0">
      <selection activeCell="A9" sqref="A9"/>
    </sheetView>
  </sheetViews>
  <sheetFormatPr defaultRowHeight="15" x14ac:dyDescent="0.25"/>
  <cols>
    <col min="1" max="1" width="5.5703125" customWidth="1"/>
    <col min="2" max="2" width="27.42578125" customWidth="1"/>
    <col min="3" max="3" width="11.42578125" customWidth="1"/>
    <col min="5" max="5" width="14.5703125" customWidth="1"/>
    <col min="6" max="6" width="13.28515625" customWidth="1"/>
    <col min="7" max="7" width="12.85546875" customWidth="1"/>
    <col min="9" max="9" width="13.85546875" customWidth="1"/>
    <col min="10" max="10" width="11.28515625" customWidth="1"/>
    <col min="13" max="13" width="13.42578125" customWidth="1"/>
    <col min="14" max="14" width="22" customWidth="1"/>
    <col min="20" max="21" width="11.28515625" customWidth="1"/>
    <col min="22" max="22" width="11.42578125" customWidth="1"/>
    <col min="23" max="23" width="11.7109375" customWidth="1"/>
  </cols>
  <sheetData>
    <row r="2" spans="2:23" x14ac:dyDescent="0.25">
      <c r="B2" t="s">
        <v>25</v>
      </c>
      <c r="C2" s="7">
        <v>1000</v>
      </c>
    </row>
    <row r="3" spans="2:23" x14ac:dyDescent="0.25">
      <c r="B3" t="s">
        <v>44</v>
      </c>
      <c r="C3" s="7">
        <v>0</v>
      </c>
    </row>
    <row r="4" spans="2:23" ht="15.75" thickBot="1" x14ac:dyDescent="0.3">
      <c r="C4" s="6"/>
    </row>
    <row r="5" spans="2:23" x14ac:dyDescent="0.25">
      <c r="B5" s="21" t="s">
        <v>26</v>
      </c>
      <c r="C5" s="22"/>
      <c r="N5" s="21" t="s">
        <v>59</v>
      </c>
      <c r="O5" s="34"/>
      <c r="P5" s="35"/>
    </row>
    <row r="6" spans="2:23" ht="30" x14ac:dyDescent="0.25">
      <c r="B6" s="23" t="s">
        <v>27</v>
      </c>
      <c r="C6" s="26">
        <v>1</v>
      </c>
      <c r="N6" s="36" t="s">
        <v>60</v>
      </c>
      <c r="O6" s="3">
        <v>0.1</v>
      </c>
      <c r="P6" s="37"/>
    </row>
    <row r="7" spans="2:23" ht="30.75" thickBot="1" x14ac:dyDescent="0.3">
      <c r="B7" s="23" t="s">
        <v>28</v>
      </c>
      <c r="C7" s="26">
        <v>1</v>
      </c>
      <c r="N7" s="36" t="s">
        <v>61</v>
      </c>
      <c r="O7" s="40">
        <v>0</v>
      </c>
      <c r="P7" s="37"/>
    </row>
    <row r="8" spans="2:23" ht="30" x14ac:dyDescent="0.25">
      <c r="B8" s="23" t="s">
        <v>29</v>
      </c>
      <c r="C8" s="26">
        <v>0</v>
      </c>
      <c r="N8" s="36" t="s">
        <v>62</v>
      </c>
      <c r="O8" s="7">
        <v>10</v>
      </c>
      <c r="P8" s="39" t="s">
        <v>63</v>
      </c>
      <c r="V8" s="32" t="s">
        <v>57</v>
      </c>
      <c r="W8" s="1"/>
    </row>
    <row r="9" spans="2:23" ht="15.75" thickBot="1" x14ac:dyDescent="0.3">
      <c r="B9" s="23" t="s">
        <v>30</v>
      </c>
      <c r="C9" s="27">
        <v>0</v>
      </c>
      <c r="N9" s="23" t="s">
        <v>49</v>
      </c>
      <c r="O9" s="3">
        <v>0.04</v>
      </c>
      <c r="P9" s="95">
        <f>1+O9</f>
        <v>1.04</v>
      </c>
      <c r="V9" s="69">
        <f>T15/U15</f>
        <v>2.121199533095303E-2</v>
      </c>
      <c r="W9" s="38"/>
    </row>
    <row r="10" spans="2:23" ht="15.75" thickBot="1" x14ac:dyDescent="0.3">
      <c r="B10" s="23" t="s">
        <v>79</v>
      </c>
      <c r="C10" s="98">
        <v>0.05</v>
      </c>
      <c r="D10" s="97">
        <v>0.01</v>
      </c>
      <c r="N10" s="23" t="s">
        <v>64</v>
      </c>
      <c r="O10" s="2" t="s">
        <v>33</v>
      </c>
      <c r="P10" s="37"/>
    </row>
    <row r="11" spans="2:23" ht="15.75" thickBot="1" x14ac:dyDescent="0.3">
      <c r="B11" s="24" t="s">
        <v>32</v>
      </c>
      <c r="C11" s="29">
        <v>0</v>
      </c>
      <c r="N11" s="24" t="s">
        <v>24</v>
      </c>
      <c r="O11" s="41">
        <v>0.1</v>
      </c>
      <c r="P11" s="94">
        <f>1+O11</f>
        <v>1.1000000000000001</v>
      </c>
    </row>
    <row r="12" spans="2:23" x14ac:dyDescent="0.25">
      <c r="N12" t="s">
        <v>80</v>
      </c>
      <c r="U12" s="12"/>
      <c r="V12" s="12"/>
      <c r="W12" s="33"/>
    </row>
    <row r="13" spans="2:23" x14ac:dyDescent="0.25">
      <c r="B13" t="s">
        <v>34</v>
      </c>
      <c r="C13" s="14">
        <v>0.1</v>
      </c>
    </row>
    <row r="14" spans="2:23" ht="15.75" thickBot="1" x14ac:dyDescent="0.3"/>
    <row r="15" spans="2:23" ht="15.75" thickBot="1" x14ac:dyDescent="0.3">
      <c r="S15" t="s">
        <v>58</v>
      </c>
      <c r="T15" s="66">
        <f>SUM(T21:T1000)</f>
        <v>58.026202103681428</v>
      </c>
      <c r="U15" s="8">
        <f>SUM(U21:U1000)</f>
        <v>2735.5371900826444</v>
      </c>
    </row>
    <row r="16" spans="2:23" x14ac:dyDescent="0.25">
      <c r="B16" s="1"/>
    </row>
    <row r="17" spans="1:22" ht="15.75" thickBot="1" x14ac:dyDescent="0.3"/>
    <row r="18" spans="1:22" ht="27" thickBot="1" x14ac:dyDescent="0.45">
      <c r="B18" s="42"/>
      <c r="C18" s="45" t="s">
        <v>76</v>
      </c>
      <c r="D18" s="45"/>
      <c r="E18" s="43"/>
      <c r="F18" s="43"/>
      <c r="G18" s="43"/>
      <c r="H18" s="44"/>
      <c r="I18" s="55"/>
      <c r="J18" s="56"/>
      <c r="K18" s="56"/>
      <c r="L18" s="56"/>
      <c r="M18" s="56"/>
      <c r="N18" s="54" t="s">
        <v>66</v>
      </c>
      <c r="O18" s="56"/>
      <c r="P18" s="56"/>
      <c r="Q18" s="56"/>
      <c r="R18" s="56"/>
      <c r="S18" s="56"/>
      <c r="T18" s="56"/>
      <c r="U18" s="56"/>
      <c r="V18" s="57"/>
    </row>
    <row r="19" spans="1:22" ht="76.5" x14ac:dyDescent="0.35">
      <c r="A19" s="1" t="s">
        <v>35</v>
      </c>
      <c r="B19" s="46" t="s">
        <v>36</v>
      </c>
      <c r="C19" s="47" t="s">
        <v>37</v>
      </c>
      <c r="D19" s="47" t="s">
        <v>38</v>
      </c>
      <c r="E19" s="47" t="s">
        <v>67</v>
      </c>
      <c r="F19" s="47" t="s">
        <v>40</v>
      </c>
      <c r="G19" s="47" t="s">
        <v>41</v>
      </c>
      <c r="H19" s="48" t="s">
        <v>42</v>
      </c>
      <c r="I19" s="72" t="s">
        <v>47</v>
      </c>
      <c r="J19" s="73" t="s">
        <v>48</v>
      </c>
      <c r="K19" s="73" t="s">
        <v>37</v>
      </c>
      <c r="L19" s="74" t="s">
        <v>49</v>
      </c>
      <c r="M19" s="75" t="s">
        <v>81</v>
      </c>
      <c r="N19" s="75" t="s">
        <v>41</v>
      </c>
      <c r="O19" s="75" t="s">
        <v>50</v>
      </c>
      <c r="P19" s="75" t="s">
        <v>51</v>
      </c>
      <c r="Q19" s="75" t="s">
        <v>52</v>
      </c>
      <c r="R19" s="75" t="s">
        <v>68</v>
      </c>
      <c r="S19" s="75" t="s">
        <v>69</v>
      </c>
      <c r="T19" s="75" t="s">
        <v>70</v>
      </c>
      <c r="U19" s="75" t="s">
        <v>55</v>
      </c>
      <c r="V19" s="76" t="s">
        <v>71</v>
      </c>
    </row>
    <row r="20" spans="1:22" x14ac:dyDescent="0.25">
      <c r="A20" s="1"/>
      <c r="B20" s="63"/>
      <c r="C20" s="5"/>
      <c r="D20" s="5"/>
      <c r="E20" s="5"/>
      <c r="F20" s="5"/>
      <c r="G20" s="5"/>
      <c r="H20" s="64"/>
      <c r="I20" s="77"/>
      <c r="J20" s="78"/>
      <c r="K20" s="78"/>
      <c r="L20" s="79"/>
      <c r="M20" s="80"/>
      <c r="N20" s="80"/>
      <c r="O20" s="80"/>
      <c r="P20" s="80"/>
      <c r="Q20" s="80"/>
      <c r="R20" s="80"/>
      <c r="S20" s="80"/>
      <c r="T20" s="80"/>
      <c r="U20" s="80"/>
      <c r="V20" s="81"/>
    </row>
    <row r="21" spans="1:22" x14ac:dyDescent="0.25">
      <c r="A21" s="1">
        <v>1</v>
      </c>
      <c r="B21" s="23">
        <f>$C$2*$C$6*(1-$C$8)</f>
        <v>1000</v>
      </c>
      <c r="C21" s="8">
        <f>-$C$9</f>
        <v>0</v>
      </c>
      <c r="D21" s="12">
        <f>(H20+B21+C21)*(1+$C$13)</f>
        <v>1100</v>
      </c>
      <c r="E21" s="8">
        <f>-$C$10*D21</f>
        <v>-55</v>
      </c>
      <c r="F21" s="49">
        <f>$C$11</f>
        <v>0</v>
      </c>
      <c r="G21" s="8">
        <f>-MAX(0,F21*($C$3-D21-E21))</f>
        <v>0</v>
      </c>
      <c r="H21" s="50">
        <f>D21+E21+G21</f>
        <v>1045</v>
      </c>
      <c r="I21" s="82">
        <f>C$2-B21-B27</f>
        <v>0</v>
      </c>
      <c r="J21" s="83">
        <f>-O6*C2</f>
        <v>-100</v>
      </c>
      <c r="K21" s="84">
        <f>-C21</f>
        <v>0</v>
      </c>
      <c r="L21" s="84">
        <f>$O$9*(I21+J21+K21)</f>
        <v>-4</v>
      </c>
      <c r="M21" s="85">
        <f>-E21-E27</f>
        <v>55</v>
      </c>
      <c r="N21" s="84">
        <f>-G21</f>
        <v>0</v>
      </c>
      <c r="O21" s="65">
        <v>0</v>
      </c>
      <c r="P21" s="84">
        <f>-MAX(0,O21*($C$3-H21+M21))</f>
        <v>0</v>
      </c>
      <c r="Q21" s="84">
        <f>SUM(I21:N21)+P21</f>
        <v>-49</v>
      </c>
      <c r="R21" s="86">
        <v>1</v>
      </c>
      <c r="S21" s="84">
        <f>Q21*R21</f>
        <v>-49</v>
      </c>
      <c r="T21" s="84">
        <f>$S21/$P$11^$A21</f>
        <v>-44.54545454545454</v>
      </c>
      <c r="U21" s="104">
        <f>$C$2*R21/$P$11^$A20</f>
        <v>1000</v>
      </c>
      <c r="V21" s="87">
        <f>SUM($T$21:T21)</f>
        <v>-44.54545454545454</v>
      </c>
    </row>
    <row r="22" spans="1:22" ht="15.75" thickBot="1" x14ac:dyDescent="0.3">
      <c r="A22" s="1">
        <f>A21+1</f>
        <v>2</v>
      </c>
      <c r="B22" s="23">
        <v>0</v>
      </c>
      <c r="C22" s="8">
        <f t="shared" ref="C22:C23" si="0">-$C$9</f>
        <v>0</v>
      </c>
      <c r="D22" s="12">
        <f>(H21+B22+C22)*(1+$C$13)</f>
        <v>1149.5</v>
      </c>
      <c r="E22" s="8">
        <f t="shared" ref="E22:E23" si="1">-$C$10*D22</f>
        <v>-57.475000000000001</v>
      </c>
      <c r="F22" s="49">
        <f t="shared" ref="F22:F23" si="2">$C$11</f>
        <v>0</v>
      </c>
      <c r="G22" s="8">
        <f t="shared" ref="G22:G23" si="3">-MAX(0,F22*($C$3-D22-E22))</f>
        <v>0</v>
      </c>
      <c r="H22" s="50">
        <f t="shared" ref="H22:H23" si="4">D22+E22+G22</f>
        <v>1092.0250000000001</v>
      </c>
      <c r="I22" s="82">
        <f t="shared" ref="I22:I23" si="5">C$2-B22-B28</f>
        <v>0</v>
      </c>
      <c r="J22" s="83">
        <f>-$O$7*C2-O8</f>
        <v>-10</v>
      </c>
      <c r="K22" s="84">
        <f t="shared" ref="K22:K23" si="6">-C22</f>
        <v>0</v>
      </c>
      <c r="L22" s="84">
        <f t="shared" ref="L22:L23" si="7">$O$9*(I22+J22+K22)</f>
        <v>-0.4</v>
      </c>
      <c r="M22" s="85">
        <f t="shared" ref="M22:M23" si="8">-E22-E28</f>
        <v>68.474999999999994</v>
      </c>
      <c r="N22" s="84">
        <f t="shared" ref="N22:N23" si="9">-G22</f>
        <v>0</v>
      </c>
      <c r="O22" s="65">
        <f>O21</f>
        <v>0</v>
      </c>
      <c r="P22" s="84">
        <f>-MAX(0,O22*($C$3-H22+M22))</f>
        <v>0</v>
      </c>
      <c r="Q22" s="84">
        <f t="shared" ref="Q22:Q23" si="10">SUM(I22:N22)+P22</f>
        <v>58.074999999999996</v>
      </c>
      <c r="R22" s="86">
        <f>R21*(1-O21)</f>
        <v>1</v>
      </c>
      <c r="S22" s="84">
        <f t="shared" ref="S22:S23" si="11">Q22*R22</f>
        <v>58.074999999999996</v>
      </c>
      <c r="T22" s="84">
        <f t="shared" ref="T22:T23" si="12">$S22/$P$11^$A22</f>
        <v>47.995867768595033</v>
      </c>
      <c r="U22" s="104">
        <f t="shared" ref="U22:U23" si="13">$C$2*R22/$P$11^$A21</f>
        <v>909.09090909090901</v>
      </c>
      <c r="V22" s="87">
        <f>SUM($T$21:T22)</f>
        <v>3.4504132231404938</v>
      </c>
    </row>
    <row r="23" spans="1:22" ht="15.75" thickBot="1" x14ac:dyDescent="0.3">
      <c r="A23" s="1">
        <f t="shared" ref="A23" si="14">A22+1</f>
        <v>3</v>
      </c>
      <c r="B23" s="24">
        <v>0</v>
      </c>
      <c r="C23" s="51">
        <f t="shared" si="0"/>
        <v>0</v>
      </c>
      <c r="D23" s="52">
        <f t="shared" ref="D23" si="15">(H22+B23+C23)*(1+$C$13)</f>
        <v>1201.2275000000002</v>
      </c>
      <c r="E23" s="51">
        <f t="shared" si="1"/>
        <v>-60.061375000000012</v>
      </c>
      <c r="F23" s="53">
        <f t="shared" si="2"/>
        <v>0</v>
      </c>
      <c r="G23" s="51">
        <f t="shared" si="3"/>
        <v>0</v>
      </c>
      <c r="H23" s="30">
        <f t="shared" si="4"/>
        <v>1141.1661250000002</v>
      </c>
      <c r="I23" s="88">
        <f t="shared" si="5"/>
        <v>0</v>
      </c>
      <c r="J23" s="89">
        <f>J22</f>
        <v>-10</v>
      </c>
      <c r="K23" s="90">
        <f t="shared" si="6"/>
        <v>0</v>
      </c>
      <c r="L23" s="90">
        <f t="shared" si="7"/>
        <v>-0.4</v>
      </c>
      <c r="M23" s="91">
        <f t="shared" si="8"/>
        <v>83.040375000000012</v>
      </c>
      <c r="N23" s="90">
        <f t="shared" si="9"/>
        <v>0</v>
      </c>
      <c r="O23" s="68">
        <f>O22</f>
        <v>0</v>
      </c>
      <c r="P23" s="90">
        <f>-MAX(0,O23*($C$3-H23+M23))</f>
        <v>0</v>
      </c>
      <c r="Q23" s="90">
        <f t="shared" si="10"/>
        <v>72.640375000000006</v>
      </c>
      <c r="R23" s="92">
        <f t="shared" ref="R23:R24" si="16">R22*(1-O22)</f>
        <v>1</v>
      </c>
      <c r="S23" s="90">
        <f t="shared" si="11"/>
        <v>72.640375000000006</v>
      </c>
      <c r="T23" s="90">
        <f t="shared" si="12"/>
        <v>54.575788880540934</v>
      </c>
      <c r="U23" s="51">
        <f t="shared" si="13"/>
        <v>826.44628099173542</v>
      </c>
      <c r="V23" s="93">
        <f>SUM($T$21:T23)</f>
        <v>58.026202103681428</v>
      </c>
    </row>
    <row r="24" spans="1:22" ht="27" thickBot="1" x14ac:dyDescent="0.45">
      <c r="B24" s="42"/>
      <c r="C24" s="45" t="s">
        <v>77</v>
      </c>
      <c r="D24" s="45"/>
      <c r="E24" s="43"/>
      <c r="F24" s="43"/>
      <c r="G24" s="43"/>
      <c r="H24" s="44"/>
      <c r="R24" s="86">
        <f t="shared" si="16"/>
        <v>1</v>
      </c>
    </row>
    <row r="25" spans="1:22" ht="75" x14ac:dyDescent="0.25">
      <c r="A25" s="1" t="s">
        <v>35</v>
      </c>
      <c r="B25" s="46" t="s">
        <v>36</v>
      </c>
      <c r="C25" s="47" t="s">
        <v>37</v>
      </c>
      <c r="D25" s="47" t="s">
        <v>38</v>
      </c>
      <c r="E25" s="47" t="s">
        <v>67</v>
      </c>
      <c r="F25" s="47" t="s">
        <v>40</v>
      </c>
      <c r="G25" s="47" t="s">
        <v>41</v>
      </c>
      <c r="H25" s="48" t="s">
        <v>42</v>
      </c>
      <c r="M25" s="31" t="s">
        <v>82</v>
      </c>
    </row>
    <row r="26" spans="1:22" x14ac:dyDescent="0.25">
      <c r="A26" s="1"/>
      <c r="B26" s="63"/>
      <c r="C26" s="5"/>
      <c r="D26" s="5"/>
      <c r="E26" s="5"/>
      <c r="F26" s="5"/>
      <c r="G26" s="5"/>
      <c r="H26" s="64"/>
    </row>
    <row r="27" spans="1:22" x14ac:dyDescent="0.25">
      <c r="A27" s="1">
        <v>1</v>
      </c>
      <c r="B27" s="23">
        <v>0</v>
      </c>
      <c r="C27" s="8">
        <f>-$C$9</f>
        <v>0</v>
      </c>
      <c r="D27" s="12">
        <f>(H26+B27+C27)*(1+$C$13)</f>
        <v>0</v>
      </c>
      <c r="E27" s="8">
        <f>-$D$10*D27</f>
        <v>0</v>
      </c>
      <c r="F27" s="49">
        <f>$C$11</f>
        <v>0</v>
      </c>
      <c r="G27" s="8">
        <f>-MAX(0,F27*($C$3-D27-E27))</f>
        <v>0</v>
      </c>
      <c r="H27" s="50">
        <f>D27+E27+G27</f>
        <v>0</v>
      </c>
    </row>
    <row r="28" spans="1:22" ht="15.75" thickBot="1" x14ac:dyDescent="0.3">
      <c r="A28" s="1">
        <f>A27+1</f>
        <v>2</v>
      </c>
      <c r="B28" s="23">
        <f>$C$2*$C$6*(1-$C$8)</f>
        <v>1000</v>
      </c>
      <c r="C28" s="8">
        <f t="shared" ref="C28:C29" si="17">-$C$9</f>
        <v>0</v>
      </c>
      <c r="D28" s="12">
        <f>(H27+B28+C28)*(1+$C$13)</f>
        <v>1100</v>
      </c>
      <c r="E28" s="8">
        <f t="shared" ref="E28:E29" si="18">-$D$10*D28</f>
        <v>-11</v>
      </c>
      <c r="F28" s="49">
        <f t="shared" ref="F28:F29" si="19">$C$11</f>
        <v>0</v>
      </c>
      <c r="G28" s="8">
        <f t="shared" ref="G28:G29" si="20">-MAX(0,F28*($C$3-D28-E28))</f>
        <v>0</v>
      </c>
      <c r="H28" s="50">
        <f t="shared" ref="H28:H29" si="21">D28+E28+G28</f>
        <v>1089</v>
      </c>
    </row>
    <row r="29" spans="1:22" ht="15.75" thickBot="1" x14ac:dyDescent="0.3">
      <c r="A29" s="1">
        <f t="shared" ref="A29" si="22">A28+1</f>
        <v>3</v>
      </c>
      <c r="B29" s="24">
        <f>$C$2*$C$6*(1-$C$8)</f>
        <v>1000</v>
      </c>
      <c r="C29" s="51">
        <f t="shared" si="17"/>
        <v>0</v>
      </c>
      <c r="D29" s="52">
        <f t="shared" ref="D29" si="23">(H28+B29+C29)*(1+$C$13)</f>
        <v>2297.9</v>
      </c>
      <c r="E29" s="51">
        <f t="shared" si="18"/>
        <v>-22.979000000000003</v>
      </c>
      <c r="F29" s="53">
        <f t="shared" si="19"/>
        <v>0</v>
      </c>
      <c r="G29" s="51">
        <f t="shared" si="20"/>
        <v>0</v>
      </c>
      <c r="H29" s="30">
        <f t="shared" si="21"/>
        <v>2274.9210000000003</v>
      </c>
    </row>
    <row r="30" spans="1:22" ht="15.75" thickBot="1" x14ac:dyDescent="0.3"/>
    <row r="31" spans="1:22" ht="15.75" thickBot="1" x14ac:dyDescent="0.3">
      <c r="F31" t="s">
        <v>78</v>
      </c>
      <c r="H31" s="30">
        <f>H23+H29</f>
        <v>3416.0871250000005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Q1</vt:lpstr>
      <vt:lpstr>Q2</vt:lpstr>
      <vt:lpstr>Q3</vt:lpstr>
      <vt:lpstr>Q4</vt:lpstr>
      <vt:lpstr>Q5</vt:lpstr>
      <vt:lpstr>Q6a</vt:lpstr>
      <vt:lpstr>Q6b</vt:lpstr>
      <vt:lpstr>Q7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Ridges Local User</dc:creator>
  <cp:lastModifiedBy>Peter Ridges Local User</cp:lastModifiedBy>
  <cp:lastPrinted>2023-03-23T12:49:46Z</cp:lastPrinted>
  <dcterms:created xsi:type="dcterms:W3CDTF">2023-03-22T10:13:14Z</dcterms:created>
  <dcterms:modified xsi:type="dcterms:W3CDTF">2023-11-11T11:55:42Z</dcterms:modified>
</cp:coreProperties>
</file>