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amsh\Desktop\ExcelApp\"/>
    </mc:Choice>
  </mc:AlternateContent>
  <xr:revisionPtr revIDLastSave="0" documentId="13_ncr:1_{EE6A009F-7D4E-43CA-A607-740515569D1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BA_year" sheetId="1" r:id="rId1"/>
    <sheet name="post_M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7" i="1" s="1"/>
  <c r="B52" i="2"/>
  <c r="B53" i="2" s="1"/>
  <c r="B8" i="1" a="1"/>
  <c r="B8" i="1" s="1"/>
  <c r="B6" i="1" a="1"/>
  <c r="B6" i="1" s="1"/>
  <c r="B5" i="1" a="1"/>
  <c r="B5" i="1" s="1"/>
  <c r="B4" i="1" a="1"/>
  <c r="B4" i="1" s="1"/>
  <c r="B43" i="1"/>
  <c r="B44" i="1"/>
  <c r="B49" i="1"/>
  <c r="B48" i="1"/>
  <c r="B42" i="1" a="1"/>
  <c r="B42" i="1" s="1"/>
  <c r="B41" i="1" a="1"/>
  <c r="B41" i="1" s="1"/>
  <c r="C29" i="2" a="1"/>
  <c r="C29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3" i="2" a="1"/>
  <c r="C3" i="2" s="1"/>
  <c r="C52" i="2" l="1" a="1"/>
  <c r="C52" i="2" s="1"/>
  <c r="C53" i="2" s="1"/>
  <c r="C26" i="2"/>
  <c r="C13" i="2"/>
  <c r="B26" i="2" l="1"/>
  <c r="B13" i="2"/>
  <c r="B30" i="2"/>
  <c r="C30" i="2" s="1" a="1"/>
  <c r="C30" i="2" s="1"/>
  <c r="B29" i="2"/>
  <c r="B4" i="2"/>
  <c r="B40" i="2" s="1"/>
  <c r="C4" i="2"/>
  <c r="C57" i="1" a="1"/>
  <c r="C57" i="1" s="1"/>
  <c r="B37" i="1"/>
  <c r="B24" i="1"/>
  <c r="C24" i="1" s="1" a="1"/>
  <c r="C24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3" i="1" a="1"/>
  <c r="C3" i="1" s="1"/>
  <c r="C7" i="1" s="1"/>
  <c r="B7" i="1" s="1" a="1"/>
  <c r="B7" i="1" s="1"/>
  <c r="E71" i="1" a="1"/>
  <c r="E71" i="1" s="1"/>
  <c r="C71" i="1" a="1"/>
  <c r="C71" i="1" s="1"/>
  <c r="D40" i="2" l="1"/>
  <c r="C40" i="2" a="1"/>
  <c r="C40" i="2" s="1"/>
  <c r="C37" i="1"/>
  <c r="B31" i="2"/>
  <c r="C9" i="1"/>
  <c r="B38" i="1"/>
  <c r="C38" i="1" s="1" a="1"/>
  <c r="C38" i="1" s="1"/>
  <c r="B32" i="2" l="1"/>
  <c r="C32" i="2" s="1" a="1"/>
  <c r="C32" i="2" s="1"/>
  <c r="C31" i="2" a="1"/>
  <c r="C31" i="2" s="1"/>
  <c r="C56" i="1"/>
  <c r="B56" i="1" s="1" a="1"/>
  <c r="B56" i="1" s="1"/>
  <c r="B9" i="1" a="1"/>
  <c r="B9" i="1" s="1"/>
  <c r="B45" i="1" l="1" a="1"/>
  <c r="B45" i="1" s="1"/>
  <c r="B47" i="1" a="1"/>
  <c r="B47" i="1" s="1"/>
  <c r="C50" i="1"/>
  <c r="B50" i="1" l="1" a="1"/>
  <c r="B50" i="1" s="1"/>
  <c r="C51" i="1"/>
  <c r="B46" i="1" a="1"/>
  <c r="B46" i="1" s="1"/>
  <c r="C36" i="2" l="1"/>
  <c r="B36" i="2" s="1" a="1"/>
  <c r="B36" i="2" s="1"/>
  <c r="C53" i="1"/>
  <c r="B51" i="1" a="1"/>
  <c r="B51" i="1" s="1"/>
  <c r="C52" i="1"/>
  <c r="B52" i="1" s="1" a="1"/>
  <c r="B52" i="1" s="1"/>
  <c r="B55" i="1"/>
  <c r="B60" i="1" s="1"/>
  <c r="D35" i="1" l="1"/>
  <c r="D33" i="1"/>
  <c r="D29" i="1"/>
  <c r="D32" i="1"/>
  <c r="D31" i="1"/>
  <c r="D28" i="1"/>
  <c r="D36" i="1"/>
  <c r="D30" i="1"/>
  <c r="D27" i="1"/>
  <c r="D26" i="1"/>
  <c r="D34" i="1"/>
  <c r="B58" i="1"/>
  <c r="C55" i="1" a="1"/>
  <c r="C55" i="1" s="1"/>
  <c r="C58" i="1" s="1"/>
  <c r="B53" i="1" a="1"/>
  <c r="B53" i="1" s="1"/>
  <c r="B49" i="2" s="1"/>
  <c r="C49" i="2"/>
  <c r="C54" i="2" s="1"/>
  <c r="B39" i="2"/>
  <c r="B43" i="2" s="1"/>
  <c r="D37" i="1" l="1"/>
  <c r="D38" i="1" s="1"/>
  <c r="B54" i="2" a="1"/>
  <c r="B54" i="2" s="1"/>
  <c r="B56" i="2"/>
  <c r="C56" i="2" s="1"/>
  <c r="C39" i="2" a="1"/>
  <c r="C39" i="2" s="1"/>
  <c r="C41" i="2" s="1"/>
  <c r="C50" i="2" s="1"/>
  <c r="C51" i="2" s="1"/>
  <c r="B41" i="2"/>
  <c r="B50" i="2" s="1"/>
  <c r="B51" i="2" s="1"/>
  <c r="D16" i="2"/>
  <c r="D18" i="2"/>
  <c r="D24" i="2"/>
  <c r="D19" i="2"/>
  <c r="D22" i="2"/>
  <c r="D20" i="2"/>
  <c r="D15" i="2"/>
  <c r="D25" i="2"/>
  <c r="D21" i="2"/>
  <c r="D23" i="2"/>
  <c r="D17" i="2"/>
  <c r="D26" i="2" l="1"/>
  <c r="D39" i="2" s="1"/>
  <c r="D41" i="2" s="1"/>
  <c r="B55" i="2"/>
  <c r="C5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<sst xmlns="http://schemas.openxmlformats.org/spreadsheetml/2006/main" count="140" uniqueCount="125">
  <si>
    <t>Category</t>
  </si>
  <si>
    <t>Tuition Fee</t>
  </si>
  <si>
    <t>Rent (Including Utilities)</t>
  </si>
  <si>
    <t>Food</t>
  </si>
  <si>
    <t>Transport</t>
  </si>
  <si>
    <t>SIM</t>
  </si>
  <si>
    <t>Outings</t>
  </si>
  <si>
    <t>Misc</t>
  </si>
  <si>
    <t>Administration Fee</t>
  </si>
  <si>
    <t>Security Deposit</t>
  </si>
  <si>
    <t>Setting Up</t>
  </si>
  <si>
    <t>Flight</t>
  </si>
  <si>
    <t>Visa</t>
  </si>
  <si>
    <t>Shipping</t>
  </si>
  <si>
    <t>Per Month Expenses (MBA Duration)</t>
  </si>
  <si>
    <t>Amount (₹)</t>
  </si>
  <si>
    <t>Amount (€)</t>
  </si>
  <si>
    <t>Bedding</t>
  </si>
  <si>
    <t>Health Insurance</t>
  </si>
  <si>
    <t>Registration (BSN)</t>
  </si>
  <si>
    <t>Bicycle</t>
  </si>
  <si>
    <t>Gym</t>
  </si>
  <si>
    <t>Saloon</t>
  </si>
  <si>
    <t>Total</t>
  </si>
  <si>
    <t>Total (per Month)</t>
  </si>
  <si>
    <t>Total (first Year)</t>
  </si>
  <si>
    <t>Notes</t>
  </si>
  <si>
    <t>Loan Details</t>
  </si>
  <si>
    <t>Loan Amount Sanctioned</t>
  </si>
  <si>
    <t>Loan Amount Disbursed</t>
  </si>
  <si>
    <t>Interest Rate</t>
  </si>
  <si>
    <t>Accumulation during Grace Period</t>
  </si>
  <si>
    <t>Total Principal (Amount to be paid back)</t>
  </si>
  <si>
    <t>Loan Tenure (Years)</t>
  </si>
  <si>
    <t>Check Dynamic Rate Here</t>
  </si>
  <si>
    <t>EURO to INR Conversion (Dynamic)</t>
  </si>
  <si>
    <t>INR to EURO Conversion (Dynamic)</t>
  </si>
  <si>
    <t>Input EURO</t>
  </si>
  <si>
    <t>Input INR</t>
  </si>
  <si>
    <t>Output INR</t>
  </si>
  <si>
    <t>Output EURO</t>
  </si>
  <si>
    <t>Grace Period (in Months)</t>
  </si>
  <si>
    <t>Loan Tenure (Excluding Grace, in Years)</t>
  </si>
  <si>
    <t>Monthly EMI (After grace period)</t>
  </si>
  <si>
    <t>Loan Amount</t>
  </si>
  <si>
    <t>Support from Parents</t>
  </si>
  <si>
    <t>Support from Ayush</t>
  </si>
  <si>
    <t>Available after paying Tuition Fee</t>
  </si>
  <si>
    <t>Monthly Available</t>
  </si>
  <si>
    <t>SR Support</t>
  </si>
  <si>
    <t>Monthly Savings</t>
  </si>
  <si>
    <t>Amount Available Monthly</t>
  </si>
  <si>
    <t>Monthly expenditure during MBA</t>
  </si>
  <si>
    <t>₹ 5 Lacs already paid are also included)</t>
  </si>
  <si>
    <t>Monthly Budget Calcualtion</t>
  </si>
  <si>
    <t>DURING MBA</t>
  </si>
  <si>
    <t>Part Time Monthly Income</t>
  </si>
  <si>
    <t>Monthly Salary</t>
  </si>
  <si>
    <t>One Time Expenses</t>
  </si>
  <si>
    <t>Monthly Expenses</t>
  </si>
  <si>
    <t>Rent</t>
  </si>
  <si>
    <t>Outing</t>
  </si>
  <si>
    <t>Shifting</t>
  </si>
  <si>
    <t>Income Tax Rate 1</t>
  </si>
  <si>
    <t>Income Tax Rate 2</t>
  </si>
  <si>
    <t>Total Tax in one Year</t>
  </si>
  <si>
    <t>Not considering the 30% Ruling yet</t>
  </si>
  <si>
    <t>Total Monthly Expense</t>
  </si>
  <si>
    <t>Security Deposit will shift, Not considering</t>
  </si>
  <si>
    <t>Loan Repayment</t>
  </si>
  <si>
    <t>EMI Monthly</t>
  </si>
  <si>
    <t>Net Expenditure</t>
  </si>
  <si>
    <t>Monthly Tax Cut</t>
  </si>
  <si>
    <t>Monthly Income</t>
  </si>
  <si>
    <t>Net Savings</t>
  </si>
  <si>
    <t>0 to € 75,518, Tax is 36.97%</t>
  </si>
  <si>
    <t>Over € 75,518, Tax is 49.5%</t>
  </si>
  <si>
    <t>AFTER MBA</t>
  </si>
  <si>
    <t>With 30% Ruling Monthly € 700 can be saved at a Salary of € 80,000 yearly.</t>
  </si>
  <si>
    <t>Yearly Salary</t>
  </si>
  <si>
    <t>Yearly Expenses</t>
  </si>
  <si>
    <t>Net Amount Remaining (Savings)</t>
  </si>
  <si>
    <t>Target Savings</t>
  </si>
  <si>
    <t>Scaling Factor (SF)</t>
  </si>
  <si>
    <t>SF, based on your target savings will generate target expenditures for you</t>
  </si>
  <si>
    <t xml:space="preserve">Target Expenditure (€) </t>
  </si>
  <si>
    <t>Variable Data (Has to be put by user)</t>
  </si>
  <si>
    <t>Automatically Calculated</t>
  </si>
  <si>
    <t>Fixed Value</t>
  </si>
  <si>
    <t>Total Sum to be paid back</t>
  </si>
  <si>
    <t>Total Amount to be paid back</t>
  </si>
  <si>
    <t>Yearly Savings</t>
  </si>
  <si>
    <t>Target Monthly Savings</t>
  </si>
  <si>
    <t>Target Yearly Savings</t>
  </si>
  <si>
    <t>Loan bal after "x" years</t>
  </si>
  <si>
    <t>Enter value of x in cell D54 to know how much loan is pending after that many years</t>
  </si>
  <si>
    <t>Yearly EMI (After Grace Period)</t>
  </si>
  <si>
    <t>The C Column of Amount in ₹ is equivalent of B Column by default, for target savings the amount has not been converted to ₹</t>
  </si>
  <si>
    <t>Bal Years to Repay (target savings)</t>
  </si>
  <si>
    <t>Bal Years to Repay (reg savings)</t>
  </si>
  <si>
    <t>Summary</t>
  </si>
  <si>
    <t>Housing</t>
  </si>
  <si>
    <t>Flight to Amsterdam and Bus/Train to Rotterdam</t>
  </si>
  <si>
    <t>Housing (Covered by SR)</t>
  </si>
  <si>
    <t>Cargo</t>
  </si>
  <si>
    <t>If buying a bicycle and not subscribing</t>
  </si>
  <si>
    <t>After removing first time expenses (Savings equated for one month and added on with SR Support)</t>
  </si>
  <si>
    <t>First time expenses</t>
  </si>
  <si>
    <t>Floating, Value has to be changed when interest rate changes</t>
  </si>
  <si>
    <t>No minimum amount obligation in SBI.</t>
  </si>
  <si>
    <t>Change if repayment started earlier.</t>
  </si>
  <si>
    <t>180 Months</t>
  </si>
  <si>
    <t>Includes Grace period</t>
  </si>
  <si>
    <t>Over the complete tenure</t>
  </si>
  <si>
    <t>Excluding first time expenditures</t>
  </si>
  <si>
    <t>Expenditure Limit (€)</t>
  </si>
  <si>
    <t>SF, based on your target savings will generate Expenditure Limit for you</t>
  </si>
  <si>
    <t>SI charged during Grace period (per Month)</t>
  </si>
  <si>
    <t>SI paid during Grace Period (Per Month)</t>
  </si>
  <si>
    <t>₹53,891/- is shown by bank in the statement because it is calculating for 7 months of grace period.</t>
  </si>
  <si>
    <t>Settling Up</t>
  </si>
  <si>
    <t>Utilities</t>
  </si>
  <si>
    <t>Net Savings are wrt Edu Loan only, personal savings will be input in monthly expenditure as it affects repayment of loan</t>
  </si>
  <si>
    <t>Personal Savings</t>
  </si>
  <si>
    <t xml:space="preserve">Personal Savings or investments reduce the sum for repayment of loan therefore, will be inserted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</si>
</sst>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"/>
    <numFmt numFmtId="165" formatCode="[$€-2]\ #,##0"/>
    <numFmt numFmtId="166" formatCode="[$₹-4009]\ #,##0"/>
    <numFmt numFmtId="167" formatCode="&quot;₹&quot;\ #,##0.00"/>
    <numFmt numFmtId="168" formatCode="0\ &quot;Year(s)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left" vertical="top"/>
    </xf>
    <xf numFmtId="165" fontId="2" fillId="0" borderId="0" xfId="0" applyNumberFormat="1" applyFont="1" applyAlignment="1">
      <alignment horizontal="center"/>
    </xf>
    <xf numFmtId="0" fontId="3" fillId="2" borderId="13" xfId="0" applyFont="1" applyFill="1" applyBorder="1"/>
    <xf numFmtId="0" fontId="3" fillId="3" borderId="12" xfId="0" applyFont="1" applyFill="1" applyBorder="1"/>
    <xf numFmtId="0" fontId="2" fillId="4" borderId="2" xfId="0" applyFont="1" applyFill="1" applyBorder="1"/>
    <xf numFmtId="0" fontId="1" fillId="4" borderId="4" xfId="0" applyFont="1" applyFill="1" applyBorder="1"/>
    <xf numFmtId="0" fontId="2" fillId="4" borderId="1" xfId="0" applyFont="1" applyFill="1" applyBorder="1"/>
    <xf numFmtId="167" fontId="2" fillId="4" borderId="5" xfId="0" applyNumberFormat="1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164" fontId="2" fillId="4" borderId="8" xfId="0" applyNumberFormat="1" applyFont="1" applyFill="1" applyBorder="1"/>
    <xf numFmtId="165" fontId="2" fillId="5" borderId="0" xfId="0" applyNumberFormat="1" applyFont="1" applyFill="1"/>
    <xf numFmtId="166" fontId="2" fillId="5" borderId="0" xfId="0" applyNumberFormat="1" applyFont="1" applyFill="1" applyAlignment="1">
      <alignment vertical="top"/>
    </xf>
    <xf numFmtId="166" fontId="2" fillId="2" borderId="0" xfId="0" applyNumberFormat="1" applyFont="1" applyFill="1"/>
    <xf numFmtId="165" fontId="2" fillId="2" borderId="0" xfId="0" applyNumberFormat="1" applyFont="1" applyFill="1"/>
    <xf numFmtId="165" fontId="2" fillId="5" borderId="0" xfId="0" applyNumberFormat="1" applyFont="1" applyFill="1" applyAlignment="1">
      <alignment vertical="top"/>
    </xf>
    <xf numFmtId="165" fontId="2" fillId="3" borderId="0" xfId="0" applyNumberFormat="1" applyFont="1" applyFill="1"/>
    <xf numFmtId="10" fontId="2" fillId="5" borderId="0" xfId="0" applyNumberFormat="1" applyFont="1" applyFill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6" fontId="1" fillId="0" borderId="0" xfId="0" applyNumberFormat="1" applyFont="1"/>
    <xf numFmtId="166" fontId="2" fillId="5" borderId="0" xfId="0" applyNumberFormat="1" applyFont="1" applyFill="1"/>
    <xf numFmtId="166" fontId="2" fillId="3" borderId="0" xfId="0" applyNumberFormat="1" applyFont="1" applyFill="1"/>
    <xf numFmtId="0" fontId="2" fillId="5" borderId="0" xfId="0" applyFont="1" applyFill="1"/>
    <xf numFmtId="164" fontId="2" fillId="4" borderId="1" xfId="0" applyNumberFormat="1" applyFont="1" applyFill="1" applyBorder="1"/>
    <xf numFmtId="167" fontId="2" fillId="4" borderId="7" xfId="0" applyNumberFormat="1" applyFont="1" applyFill="1" applyBorder="1"/>
    <xf numFmtId="165" fontId="2" fillId="0" borderId="0" xfId="0" applyNumberFormat="1" applyFont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2" fillId="2" borderId="0" xfId="0" applyNumberFormat="1" applyFont="1" applyFill="1" applyAlignment="1">
      <alignment horizontal="right"/>
    </xf>
    <xf numFmtId="4" fontId="2" fillId="2" borderId="0" xfId="0" applyNumberFormat="1" applyFont="1" applyFill="1"/>
    <xf numFmtId="168" fontId="0" fillId="3" borderId="1" xfId="0" applyNumberFormat="1" applyFill="1" applyBorder="1" applyAlignment="1">
      <alignment horizontal="left"/>
    </xf>
    <xf numFmtId="4" fontId="2" fillId="6" borderId="0" xfId="0" applyNumberFormat="1" applyFont="1" applyFill="1"/>
    <xf numFmtId="166" fontId="2" fillId="6" borderId="0" xfId="0" applyNumberFormat="1" applyFont="1" applyFill="1"/>
    <xf numFmtId="166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5" fontId="1" fillId="3" borderId="0" xfId="0" applyNumberFormat="1" applyFont="1" applyFill="1"/>
    <xf numFmtId="165" fontId="1" fillId="3" borderId="0" xfId="0" applyNumberFormat="1" applyFont="1" applyFill="1" applyAlignment="1">
      <alignment horizontal="right" vertical="top"/>
    </xf>
    <xf numFmtId="10" fontId="2" fillId="3" borderId="0" xfId="0" applyNumberFormat="1" applyFont="1" applyFill="1"/>
    <xf numFmtId="0" fontId="2" fillId="3" borderId="0" xfId="0" applyFont="1" applyFill="1"/>
    <xf numFmtId="0" fontId="3" fillId="5" borderId="13" xfId="0" applyFont="1" applyFill="1" applyBorder="1"/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en-IN</v>
    <v>av8w4c</v>
    <v>268435456</v>
    <v>1</v>
    <v>Powered by Refinitiv</v>
    <v>0</v>
    <v>EUR/INR</v>
    <v>2</v>
    <v>3</v>
    <v>Finance</v>
    <v>4</v>
    <v>102.679</v>
    <v>87.29</v>
    <v>0.33500000000000002</v>
    <v>3.3050000000000002E-3</v>
    <v>INR</v>
    <v>EUR</v>
    <v>101.71599999999999</v>
    <v>Currency Pair</v>
    <v>45890.4143287037</v>
    <v>101.128</v>
    <v>Euro/Indian Rupee FX Cross Rate</v>
    <v>101.37</v>
    <v>101.361</v>
    <v>101.696</v>
    <v>EURINR</v>
    <v>EUR/INR</v>
  </rv>
  <rv s="1">
    <v>0</v>
  </rv>
  <rv s="0">
    <v>en-IN</v>
    <v>avcik2</v>
    <v>268435456</v>
    <v>1</v>
    <v>Powered by Refinitiv</v>
    <v>0</v>
    <v>INR/EUR</v>
    <v>2</v>
    <v>5</v>
    <v>Finance</v>
    <v>4</v>
    <v>1.145E-2</v>
    <v>9.7400000000000004E-3</v>
    <v>-3.0000000000000001E-5</v>
    <v>-3.0430000000000001E-3</v>
    <v>EUR</v>
    <v>INR</v>
    <v>9.8879999999999992E-3</v>
    <v>Currency Pair</v>
    <v>45890.4143287037</v>
    <v>9.8309999999999995E-3</v>
    <v>Indian Rupee/Euro FX Cross Rate</v>
    <v>9.8589999999999997E-3</v>
    <v>9.8600000000000007E-3</v>
    <v>9.8300000000000002E-3</v>
    <v>INREUR</v>
    <v>INR/EUR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61" zoomScale="115" zoomScaleNormal="115" workbookViewId="0">
      <selection activeCell="A70" sqref="A70"/>
    </sheetView>
  </sheetViews>
  <sheetFormatPr defaultRowHeight="14.4" x14ac:dyDescent="0.3"/>
  <cols>
    <col min="1" max="1" width="36.44140625" style="2" customWidth="1"/>
    <col min="2" max="2" width="16.21875" style="3" customWidth="1"/>
    <col min="3" max="3" width="18.109375" style="4" customWidth="1"/>
    <col min="4" max="4" width="19.88671875" style="9" customWidth="1"/>
    <col min="5" max="5" width="59.88671875" style="2" bestFit="1" customWidth="1"/>
    <col min="6" max="6" width="13.21875" style="2" bestFit="1" customWidth="1"/>
    <col min="7" max="7" width="10.6640625" style="3" bestFit="1" customWidth="1"/>
    <col min="8" max="8" width="10.6640625" style="4" bestFit="1" customWidth="1"/>
    <col min="9" max="16384" width="8.88671875" style="2"/>
  </cols>
  <sheetData>
    <row r="1" spans="1:5" x14ac:dyDescent="0.3">
      <c r="A1" s="56" t="s">
        <v>55</v>
      </c>
      <c r="B1" s="56"/>
      <c r="C1" s="56"/>
      <c r="D1" s="56"/>
      <c r="E1" s="56"/>
    </row>
    <row r="2" spans="1:5" x14ac:dyDescent="0.3">
      <c r="A2" s="1" t="s">
        <v>0</v>
      </c>
      <c r="B2" s="5" t="s">
        <v>16</v>
      </c>
      <c r="C2" s="35" t="s">
        <v>15</v>
      </c>
      <c r="E2" s="1" t="s">
        <v>26</v>
      </c>
    </row>
    <row r="3" spans="1:5" x14ac:dyDescent="0.3">
      <c r="A3" s="2" t="s">
        <v>1</v>
      </c>
      <c r="B3" s="25">
        <v>67000</v>
      </c>
      <c r="C3" s="36" cm="1">
        <f t="array" aca="1" ref="C3" ca="1">B3*_FV(A70,"Price")</f>
        <v>6813632</v>
      </c>
      <c r="D3" s="12"/>
      <c r="E3" s="8"/>
    </row>
    <row r="4" spans="1:5" x14ac:dyDescent="0.3">
      <c r="A4" s="2" t="s">
        <v>44</v>
      </c>
      <c r="B4" s="25" cm="1">
        <f t="array" aca="1" ref="B4" ca="1">C4*_FV(A71,"Price")</f>
        <v>49150</v>
      </c>
      <c r="C4" s="37">
        <v>5000000</v>
      </c>
      <c r="D4" s="12"/>
      <c r="E4" s="8"/>
    </row>
    <row r="5" spans="1:5" ht="14.4" customHeight="1" x14ac:dyDescent="0.3">
      <c r="A5" s="7" t="s">
        <v>45</v>
      </c>
      <c r="B5" s="29" cm="1">
        <f t="array" aca="1" ref="B5" ca="1">C5*_FV(A71,"Price")</f>
        <v>29490</v>
      </c>
      <c r="C5" s="26">
        <v>3000000</v>
      </c>
      <c r="D5" s="12"/>
      <c r="E5" s="8" t="s">
        <v>53</v>
      </c>
    </row>
    <row r="6" spans="1:5" x14ac:dyDescent="0.3">
      <c r="A6" s="2" t="s">
        <v>46</v>
      </c>
      <c r="B6" s="25" cm="1">
        <f t="array" aca="1" ref="B6" ca="1">C6*_FV(A71,"Price")</f>
        <v>19660</v>
      </c>
      <c r="C6" s="37">
        <v>2000000</v>
      </c>
      <c r="D6" s="12"/>
      <c r="E6" s="8"/>
    </row>
    <row r="7" spans="1:5" x14ac:dyDescent="0.3">
      <c r="A7" s="2" t="s">
        <v>47</v>
      </c>
      <c r="B7" s="28" cm="1">
        <f t="array" aca="1" ref="B7" ca="1">C7*_FV(A71,"Price")</f>
        <v>31321.997439999999</v>
      </c>
      <c r="C7" s="27">
        <f ca="1">SUM(C4:C6)-C3</f>
        <v>3186368</v>
      </c>
      <c r="D7" s="12"/>
      <c r="E7" s="8"/>
    </row>
    <row r="8" spans="1:5" x14ac:dyDescent="0.3">
      <c r="A8" s="2" t="s">
        <v>50</v>
      </c>
      <c r="B8" s="28" cm="1">
        <f t="array" aca="1" ref="B8" ca="1">C8*_FV(A71,"Price")</f>
        <v>314.56</v>
      </c>
      <c r="C8" s="37">
        <v>32000</v>
      </c>
      <c r="D8" s="12"/>
      <c r="E8" s="8" t="s">
        <v>49</v>
      </c>
    </row>
    <row r="9" spans="1:5" ht="14.4" customHeight="1" x14ac:dyDescent="0.3">
      <c r="A9" s="2" t="s">
        <v>48</v>
      </c>
      <c r="B9" s="28" cm="1">
        <f t="array" aca="1" ref="B9" ca="1">C9*_FV(A71,"Price")</f>
        <v>2354.4970658666666</v>
      </c>
      <c r="C9" s="27">
        <f ca="1">(C7-C24)/12+C8</f>
        <v>239521.57333333333</v>
      </c>
      <c r="D9" s="12"/>
      <c r="E9" s="8" t="s">
        <v>106</v>
      </c>
    </row>
    <row r="10" spans="1:5" x14ac:dyDescent="0.3">
      <c r="A10" s="56" t="s">
        <v>107</v>
      </c>
      <c r="B10" s="56"/>
      <c r="C10" s="56"/>
      <c r="D10" s="5" t="s">
        <v>115</v>
      </c>
      <c r="E10" s="8"/>
    </row>
    <row r="11" spans="1:5" x14ac:dyDescent="0.3">
      <c r="A11" s="2" t="s">
        <v>8</v>
      </c>
      <c r="B11" s="30">
        <v>500</v>
      </c>
      <c r="C11" s="27" cm="1">
        <f t="array" aca="1" ref="C11" ca="1">B11*_FV(A70,"Price")</f>
        <v>50848</v>
      </c>
      <c r="D11" s="41"/>
      <c r="E11" s="8" t="s">
        <v>101</v>
      </c>
    </row>
    <row r="12" spans="1:5" x14ac:dyDescent="0.3">
      <c r="A12" s="2" t="s">
        <v>9</v>
      </c>
      <c r="B12" s="30">
        <v>3000</v>
      </c>
      <c r="C12" s="27" cm="1">
        <f t="array" aca="1" ref="C12" ca="1">B12*_FV(A70,"Price")</f>
        <v>305088</v>
      </c>
      <c r="D12" s="41"/>
      <c r="E12" s="8" t="s">
        <v>103</v>
      </c>
    </row>
    <row r="13" spans="1:5" x14ac:dyDescent="0.3">
      <c r="A13" s="2" t="s">
        <v>17</v>
      </c>
      <c r="B13" s="30">
        <v>250</v>
      </c>
      <c r="C13" s="27" cm="1">
        <f t="array" aca="1" ref="C13" ca="1">B13*_FV(A70,"price")</f>
        <v>25424</v>
      </c>
      <c r="D13" s="41"/>
      <c r="E13" s="8"/>
    </row>
    <row r="14" spans="1:5" x14ac:dyDescent="0.3">
      <c r="A14" s="2" t="s">
        <v>10</v>
      </c>
      <c r="B14" s="30">
        <v>250</v>
      </c>
      <c r="C14" s="27" cm="1">
        <f t="array" aca="1" ref="C14" ca="1">B14*_FV(A70,"Price")</f>
        <v>25424</v>
      </c>
      <c r="D14" s="41"/>
      <c r="E14" s="8"/>
    </row>
    <row r="15" spans="1:5" x14ac:dyDescent="0.3">
      <c r="A15" s="2" t="s">
        <v>11</v>
      </c>
      <c r="B15" s="30">
        <v>500</v>
      </c>
      <c r="C15" s="27" cm="1">
        <f t="array" aca="1" ref="C15" ca="1">B15*_FV(A70,"Price")</f>
        <v>50848</v>
      </c>
      <c r="D15" s="41"/>
      <c r="E15" s="8" t="s">
        <v>102</v>
      </c>
    </row>
    <row r="16" spans="1:5" x14ac:dyDescent="0.3">
      <c r="A16" s="2" t="s">
        <v>12</v>
      </c>
      <c r="B16" s="30">
        <v>245</v>
      </c>
      <c r="C16" s="27" cm="1">
        <f t="array" aca="1" ref="C16" ca="1">B16*_FV(A70,"price")</f>
        <v>24915.52</v>
      </c>
      <c r="D16" s="41"/>
      <c r="E16" s="8"/>
    </row>
    <row r="17" spans="1:5" x14ac:dyDescent="0.3">
      <c r="A17" s="2" t="s">
        <v>13</v>
      </c>
      <c r="B17" s="30">
        <v>800</v>
      </c>
      <c r="C17" s="27" cm="1">
        <f t="array" aca="1" ref="C17" ca="1">B17*_FV(A70,"Price")</f>
        <v>81356.800000000003</v>
      </c>
      <c r="D17" s="41"/>
      <c r="E17" s="8" t="s">
        <v>104</v>
      </c>
    </row>
    <row r="18" spans="1:5" x14ac:dyDescent="0.3">
      <c r="A18" s="2" t="s">
        <v>19</v>
      </c>
      <c r="B18" s="30"/>
      <c r="C18" s="27" cm="1">
        <f t="array" aca="1" ref="C18" ca="1">B18*_FV(A70,"Price")</f>
        <v>0</v>
      </c>
      <c r="D18" s="41"/>
      <c r="E18" s="8"/>
    </row>
    <row r="19" spans="1:5" x14ac:dyDescent="0.3">
      <c r="A19" s="2" t="s">
        <v>18</v>
      </c>
      <c r="B19" s="30">
        <v>150</v>
      </c>
      <c r="C19" s="27" cm="1">
        <f t="array" aca="1" ref="C19" ca="1">B19*_FV(A70,"Price")</f>
        <v>15254.4</v>
      </c>
      <c r="D19" s="41"/>
      <c r="E19" s="8"/>
    </row>
    <row r="20" spans="1:5" x14ac:dyDescent="0.3">
      <c r="A20" s="2" t="s">
        <v>20</v>
      </c>
      <c r="B20" s="30">
        <v>150</v>
      </c>
      <c r="C20" s="27" cm="1">
        <f t="array" aca="1" ref="C20" ca="1">B20*_FV(A70,"price")</f>
        <v>15254.4</v>
      </c>
      <c r="D20" s="41"/>
      <c r="E20" s="8" t="s">
        <v>105</v>
      </c>
    </row>
    <row r="21" spans="1:5" x14ac:dyDescent="0.3">
      <c r="B21" s="30">
        <v>1000</v>
      </c>
      <c r="C21" s="27" cm="1">
        <f t="array" aca="1" ref="C21" ca="1">B21*_FV(A70,"Price")</f>
        <v>101696</v>
      </c>
      <c r="D21" s="41"/>
      <c r="E21" s="8"/>
    </row>
    <row r="22" spans="1:5" x14ac:dyDescent="0.3">
      <c r="B22" s="30"/>
      <c r="C22" s="27" cm="1">
        <f t="array" aca="1" ref="C22" ca="1">B22*_FV(A70,"Price")</f>
        <v>0</v>
      </c>
      <c r="D22" s="41"/>
      <c r="E22" s="8"/>
    </row>
    <row r="23" spans="1:5" x14ac:dyDescent="0.3">
      <c r="B23" s="30"/>
      <c r="C23" s="27" cm="1">
        <f t="array" aca="1" ref="C23" ca="1">B23*_FV(A70,"price")</f>
        <v>0</v>
      </c>
      <c r="D23" s="41"/>
      <c r="E23" s="8"/>
    </row>
    <row r="24" spans="1:5" x14ac:dyDescent="0.3">
      <c r="A24" s="2" t="s">
        <v>23</v>
      </c>
      <c r="B24" s="28">
        <f>SUM(B11:B23)</f>
        <v>6845</v>
      </c>
      <c r="C24" s="27" cm="1">
        <f t="array" aca="1" ref="C24" ca="1">B24*_FV(A70,"Price")</f>
        <v>696109.12</v>
      </c>
      <c r="D24" s="41"/>
      <c r="E24" s="8"/>
    </row>
    <row r="25" spans="1:5" x14ac:dyDescent="0.3">
      <c r="A25" s="56" t="s">
        <v>14</v>
      </c>
      <c r="B25" s="56"/>
      <c r="C25" s="56"/>
      <c r="D25" s="41"/>
      <c r="E25" s="8"/>
    </row>
    <row r="26" spans="1:5" x14ac:dyDescent="0.3">
      <c r="A26" s="2" t="s">
        <v>2</v>
      </c>
      <c r="B26" s="30">
        <v>1100</v>
      </c>
      <c r="C26" s="27" cm="1">
        <f t="array" aca="1" ref="C26" ca="1">B26*_FV(A70,"Price")</f>
        <v>111865.59999999999</v>
      </c>
      <c r="D26" s="42">
        <f ca="1">B26*B60</f>
        <v>608.14153977687079</v>
      </c>
      <c r="E26" s="8"/>
    </row>
    <row r="27" spans="1:5" x14ac:dyDescent="0.3">
      <c r="A27" s="2" t="s">
        <v>3</v>
      </c>
      <c r="B27" s="30">
        <v>300</v>
      </c>
      <c r="C27" s="27" cm="1">
        <f t="array" aca="1" ref="C27" ca="1">B27*_FV(A70,"price")</f>
        <v>30508.799999999999</v>
      </c>
      <c r="D27" s="42">
        <f ca="1">B27*B60</f>
        <v>165.85678357551021</v>
      </c>
      <c r="E27" s="8"/>
    </row>
    <row r="28" spans="1:5" x14ac:dyDescent="0.3">
      <c r="A28" s="2" t="s">
        <v>4</v>
      </c>
      <c r="B28" s="30">
        <v>100</v>
      </c>
      <c r="C28" s="27" cm="1">
        <f t="array" aca="1" ref="C28" ca="1">B28*_FV(A70,"Price")</f>
        <v>10169.6</v>
      </c>
      <c r="D28" s="42">
        <f ca="1">B28*B60</f>
        <v>55.285594525170069</v>
      </c>
      <c r="E28" s="8"/>
    </row>
    <row r="29" spans="1:5" x14ac:dyDescent="0.3">
      <c r="A29" s="2" t="s">
        <v>5</v>
      </c>
      <c r="B29" s="30">
        <v>50</v>
      </c>
      <c r="C29" s="27" cm="1">
        <f t="array" aca="1" ref="C29" ca="1">B29*_FV(A70,"Price")</f>
        <v>5084.8</v>
      </c>
      <c r="D29" s="42">
        <f ca="1">B29*B60</f>
        <v>27.642797262585034</v>
      </c>
      <c r="E29" s="8"/>
    </row>
    <row r="30" spans="1:5" x14ac:dyDescent="0.3">
      <c r="A30" s="2" t="s">
        <v>6</v>
      </c>
      <c r="B30" s="30">
        <v>200</v>
      </c>
      <c r="C30" s="27" cm="1">
        <f t="array" aca="1" ref="C30" ca="1">B30*_FV(A70,"price")</f>
        <v>20339.2</v>
      </c>
      <c r="D30" s="42">
        <f ca="1">B30*B60</f>
        <v>110.57118905034014</v>
      </c>
      <c r="E30" s="8"/>
    </row>
    <row r="31" spans="1:5" x14ac:dyDescent="0.3">
      <c r="A31" s="2" t="s">
        <v>21</v>
      </c>
      <c r="B31" s="30">
        <v>100</v>
      </c>
      <c r="C31" s="27" cm="1">
        <f t="array" aca="1" ref="C31" ca="1">B31*_FV(A70,"Price")</f>
        <v>10169.6</v>
      </c>
      <c r="D31" s="42">
        <f ca="1">B31*B60</f>
        <v>55.285594525170069</v>
      </c>
      <c r="E31" s="8"/>
    </row>
    <row r="32" spans="1:5" x14ac:dyDescent="0.3">
      <c r="A32" s="2" t="s">
        <v>22</v>
      </c>
      <c r="B32" s="30">
        <v>200</v>
      </c>
      <c r="C32" s="27" cm="1">
        <f t="array" aca="1" ref="C32" ca="1">B32*_FV(A70,"Price")</f>
        <v>20339.2</v>
      </c>
      <c r="D32" s="42">
        <f ca="1">B32*B60</f>
        <v>110.57118905034014</v>
      </c>
      <c r="E32" s="8"/>
    </row>
    <row r="33" spans="1:5" x14ac:dyDescent="0.3">
      <c r="A33" s="2" t="s">
        <v>7</v>
      </c>
      <c r="B33" s="30">
        <v>200</v>
      </c>
      <c r="C33" s="27" cm="1">
        <f t="array" aca="1" ref="C33" ca="1">B33*_FV(A70,"Price")</f>
        <v>20339.2</v>
      </c>
      <c r="D33" s="42">
        <f ca="1">B33*B60</f>
        <v>110.57118905034014</v>
      </c>
      <c r="E33" s="8"/>
    </row>
    <row r="34" spans="1:5" x14ac:dyDescent="0.3">
      <c r="B34" s="30">
        <v>200</v>
      </c>
      <c r="C34" s="27" cm="1">
        <f t="array" aca="1" ref="C34" ca="1">B34*_FV(A70,"price")</f>
        <v>20339.2</v>
      </c>
      <c r="D34" s="42">
        <f ca="1">B34*B60</f>
        <v>110.57118905034014</v>
      </c>
      <c r="E34" s="8"/>
    </row>
    <row r="35" spans="1:5" x14ac:dyDescent="0.3">
      <c r="B35" s="30">
        <v>0</v>
      </c>
      <c r="C35" s="27" cm="1">
        <f t="array" aca="1" ref="C35" ca="1">B35*_FV(A70,"Price")</f>
        <v>0</v>
      </c>
      <c r="D35" s="42">
        <f ca="1">B35*B60</f>
        <v>0</v>
      </c>
      <c r="E35" s="8"/>
    </row>
    <row r="36" spans="1:5" x14ac:dyDescent="0.3">
      <c r="B36" s="30">
        <v>0</v>
      </c>
      <c r="C36" s="27" cm="1">
        <f t="array" aca="1" ref="C36" ca="1">B36*_FV(A70,"Price")</f>
        <v>0</v>
      </c>
      <c r="D36" s="42">
        <f ca="1">B36*B60</f>
        <v>0</v>
      </c>
      <c r="E36" s="8"/>
    </row>
    <row r="37" spans="1:5" x14ac:dyDescent="0.3">
      <c r="A37" s="2" t="s">
        <v>24</v>
      </c>
      <c r="B37" s="28">
        <f>SUM(B26:B36)</f>
        <v>2450</v>
      </c>
      <c r="C37" s="27">
        <f ca="1">SUM(C26:C36)</f>
        <v>249155.20000000004</v>
      </c>
      <c r="D37" s="42">
        <f ca="1">SUM(D26:D36)</f>
        <v>1354.4970658666666</v>
      </c>
      <c r="E37" s="8"/>
    </row>
    <row r="38" spans="1:5" x14ac:dyDescent="0.3">
      <c r="A38" s="2" t="s">
        <v>25</v>
      </c>
      <c r="B38" s="28">
        <f>B37*12</f>
        <v>29400</v>
      </c>
      <c r="C38" s="27" cm="1">
        <f t="array" aca="1" ref="C38" ca="1">B38*_FV(A70,"Price")</f>
        <v>2989862.4</v>
      </c>
      <c r="D38" s="42">
        <f ca="1">D37*12</f>
        <v>16253.964790399999</v>
      </c>
      <c r="E38" s="8"/>
    </row>
    <row r="39" spans="1:5" x14ac:dyDescent="0.3">
      <c r="D39" s="41"/>
      <c r="E39" s="8"/>
    </row>
    <row r="40" spans="1:5" x14ac:dyDescent="0.3">
      <c r="A40" s="56" t="s">
        <v>27</v>
      </c>
      <c r="B40" s="56"/>
      <c r="C40" s="56"/>
      <c r="D40" s="41"/>
      <c r="E40" s="8"/>
    </row>
    <row r="41" spans="1:5" x14ac:dyDescent="0.3">
      <c r="A41" s="2" t="s">
        <v>28</v>
      </c>
      <c r="B41" s="25" cm="1">
        <f t="array" aca="1" ref="B41" ca="1">C41*_FV(A71,"Price")</f>
        <v>49150</v>
      </c>
      <c r="C41" s="36">
        <v>5000000</v>
      </c>
      <c r="D41" s="41"/>
      <c r="E41" s="8"/>
    </row>
    <row r="42" spans="1:5" x14ac:dyDescent="0.3">
      <c r="A42" s="2" t="s">
        <v>29</v>
      </c>
      <c r="B42" s="25" cm="1">
        <f t="array" aca="1" ref="B42" ca="1">C42*_FV(A71,"Price")</f>
        <v>39320</v>
      </c>
      <c r="C42" s="37">
        <v>4000000</v>
      </c>
      <c r="D42" s="41"/>
      <c r="E42" s="8"/>
    </row>
    <row r="43" spans="1:5" x14ac:dyDescent="0.3">
      <c r="A43" s="2" t="s">
        <v>33</v>
      </c>
      <c r="B43" s="38">
        <f>C43</f>
        <v>16.5</v>
      </c>
      <c r="C43" s="38">
        <v>16.5</v>
      </c>
      <c r="D43" s="41"/>
      <c r="E43" s="8" t="s">
        <v>112</v>
      </c>
    </row>
    <row r="44" spans="1:5" x14ac:dyDescent="0.3">
      <c r="A44" s="2" t="s">
        <v>30</v>
      </c>
      <c r="B44" s="31">
        <f>C44</f>
        <v>9.1499999999999998E-2</v>
      </c>
      <c r="C44" s="53">
        <v>9.1499999999999998E-2</v>
      </c>
      <c r="D44" s="41"/>
      <c r="E44" s="8" t="s">
        <v>108</v>
      </c>
    </row>
    <row r="45" spans="1:5" x14ac:dyDescent="0.3">
      <c r="A45" s="2" t="s">
        <v>117</v>
      </c>
      <c r="B45" s="25" cm="1">
        <f t="array" aca="1" ref="B45" ca="1">C45*_FV(A71,"Price")</f>
        <v>299.815</v>
      </c>
      <c r="C45" s="27">
        <f>(C42*C44)/12</f>
        <v>30500</v>
      </c>
      <c r="D45" s="41"/>
      <c r="E45" s="8"/>
    </row>
    <row r="46" spans="1:5" x14ac:dyDescent="0.3">
      <c r="A46" s="2" t="s">
        <v>118</v>
      </c>
      <c r="B46" s="25" cm="1">
        <f t="array" aca="1" ref="B46" ca="1">C46*_FV(A71,"price")</f>
        <v>0</v>
      </c>
      <c r="C46" s="37">
        <v>0</v>
      </c>
      <c r="D46" s="41"/>
      <c r="E46" s="8" t="s">
        <v>109</v>
      </c>
    </row>
    <row r="47" spans="1:5" x14ac:dyDescent="0.3">
      <c r="A47" s="2" t="s">
        <v>31</v>
      </c>
      <c r="B47" s="25" cm="1">
        <f t="array" aca="1" ref="B47" ca="1">C47*_FV(A71,"Price")</f>
        <v>5396.67</v>
      </c>
      <c r="C47" s="27">
        <f>(C45*C48)</f>
        <v>549000</v>
      </c>
      <c r="D47" s="41"/>
      <c r="E47" s="8"/>
    </row>
    <row r="48" spans="1:5" x14ac:dyDescent="0.3">
      <c r="A48" s="2" t="s">
        <v>41</v>
      </c>
      <c r="B48" s="38">
        <f>C48</f>
        <v>18</v>
      </c>
      <c r="C48" s="54">
        <v>18</v>
      </c>
      <c r="D48" s="41"/>
      <c r="E48" s="8" t="s">
        <v>110</v>
      </c>
    </row>
    <row r="49" spans="1:5" x14ac:dyDescent="0.3">
      <c r="A49" s="2" t="s">
        <v>42</v>
      </c>
      <c r="B49" s="38">
        <f>C49</f>
        <v>15</v>
      </c>
      <c r="C49" s="38">
        <v>15</v>
      </c>
      <c r="D49" s="41"/>
      <c r="E49" s="8" t="s">
        <v>111</v>
      </c>
    </row>
    <row r="50" spans="1:5" x14ac:dyDescent="0.3">
      <c r="A50" s="2" t="s">
        <v>32</v>
      </c>
      <c r="B50" s="25" cm="1">
        <f t="array" aca="1" ref="B50" ca="1">C50*_FV(A71,"Price")</f>
        <v>44716.67</v>
      </c>
      <c r="C50" s="36">
        <f>C42+C47</f>
        <v>4549000</v>
      </c>
      <c r="D50" s="41"/>
      <c r="E50" s="8"/>
    </row>
    <row r="51" spans="1:5" x14ac:dyDescent="0.3">
      <c r="A51" s="2" t="s">
        <v>43</v>
      </c>
      <c r="B51" s="25" cm="1">
        <f t="array" aca="1" ref="B51" ca="1">C51*_FV(A71,"Price")</f>
        <v>457.54505631321535</v>
      </c>
      <c r="C51" s="36">
        <f>-PMT(C44/12,C49*12,C50,0,0)</f>
        <v>46545.783958618042</v>
      </c>
      <c r="D51" s="41"/>
      <c r="E51" s="8" t="s">
        <v>119</v>
      </c>
    </row>
    <row r="52" spans="1:5" x14ac:dyDescent="0.3">
      <c r="A52" s="2" t="s">
        <v>96</v>
      </c>
      <c r="B52" s="25" cm="1">
        <f t="array" aca="1" ref="B52" ca="1">C52*_FV(A71,"Price")</f>
        <v>5490.5406757585843</v>
      </c>
      <c r="C52" s="36">
        <f>C51*12</f>
        <v>558549.40750341653</v>
      </c>
      <c r="D52" s="41"/>
      <c r="E52" s="8"/>
    </row>
    <row r="53" spans="1:5" x14ac:dyDescent="0.3">
      <c r="A53" s="2" t="s">
        <v>89</v>
      </c>
      <c r="B53" s="25" cm="1">
        <f t="array" aca="1" ref="B53" ca="1">C53*_FV(A71,"Price")</f>
        <v>82358.11013637876</v>
      </c>
      <c r="C53" s="36">
        <f>C51*C49*12</f>
        <v>8378241.1125512477</v>
      </c>
      <c r="D53" s="41"/>
      <c r="E53" s="8" t="s">
        <v>113</v>
      </c>
    </row>
    <row r="54" spans="1:5" x14ac:dyDescent="0.3">
      <c r="A54" s="56" t="s">
        <v>54</v>
      </c>
      <c r="B54" s="56"/>
      <c r="C54" s="56"/>
      <c r="D54" s="41"/>
      <c r="E54" s="8"/>
    </row>
    <row r="55" spans="1:5" x14ac:dyDescent="0.3">
      <c r="A55" s="2" t="s">
        <v>52</v>
      </c>
      <c r="B55" s="28">
        <f ca="1">SUM(B46,B37)</f>
        <v>2450</v>
      </c>
      <c r="C55" s="27" cm="1">
        <f t="array" aca="1" ref="C55" ca="1">B55*_FV(A70,"Price")</f>
        <v>249155.19999999998</v>
      </c>
      <c r="D55" s="41"/>
      <c r="E55" s="8" t="s">
        <v>114</v>
      </c>
    </row>
    <row r="56" spans="1:5" x14ac:dyDescent="0.3">
      <c r="A56" s="2" t="s">
        <v>51</v>
      </c>
      <c r="B56" s="28" cm="1">
        <f t="array" aca="1" ref="B56" ca="1">C56*_FV(A71,"Price")</f>
        <v>2354.4970658666666</v>
      </c>
      <c r="C56" s="27">
        <f ca="1">C9</f>
        <v>239521.57333333333</v>
      </c>
      <c r="D56" s="41"/>
      <c r="E56" s="8"/>
    </row>
    <row r="57" spans="1:5" x14ac:dyDescent="0.3">
      <c r="A57" s="2" t="s">
        <v>56</v>
      </c>
      <c r="B57" s="30">
        <v>0</v>
      </c>
      <c r="C57" s="27" cm="1">
        <f t="array" aca="1" ref="C57" ca="1">B57*_FV(A70,"Price")</f>
        <v>0</v>
      </c>
      <c r="D57" s="41"/>
      <c r="E57" s="8"/>
    </row>
    <row r="58" spans="1:5" x14ac:dyDescent="0.3">
      <c r="A58" s="2" t="s">
        <v>81</v>
      </c>
      <c r="B58" s="50">
        <f ca="1">(B56+B57)-B55</f>
        <v>-95.502934133333383</v>
      </c>
      <c r="C58" s="27">
        <f ca="1">C56-C55</f>
        <v>-9633.6266666666488</v>
      </c>
      <c r="D58" s="41"/>
      <c r="E58" s="8"/>
    </row>
    <row r="59" spans="1:5" x14ac:dyDescent="0.3">
      <c r="A59" s="2" t="s">
        <v>82</v>
      </c>
      <c r="D59" s="52">
        <v>1000</v>
      </c>
      <c r="E59" s="8"/>
    </row>
    <row r="60" spans="1:5" x14ac:dyDescent="0.3">
      <c r="A60" s="2" t="s">
        <v>83</v>
      </c>
      <c r="B60" s="32">
        <f ca="1">(B56-(B46+D59))/(B55)</f>
        <v>0.55285594525170068</v>
      </c>
      <c r="D60" s="41"/>
      <c r="E60" s="8" t="s">
        <v>116</v>
      </c>
    </row>
    <row r="61" spans="1:5" x14ac:dyDescent="0.3">
      <c r="D61" s="41"/>
      <c r="E61" s="8"/>
    </row>
    <row r="62" spans="1:5" x14ac:dyDescent="0.3">
      <c r="D62" s="41"/>
      <c r="E62" s="8"/>
    </row>
    <row r="63" spans="1:5" x14ac:dyDescent="0.3">
      <c r="D63" s="41"/>
      <c r="E63" s="8"/>
    </row>
    <row r="64" spans="1:5" x14ac:dyDescent="0.3">
      <c r="D64" s="41"/>
      <c r="E64" s="8"/>
    </row>
    <row r="65" spans="1:5" x14ac:dyDescent="0.3">
      <c r="D65" s="41"/>
      <c r="E65" s="8"/>
    </row>
    <row r="66" spans="1:5" x14ac:dyDescent="0.3">
      <c r="D66" s="41"/>
      <c r="E66" s="8"/>
    </row>
    <row r="67" spans="1:5" x14ac:dyDescent="0.3">
      <c r="D67" s="41"/>
      <c r="E67" s="8"/>
    </row>
    <row r="68" spans="1:5" ht="15" thickBot="1" x14ac:dyDescent="0.35">
      <c r="D68" s="43"/>
      <c r="E68" s="14"/>
    </row>
    <row r="69" spans="1:5" x14ac:dyDescent="0.3">
      <c r="A69" s="18" t="s">
        <v>34</v>
      </c>
      <c r="B69" s="57" t="s">
        <v>35</v>
      </c>
      <c r="C69" s="57"/>
      <c r="D69" s="58" t="s">
        <v>36</v>
      </c>
      <c r="E69" s="59"/>
    </row>
    <row r="70" spans="1:5" x14ac:dyDescent="0.3">
      <c r="A70" s="19" t="e" vm="1">
        <v>#VALUE!</v>
      </c>
      <c r="B70" s="20" t="s">
        <v>37</v>
      </c>
      <c r="C70" s="39">
        <v>1</v>
      </c>
      <c r="D70" s="33" t="s">
        <v>38</v>
      </c>
      <c r="E70" s="21">
        <v>75000</v>
      </c>
    </row>
    <row r="71" spans="1:5" ht="15" thickBot="1" x14ac:dyDescent="0.35">
      <c r="A71" s="22" t="e" vm="2">
        <v>#VALUE!</v>
      </c>
      <c r="B71" s="23" t="s">
        <v>39</v>
      </c>
      <c r="C71" s="40" cm="1">
        <f t="array" aca="1" ref="C71" ca="1">C70*_FV(A70,"Price")</f>
        <v>101.696</v>
      </c>
      <c r="D71" s="34" t="s">
        <v>40</v>
      </c>
      <c r="E71" s="24" cm="1">
        <f t="array" aca="1" ref="E71" ca="1">E70/_FV(A70,"Price")</f>
        <v>737.49213341724351</v>
      </c>
    </row>
    <row r="72" spans="1:5" ht="15" thickBot="1" x14ac:dyDescent="0.35"/>
    <row r="73" spans="1:5" x14ac:dyDescent="0.3">
      <c r="A73" s="17" t="s">
        <v>86</v>
      </c>
      <c r="B73" s="30"/>
    </row>
    <row r="74" spans="1:5" ht="15" thickBot="1" x14ac:dyDescent="0.35">
      <c r="A74" s="55" t="s">
        <v>88</v>
      </c>
      <c r="B74" s="25"/>
    </row>
    <row r="75" spans="1:5" ht="15" thickBot="1" x14ac:dyDescent="0.35">
      <c r="A75" s="16" t="s">
        <v>87</v>
      </c>
      <c r="B75" s="28"/>
    </row>
  </sheetData>
  <mergeCells count="7">
    <mergeCell ref="A1:E1"/>
    <mergeCell ref="B69:C69"/>
    <mergeCell ref="A25:C25"/>
    <mergeCell ref="A10:C10"/>
    <mergeCell ref="A40:C40"/>
    <mergeCell ref="A54:C54"/>
    <mergeCell ref="D69:E69"/>
  </mergeCells>
  <pageMargins left="0.7" right="0.7" top="0.75" bottom="0.75" header="0.3" footer="0.3"/>
  <pageSetup orientation="portrait" horizontalDpi="4294967293" verticalDpi="0" r:id="rId1"/>
  <ignoredErrors>
    <ignoredError sqref="C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572F-ECC0-4DCB-9AB5-9C31070C2DF4}">
  <dimension ref="A1:F56"/>
  <sheetViews>
    <sheetView tabSelected="1" topLeftCell="A28" zoomScale="115" zoomScaleNormal="115" workbookViewId="0">
      <selection activeCell="A28" sqref="A28:C28"/>
    </sheetView>
  </sheetViews>
  <sheetFormatPr defaultRowHeight="14.4" x14ac:dyDescent="0.3"/>
  <cols>
    <col min="1" max="1" width="28.5546875" style="2" bestFit="1" customWidth="1"/>
    <col min="2" max="2" width="10.6640625" style="3" bestFit="1" customWidth="1"/>
    <col min="3" max="3" width="16.21875" style="4" bestFit="1" customWidth="1"/>
    <col min="4" max="4" width="19.77734375" style="3" bestFit="1" customWidth="1"/>
    <col min="5" max="5" width="102.77734375" style="2" bestFit="1" customWidth="1"/>
    <col min="6" max="16384" width="8.88671875" style="2"/>
  </cols>
  <sheetData>
    <row r="1" spans="1:6" x14ac:dyDescent="0.3">
      <c r="A1" s="56" t="s">
        <v>77</v>
      </c>
      <c r="B1" s="60"/>
      <c r="C1" s="60"/>
      <c r="D1" s="60"/>
      <c r="E1" s="60"/>
    </row>
    <row r="2" spans="1:6" x14ac:dyDescent="0.3">
      <c r="A2" s="10" t="s">
        <v>0</v>
      </c>
      <c r="B2" s="5" t="s">
        <v>16</v>
      </c>
      <c r="C2" s="6" t="s">
        <v>15</v>
      </c>
      <c r="E2" s="56" t="s">
        <v>26</v>
      </c>
      <c r="F2" s="56"/>
    </row>
    <row r="3" spans="1:6" x14ac:dyDescent="0.3">
      <c r="A3" s="2" t="s">
        <v>79</v>
      </c>
      <c r="B3" s="30">
        <v>90000</v>
      </c>
      <c r="C3" s="27" cm="1">
        <f t="array" aca="1" ref="C3" ca="1">B3*_FV(MBA_year!A70,"Price")</f>
        <v>9152640</v>
      </c>
      <c r="E3" s="2" t="s">
        <v>97</v>
      </c>
    </row>
    <row r="4" spans="1:6" x14ac:dyDescent="0.3">
      <c r="A4" s="2" t="s">
        <v>57</v>
      </c>
      <c r="B4" s="28">
        <f>B3/12</f>
        <v>7500</v>
      </c>
      <c r="C4" s="27">
        <f ca="1">C3/12</f>
        <v>762720</v>
      </c>
    </row>
    <row r="6" spans="1:6" x14ac:dyDescent="0.3">
      <c r="A6" s="56" t="s">
        <v>58</v>
      </c>
      <c r="B6" s="56"/>
      <c r="C6" s="56"/>
      <c r="D6" s="5" t="s">
        <v>85</v>
      </c>
    </row>
    <row r="7" spans="1:6" x14ac:dyDescent="0.3">
      <c r="A7" s="2" t="s">
        <v>62</v>
      </c>
      <c r="B7" s="30">
        <v>500</v>
      </c>
      <c r="C7" s="27" cm="1">
        <f t="array" aca="1" ref="C7" ca="1">B7*_FV(MBA_year!A70,"Price")</f>
        <v>50848</v>
      </c>
    </row>
    <row r="8" spans="1:6" x14ac:dyDescent="0.3">
      <c r="A8" s="2" t="s">
        <v>8</v>
      </c>
      <c r="B8" s="30">
        <v>500</v>
      </c>
      <c r="C8" s="27" cm="1">
        <f t="array" aca="1" ref="C8" ca="1">B8*_FV(MBA_year!A70,"Price")</f>
        <v>50848</v>
      </c>
    </row>
    <row r="9" spans="1:6" x14ac:dyDescent="0.3">
      <c r="A9" s="2" t="s">
        <v>12</v>
      </c>
      <c r="B9" s="30">
        <v>250</v>
      </c>
      <c r="C9" s="27" cm="1">
        <f t="array" aca="1" ref="C9" ca="1">B9*_FV(MBA_year!A70,"Price")</f>
        <v>25424</v>
      </c>
    </row>
    <row r="10" spans="1:6" x14ac:dyDescent="0.3">
      <c r="A10" s="2" t="s">
        <v>120</v>
      </c>
      <c r="B10" s="30">
        <v>300</v>
      </c>
      <c r="C10" s="27" cm="1">
        <f t="array" aca="1" ref="C10" ca="1">B10*_FV(MBA_year!A70,"Price")</f>
        <v>30508.799999999999</v>
      </c>
    </row>
    <row r="11" spans="1:6" x14ac:dyDescent="0.3">
      <c r="B11" s="30">
        <v>1000</v>
      </c>
      <c r="C11" s="27" cm="1">
        <f t="array" aca="1" ref="C11" ca="1">B11*_FV(MBA_year!A70,"Price")</f>
        <v>101696</v>
      </c>
    </row>
    <row r="12" spans="1:6" x14ac:dyDescent="0.3">
      <c r="B12" s="30"/>
      <c r="C12" s="27" cm="1">
        <f t="array" aca="1" ref="C12" ca="1">B12*_FV(MBA_year!A70,"Price")</f>
        <v>0</v>
      </c>
    </row>
    <row r="13" spans="1:6" x14ac:dyDescent="0.3">
      <c r="A13" s="2" t="s">
        <v>23</v>
      </c>
      <c r="B13" s="28">
        <f>SUM(B7:B12)</f>
        <v>2550</v>
      </c>
      <c r="C13" s="27">
        <f ca="1">SUM(C7:C12)</f>
        <v>259324.79999999999</v>
      </c>
    </row>
    <row r="14" spans="1:6" x14ac:dyDescent="0.3">
      <c r="A14" s="56" t="s">
        <v>59</v>
      </c>
      <c r="B14" s="56"/>
      <c r="C14" s="56"/>
      <c r="D14" s="5"/>
    </row>
    <row r="15" spans="1:6" x14ac:dyDescent="0.3">
      <c r="A15" s="2" t="s">
        <v>60</v>
      </c>
      <c r="B15" s="30">
        <v>1500</v>
      </c>
      <c r="C15" s="27" cm="1">
        <f t="array" aca="1" ref="C15" ca="1">B15*_FV(MBA_year!A70,"Price")</f>
        <v>152544</v>
      </c>
      <c r="D15" s="28">
        <f ca="1">B15*B43</f>
        <v>1395.671859795119</v>
      </c>
      <c r="E15" s="2" t="s">
        <v>68</v>
      </c>
    </row>
    <row r="16" spans="1:6" x14ac:dyDescent="0.3">
      <c r="A16" s="2" t="s">
        <v>4</v>
      </c>
      <c r="B16" s="30">
        <v>200</v>
      </c>
      <c r="C16" s="27" cm="1">
        <f t="array" aca="1" ref="C16" ca="1">B16*_FV(MBA_year!A70,"Price")</f>
        <v>20339.2</v>
      </c>
      <c r="D16" s="28">
        <f ca="1">B16*B43</f>
        <v>186.08958130601587</v>
      </c>
    </row>
    <row r="17" spans="1:5" x14ac:dyDescent="0.3">
      <c r="A17" s="2" t="s">
        <v>121</v>
      </c>
      <c r="B17" s="30">
        <v>300</v>
      </c>
      <c r="C17" s="27" cm="1">
        <f t="array" aca="1" ref="C17" ca="1">B17*_FV(MBA_year!A70,"Price")</f>
        <v>30508.799999999999</v>
      </c>
      <c r="D17" s="28">
        <f ca="1">B17*B43</f>
        <v>279.13437195902378</v>
      </c>
    </row>
    <row r="18" spans="1:5" x14ac:dyDescent="0.3">
      <c r="A18" s="2" t="s">
        <v>3</v>
      </c>
      <c r="B18" s="30">
        <v>300</v>
      </c>
      <c r="C18" s="27" cm="1">
        <f t="array" aca="1" ref="C18" ca="1">B18*_FV(MBA_year!A70,"Price")</f>
        <v>30508.799999999999</v>
      </c>
      <c r="D18" s="28">
        <f ca="1">B18*B43</f>
        <v>279.13437195902378</v>
      </c>
    </row>
    <row r="19" spans="1:5" x14ac:dyDescent="0.3">
      <c r="A19" s="2" t="s">
        <v>61</v>
      </c>
      <c r="B19" s="30">
        <v>300</v>
      </c>
      <c r="C19" s="27" cm="1">
        <f t="array" aca="1" ref="C19" ca="1">B19*_FV(MBA_year!A70,"Price")</f>
        <v>30508.799999999999</v>
      </c>
      <c r="D19" s="28">
        <f ca="1">B19*B43</f>
        <v>279.13437195902378</v>
      </c>
    </row>
    <row r="20" spans="1:5" x14ac:dyDescent="0.3">
      <c r="A20" s="2" t="s">
        <v>21</v>
      </c>
      <c r="B20" s="30">
        <v>200</v>
      </c>
      <c r="C20" s="27" cm="1">
        <f t="array" aca="1" ref="C20" ca="1">B20*_FV(MBA_year!A70,"Price")</f>
        <v>20339.2</v>
      </c>
      <c r="D20" s="28">
        <f ca="1">B20*B43</f>
        <v>186.08958130601587</v>
      </c>
    </row>
    <row r="21" spans="1:5" x14ac:dyDescent="0.3">
      <c r="A21" s="2" t="s">
        <v>22</v>
      </c>
      <c r="B21" s="30">
        <v>200</v>
      </c>
      <c r="C21" s="27" cm="1">
        <f t="array" aca="1" ref="C21" ca="1">B21*_FV(MBA_year!A70,"Price")</f>
        <v>20339.2</v>
      </c>
      <c r="D21" s="28">
        <f ca="1">B21*B43</f>
        <v>186.08958130601587</v>
      </c>
    </row>
    <row r="22" spans="1:5" x14ac:dyDescent="0.3">
      <c r="A22" s="2" t="s">
        <v>7</v>
      </c>
      <c r="B22" s="30">
        <v>200</v>
      </c>
      <c r="C22" s="27" cm="1">
        <f t="array" aca="1" ref="C22" ca="1">B22*_FV(MBA_year!A70,"Price")</f>
        <v>20339.2</v>
      </c>
      <c r="D22" s="28">
        <f ca="1">B22*B43</f>
        <v>186.08958130601587</v>
      </c>
    </row>
    <row r="23" spans="1:5" x14ac:dyDescent="0.3">
      <c r="B23" s="30">
        <v>300</v>
      </c>
      <c r="C23" s="27" cm="1">
        <f t="array" aca="1" ref="C23" ca="1">B23*_FV(MBA_year!A70,"Price")</f>
        <v>30508.799999999999</v>
      </c>
      <c r="D23" s="28">
        <f ca="1">B23*B43</f>
        <v>279.13437195902378</v>
      </c>
    </row>
    <row r="24" spans="1:5" x14ac:dyDescent="0.3">
      <c r="B24" s="30"/>
      <c r="C24" s="27" cm="1">
        <f t="array" aca="1" ref="C24" ca="1">B24*_FV(MBA_year!A70,"Price")</f>
        <v>0</v>
      </c>
      <c r="D24" s="28">
        <f ca="1">B24*B43</f>
        <v>0</v>
      </c>
    </row>
    <row r="25" spans="1:5" x14ac:dyDescent="0.3">
      <c r="A25" s="2" t="s">
        <v>123</v>
      </c>
      <c r="B25" s="30">
        <v>150</v>
      </c>
      <c r="C25" s="27" cm="1">
        <f t="array" aca="1" ref="C25" ca="1">B25*_FV(MBA_year!A70,"Price")</f>
        <v>15254.4</v>
      </c>
      <c r="D25" s="28">
        <f ca="1">B25*B43</f>
        <v>139.56718597951189</v>
      </c>
      <c r="E25" s="2" t="s">
        <v>124</v>
      </c>
    </row>
    <row r="26" spans="1:5" x14ac:dyDescent="0.3">
      <c r="A26" s="2" t="s">
        <v>67</v>
      </c>
      <c r="B26" s="28">
        <f>SUM(B15:B25)</f>
        <v>3650</v>
      </c>
      <c r="C26" s="27">
        <f ca="1">SUM(C15:C25)</f>
        <v>371190.4</v>
      </c>
      <c r="D26" s="28">
        <f ca="1">SUM(D15:D25)</f>
        <v>3396.1348588347896</v>
      </c>
    </row>
    <row r="28" spans="1:5" x14ac:dyDescent="0.3">
      <c r="A28" s="56" t="s">
        <v>80</v>
      </c>
      <c r="B28" s="56"/>
      <c r="C28" s="56"/>
      <c r="D28" s="5"/>
    </row>
    <row r="29" spans="1:5" x14ac:dyDescent="0.3">
      <c r="A29" s="11" t="s">
        <v>63</v>
      </c>
      <c r="B29" s="44">
        <f>75518*36.97%</f>
        <v>27919.004599999997</v>
      </c>
      <c r="C29" s="49" cm="1">
        <f t="array" aca="1" ref="C29" ca="1">B29*_FV(MBA_year!A70,"Price")</f>
        <v>2839251.0918015996</v>
      </c>
      <c r="D29" s="15"/>
      <c r="E29" s="2" t="s">
        <v>75</v>
      </c>
    </row>
    <row r="30" spans="1:5" x14ac:dyDescent="0.3">
      <c r="A30" s="2" t="s">
        <v>64</v>
      </c>
      <c r="B30" s="28">
        <f>-(75518-B3)*49.5%</f>
        <v>7168.59</v>
      </c>
      <c r="C30" s="27" cm="1">
        <f t="array" aca="1" ref="C30" ca="1">B30*_FV(MBA_year!A70,"Price")</f>
        <v>729016.92864000006</v>
      </c>
      <c r="E30" s="2" t="s">
        <v>76</v>
      </c>
    </row>
    <row r="31" spans="1:5" x14ac:dyDescent="0.3">
      <c r="A31" s="2" t="s">
        <v>65</v>
      </c>
      <c r="B31" s="28">
        <f>B29+B30</f>
        <v>35087.594599999997</v>
      </c>
      <c r="C31" s="27" cm="1">
        <f t="array" aca="1" ref="C31" ca="1">B31*_FV(MBA_year!A70,"Price")</f>
        <v>3568268.0204415997</v>
      </c>
      <c r="E31" s="2" t="s">
        <v>66</v>
      </c>
    </row>
    <row r="32" spans="1:5" x14ac:dyDescent="0.3">
      <c r="A32" s="2" t="s">
        <v>72</v>
      </c>
      <c r="B32" s="28">
        <f>B31/12</f>
        <v>2923.9662166666662</v>
      </c>
      <c r="C32" s="27" cm="1">
        <f t="array" aca="1" ref="C32" ca="1">B32*_FV(MBA_year!A70,"Price")</f>
        <v>297355.66837013327</v>
      </c>
      <c r="E32" s="13" t="s">
        <v>78</v>
      </c>
    </row>
    <row r="35" spans="1:5" x14ac:dyDescent="0.3">
      <c r="A35" s="56" t="s">
        <v>69</v>
      </c>
      <c r="B35" s="56"/>
      <c r="C35" s="56"/>
      <c r="D35" s="5"/>
    </row>
    <row r="36" spans="1:5" x14ac:dyDescent="0.3">
      <c r="A36" s="2" t="s">
        <v>70</v>
      </c>
      <c r="B36" s="28" cm="1">
        <f t="array" aca="1" ref="B36" ca="1">C36*_FV(MBA_year!A71,"price")</f>
        <v>457.54505631321535</v>
      </c>
      <c r="C36" s="27">
        <f>MBA_year!C51</f>
        <v>46545.783958618042</v>
      </c>
    </row>
    <row r="39" spans="1:5" x14ac:dyDescent="0.3">
      <c r="A39" s="2" t="s">
        <v>71</v>
      </c>
      <c r="B39" s="28">
        <f ca="1">B36+B32+B26</f>
        <v>7031.5112729798821</v>
      </c>
      <c r="C39" s="27" cm="1">
        <f t="array" aca="1" ref="C39" ca="1">B39*_FV(MBA_year!A70,"Price")</f>
        <v>715076.57041696203</v>
      </c>
      <c r="D39" s="28">
        <f ca="1">B36+B32+D26</f>
        <v>6777.6461318146712</v>
      </c>
    </row>
    <row r="40" spans="1:5" x14ac:dyDescent="0.3">
      <c r="A40" s="2" t="s">
        <v>73</v>
      </c>
      <c r="B40" s="28">
        <f>B4</f>
        <v>7500</v>
      </c>
      <c r="C40" s="27" cm="1">
        <f t="array" aca="1" ref="C40" ca="1">B40*_FV(MBA_year!A70,"Price")</f>
        <v>762720</v>
      </c>
      <c r="D40" s="28">
        <f>B40</f>
        <v>7500</v>
      </c>
    </row>
    <row r="41" spans="1:5" x14ac:dyDescent="0.3">
      <c r="A41" s="2" t="s">
        <v>74</v>
      </c>
      <c r="B41" s="50">
        <f ca="1">B40-B39</f>
        <v>468.48872702011795</v>
      </c>
      <c r="C41" s="27">
        <f ca="1">C40-C39</f>
        <v>47643.429583037971</v>
      </c>
      <c r="D41" s="28">
        <f ca="1">D40-D39</f>
        <v>722.35386818532879</v>
      </c>
      <c r="E41" s="2" t="s">
        <v>122</v>
      </c>
    </row>
    <row r="42" spans="1:5" x14ac:dyDescent="0.3">
      <c r="A42" s="2" t="s">
        <v>82</v>
      </c>
      <c r="D42" s="51">
        <v>500</v>
      </c>
    </row>
    <row r="43" spans="1:5" x14ac:dyDescent="0.3">
      <c r="A43" s="2" t="s">
        <v>83</v>
      </c>
      <c r="B43" s="45">
        <f ca="1">(B40-(B36+D42))/B39</f>
        <v>0.93044790653007936</v>
      </c>
      <c r="E43" s="2" t="s">
        <v>84</v>
      </c>
    </row>
    <row r="48" spans="1:5" x14ac:dyDescent="0.3">
      <c r="A48" s="61" t="s">
        <v>100</v>
      </c>
      <c r="B48" s="60"/>
      <c r="C48" s="60"/>
      <c r="D48" s="60"/>
    </row>
    <row r="49" spans="1:5" x14ac:dyDescent="0.3">
      <c r="A49" s="2" t="s">
        <v>90</v>
      </c>
      <c r="B49" s="28">
        <f ca="1">MBA_year!B53</f>
        <v>82358.11013637876</v>
      </c>
      <c r="C49" s="27">
        <f>MBA_year!C53</f>
        <v>8378241.1125512477</v>
      </c>
    </row>
    <row r="50" spans="1:5" x14ac:dyDescent="0.3">
      <c r="A50" s="2" t="s">
        <v>50</v>
      </c>
      <c r="B50" s="28">
        <f ca="1">B41</f>
        <v>468.48872702011795</v>
      </c>
      <c r="C50" s="27">
        <f ca="1">C41</f>
        <v>47643.429583037971</v>
      </c>
    </row>
    <row r="51" spans="1:5" x14ac:dyDescent="0.3">
      <c r="A51" s="2" t="s">
        <v>91</v>
      </c>
      <c r="B51" s="28">
        <f ca="1">B50*12</f>
        <v>5621.8647242414154</v>
      </c>
      <c r="C51" s="27">
        <f ca="1">C50*12</f>
        <v>571721.15499645565</v>
      </c>
    </row>
    <row r="52" spans="1:5" x14ac:dyDescent="0.3">
      <c r="A52" s="2" t="s">
        <v>92</v>
      </c>
      <c r="B52" s="28">
        <f>D42</f>
        <v>500</v>
      </c>
      <c r="C52" s="27" cm="1">
        <f t="array" aca="1" ref="C52" ca="1">B52*_FV(MBA_year!A70,"Price")</f>
        <v>50848</v>
      </c>
    </row>
    <row r="53" spans="1:5" x14ac:dyDescent="0.3">
      <c r="A53" s="2" t="s">
        <v>93</v>
      </c>
      <c r="B53" s="28">
        <f>B52*12</f>
        <v>6000</v>
      </c>
      <c r="C53" s="27">
        <f ca="1">C52*12</f>
        <v>610176</v>
      </c>
    </row>
    <row r="54" spans="1:5" x14ac:dyDescent="0.3">
      <c r="A54" s="2" t="s">
        <v>94</v>
      </c>
      <c r="B54" s="28" cm="1">
        <f t="array" aca="1" ref="B54" ca="1">C54*_FV(MBA_year!A71,"price")</f>
        <v>76867.569460620187</v>
      </c>
      <c r="C54" s="27">
        <f>C49-(MBA_year!C52*D54)</f>
        <v>7819691.7050478309</v>
      </c>
      <c r="D54" s="46">
        <v>1</v>
      </c>
      <c r="E54" s="2" t="s">
        <v>95</v>
      </c>
    </row>
    <row r="55" spans="1:5" x14ac:dyDescent="0.3">
      <c r="A55" s="2" t="s">
        <v>99</v>
      </c>
      <c r="B55" s="47">
        <f ca="1">C54/(C50+MBA_year!C51)/12</f>
        <v>6.9184246360912516</v>
      </c>
      <c r="C55" s="48" t="str">
        <f ca="1">INT(B55) &amp; " Years, " &amp; ROUND((B55 - INT(B55)) * 12, 0) &amp; " Months"</f>
        <v>6 Years, 11 Months</v>
      </c>
    </row>
    <row r="56" spans="1:5" x14ac:dyDescent="0.3">
      <c r="A56" s="2" t="s">
        <v>98</v>
      </c>
      <c r="B56" s="47">
        <f ca="1">C54/(C52+MBA_year!C51)/12</f>
        <v>6.6907860947011821</v>
      </c>
      <c r="C56" s="48" t="str">
        <f ca="1">INT(B56) &amp; " Years, " &amp; ROUND((B56 - INT(B56)) * 12, 0) &amp; " Months"</f>
        <v>6 Years, 8 Months</v>
      </c>
    </row>
  </sheetData>
  <mergeCells count="7">
    <mergeCell ref="A1:E1"/>
    <mergeCell ref="A48:D48"/>
    <mergeCell ref="E2:F2"/>
    <mergeCell ref="A6:C6"/>
    <mergeCell ref="A14:C14"/>
    <mergeCell ref="A28:C28"/>
    <mergeCell ref="A35:C35"/>
  </mergeCells>
  <pageMargins left="0.7" right="0.7" top="0.75" bottom="0.75" header="0.3" footer="0.3"/>
  <ignoredErrors>
    <ignoredError sqref="B52:C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MBA_year</vt:lpstr>
      <vt:lpstr>post_MBA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Rana</dc:creator>
  <cp:lastModifiedBy>Shubham Rana</cp:lastModifiedBy>
  <dcterms:created xsi:type="dcterms:W3CDTF">2015-06-05T18:17:20Z</dcterms:created>
  <dcterms:modified xsi:type="dcterms:W3CDTF">2025-08-21T16:42:53Z</dcterms:modified>
</cp:coreProperties>
</file>