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ucaiado/GIT/ShortRate_Model/"/>
    </mc:Choice>
  </mc:AlternateContent>
  <bookViews>
    <workbookView xWindow="0" yWindow="0" windowWidth="38400" windowHeight="21600" tabRatio="500"/>
  </bookViews>
  <sheets>
    <sheet name="Sheet1" sheetId="1" r:id="rId1"/>
  </sheets>
  <definedNames>
    <definedName name="_vol">Sheet1!$B$14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73" i="1" l="1"/>
  <c r="N73" i="1"/>
  <c r="O72" i="1"/>
  <c r="M72" i="1"/>
  <c r="O71" i="1"/>
  <c r="N71" i="1"/>
  <c r="O86" i="1"/>
  <c r="N86" i="1"/>
  <c r="M86" i="1"/>
  <c r="O84" i="1"/>
  <c r="N84" i="1"/>
  <c r="M84" i="1"/>
  <c r="O83" i="1"/>
  <c r="N83" i="1"/>
  <c r="M83" i="1"/>
  <c r="O82" i="1"/>
  <c r="N82" i="1"/>
  <c r="M82" i="1"/>
  <c r="O81" i="1"/>
  <c r="N81" i="1"/>
  <c r="M81" i="1"/>
  <c r="O79" i="1"/>
  <c r="N79" i="1"/>
  <c r="M79" i="1"/>
  <c r="O78" i="1"/>
  <c r="N78" i="1"/>
  <c r="M78" i="1"/>
  <c r="O77" i="1"/>
  <c r="N77" i="1"/>
  <c r="M77" i="1"/>
  <c r="O76" i="1"/>
  <c r="N76" i="1"/>
  <c r="M76" i="1"/>
  <c r="O74" i="1"/>
  <c r="N74" i="1"/>
  <c r="M74" i="1"/>
  <c r="M73" i="1"/>
  <c r="N72" i="1"/>
  <c r="M71" i="1"/>
  <c r="M61" i="1"/>
  <c r="P53" i="1"/>
  <c r="P61" i="1"/>
  <c r="P69" i="1"/>
  <c r="N65" i="1"/>
  <c r="N57" i="1"/>
  <c r="F80" i="1"/>
  <c r="F51" i="1"/>
  <c r="F59" i="1"/>
  <c r="D26" i="1"/>
  <c r="D24" i="1"/>
  <c r="D32" i="1"/>
  <c r="B28" i="1"/>
  <c r="F4" i="1"/>
  <c r="E7" i="1"/>
  <c r="E3" i="1"/>
  <c r="F3" i="1"/>
  <c r="I3" i="1"/>
  <c r="G3" i="1"/>
  <c r="H3" i="1"/>
  <c r="H4" i="1"/>
  <c r="H5" i="1"/>
  <c r="F5" i="1"/>
  <c r="E5" i="1"/>
  <c r="I4" i="1"/>
  <c r="I5" i="1"/>
  <c r="G4" i="1"/>
  <c r="G5" i="1"/>
  <c r="B80" i="1"/>
  <c r="D80" i="1"/>
  <c r="F79" i="1"/>
  <c r="D79" i="1"/>
  <c r="B79" i="1"/>
  <c r="B78" i="1"/>
  <c r="D78" i="1"/>
  <c r="F78" i="1"/>
  <c r="F98" i="1"/>
  <c r="F106" i="1"/>
  <c r="H117" i="1"/>
  <c r="H109" i="1"/>
  <c r="H101" i="1"/>
  <c r="F97" i="1"/>
  <c r="D101" i="1"/>
  <c r="F105" i="1"/>
  <c r="D109" i="1"/>
  <c r="F113" i="1"/>
  <c r="F112" i="1"/>
  <c r="F104" i="1"/>
  <c r="D108" i="1"/>
  <c r="F96" i="1"/>
  <c r="D102" i="1"/>
  <c r="D100" i="1"/>
  <c r="B104" i="1"/>
  <c r="F67" i="1"/>
  <c r="F61" i="1"/>
  <c r="F53" i="1"/>
  <c r="D57" i="1"/>
  <c r="D55" i="1"/>
  <c r="D63" i="1"/>
  <c r="B59" i="1"/>
  <c r="B9" i="1"/>
  <c r="E4" i="1"/>
  <c r="B11" i="1"/>
  <c r="B10" i="1"/>
</calcChain>
</file>

<file path=xl/sharedStrings.xml><?xml version="1.0" encoding="utf-8"?>
<sst xmlns="http://schemas.openxmlformats.org/spreadsheetml/2006/main" count="41" uniqueCount="27">
  <si>
    <t>Table I</t>
  </si>
  <si>
    <t>Maturity</t>
  </si>
  <si>
    <t>Yield to</t>
  </si>
  <si>
    <t>Value</t>
  </si>
  <si>
    <t>Rate</t>
  </si>
  <si>
    <t>Cupon</t>
  </si>
  <si>
    <t>Spot</t>
  </si>
  <si>
    <t>Recebo</t>
  </si>
  <si>
    <t>Year</t>
  </si>
  <si>
    <t>Forward</t>
  </si>
  <si>
    <t>vol</t>
  </si>
  <si>
    <t>C</t>
  </si>
  <si>
    <t>V</t>
  </si>
  <si>
    <t>r</t>
  </si>
  <si>
    <t>r_0</t>
  </si>
  <si>
    <t>atual</t>
  </si>
  <si>
    <t>F17</t>
  </si>
  <si>
    <t>F18-F17</t>
  </si>
  <si>
    <t>F19-F18</t>
  </si>
  <si>
    <t>r_1</t>
  </si>
  <si>
    <t>r_2</t>
  </si>
  <si>
    <t>Tem que ser 100</t>
  </si>
  <si>
    <t>Preço da opção</t>
  </si>
  <si>
    <t>spot rate</t>
  </si>
  <si>
    <t>Bond</t>
  </si>
  <si>
    <t>Price</t>
  </si>
  <si>
    <t>Present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</si>
</sst>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%"/>
    <numFmt numFmtId="165" formatCode="0.000%"/>
    <numFmt numFmtId="166" formatCode="0.0000"/>
    <numFmt numFmtId="167" formatCode="0.00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BDD7EE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3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10" fontId="0" fillId="0" borderId="0" xfId="0" applyNumberFormat="1"/>
    <xf numFmtId="9" fontId="0" fillId="0" borderId="0" xfId="0" applyNumberFormat="1"/>
    <xf numFmtId="10" fontId="0" fillId="0" borderId="0" xfId="1" applyNumberFormat="1" applyFont="1"/>
    <xf numFmtId="165" fontId="0" fillId="0" borderId="0" xfId="1" applyNumberFormat="1" applyFont="1"/>
    <xf numFmtId="165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167" fontId="0" fillId="2" borderId="0" xfId="0" applyNumberFormat="1" applyFill="1"/>
    <xf numFmtId="167" fontId="0" fillId="5" borderId="0" xfId="0" applyNumberFormat="1" applyFill="1"/>
    <xf numFmtId="167" fontId="0" fillId="3" borderId="0" xfId="0" applyNumberFormat="1" applyFill="1"/>
    <xf numFmtId="0" fontId="0" fillId="6" borderId="0" xfId="0" applyFill="1"/>
    <xf numFmtId="164" fontId="0" fillId="3" borderId="0" xfId="0" applyNumberFormat="1" applyFill="1"/>
    <xf numFmtId="10" fontId="0" fillId="3" borderId="0" xfId="0" applyNumberFormat="1" applyFill="1"/>
    <xf numFmtId="167" fontId="4" fillId="7" borderId="0" xfId="0" applyNumberFormat="1" applyFont="1" applyFill="1"/>
    <xf numFmtId="0" fontId="4" fillId="8" borderId="0" xfId="0" applyFont="1" applyFill="1"/>
    <xf numFmtId="167" fontId="4" fillId="9" borderId="0" xfId="0" applyNumberFormat="1" applyFont="1" applyFill="1"/>
    <xf numFmtId="0" fontId="0" fillId="10" borderId="0" xfId="0" applyFill="1"/>
    <xf numFmtId="167" fontId="0" fillId="0" borderId="0" xfId="0" applyNumberFormat="1"/>
    <xf numFmtId="166" fontId="0" fillId="0" borderId="0" xfId="0" applyNumberFormat="1"/>
  </cellXfs>
  <cellStyles count="3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Sheet1!$M$81:$O$81</c:f>
              <c:numCache>
                <c:formatCode>General</c:formatCode>
                <c:ptCount val="3"/>
                <c:pt idx="0">
                  <c:v>0.0349999999999999</c:v>
                </c:pt>
                <c:pt idx="1">
                  <c:v>0.0423514965946841</c:v>
                </c:pt>
                <c:pt idx="2">
                  <c:v>0.0506919725101942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Sheet1!$M$82:$O$82</c:f>
              <c:numCache>
                <c:formatCode>General</c:formatCode>
                <c:ptCount val="3"/>
                <c:pt idx="0">
                  <c:v>0.0349999999999999</c:v>
                </c:pt>
                <c:pt idx="1">
                  <c:v>0.0423514965946841</c:v>
                </c:pt>
                <c:pt idx="2">
                  <c:v>0.0466580607843014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Sheet1!$M$83:$O$83</c:f>
              <c:numCache>
                <c:formatCode>General</c:formatCode>
                <c:ptCount val="3"/>
                <c:pt idx="0">
                  <c:v>0.0349999999999999</c:v>
                </c:pt>
                <c:pt idx="1">
                  <c:v>0.0378640974890103</c:v>
                </c:pt>
                <c:pt idx="2">
                  <c:v>0.0436519418204204</c:v>
                </c:pt>
              </c:numCache>
            </c:numRef>
          </c:val>
          <c:smooth val="0"/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Sheet1!$M$84:$O$84</c:f>
              <c:numCache>
                <c:formatCode>General</c:formatCode>
                <c:ptCount val="3"/>
                <c:pt idx="0">
                  <c:v>0.0349999999999999</c:v>
                </c:pt>
                <c:pt idx="1">
                  <c:v>0.0378640974890103</c:v>
                </c:pt>
                <c:pt idx="2">
                  <c:v>0.0403355037668061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46982752"/>
        <c:axId val="-2146770176"/>
      </c:lineChart>
      <c:catAx>
        <c:axId val="21469827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6770176"/>
        <c:crosses val="autoZero"/>
        <c:auto val="1"/>
        <c:lblAlgn val="ctr"/>
        <c:lblOffset val="100"/>
        <c:noMultiLvlLbl val="0"/>
      </c:catAx>
      <c:valAx>
        <c:axId val="-2146770176"/>
        <c:scaling>
          <c:orientation val="minMax"/>
          <c:min val="0.03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6982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63500</xdr:colOff>
      <xdr:row>48</xdr:row>
      <xdr:rowOff>101600</xdr:rowOff>
    </xdr:from>
    <xdr:to>
      <xdr:col>22</xdr:col>
      <xdr:colOff>508000</xdr:colOff>
      <xdr:row>62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8"/>
  <sheetViews>
    <sheetView tabSelected="1" workbookViewId="0">
      <selection activeCell="E3" sqref="E3:E4"/>
    </sheetView>
  </sheetViews>
  <sheetFormatPr baseColWidth="10" defaultRowHeight="16" x14ac:dyDescent="0.2"/>
  <cols>
    <col min="4" max="4" width="12.6640625" bestFit="1" customWidth="1"/>
    <col min="6" max="6" width="20.33203125" bestFit="1" customWidth="1"/>
  </cols>
  <sheetData>
    <row r="1" spans="1:9" x14ac:dyDescent="0.2">
      <c r="A1" t="s">
        <v>0</v>
      </c>
      <c r="B1" t="s">
        <v>2</v>
      </c>
      <c r="D1" t="s">
        <v>3</v>
      </c>
      <c r="E1" t="s">
        <v>6</v>
      </c>
      <c r="F1" t="s">
        <v>24</v>
      </c>
      <c r="G1" t="s">
        <v>7</v>
      </c>
      <c r="I1" t="s">
        <v>26</v>
      </c>
    </row>
    <row r="2" spans="1:9" x14ac:dyDescent="0.2">
      <c r="A2" t="s">
        <v>1</v>
      </c>
      <c r="B2" t="s">
        <v>1</v>
      </c>
      <c r="C2" t="s">
        <v>5</v>
      </c>
      <c r="E2" t="s">
        <v>4</v>
      </c>
      <c r="F2" t="s">
        <v>25</v>
      </c>
      <c r="I2" t="s">
        <v>5</v>
      </c>
    </row>
    <row r="3" spans="1:9" x14ac:dyDescent="0.2">
      <c r="A3">
        <v>1</v>
      </c>
      <c r="B3" s="1">
        <v>3.5000000000000003E-2</v>
      </c>
      <c r="C3">
        <v>5.25</v>
      </c>
      <c r="D3">
        <v>100</v>
      </c>
      <c r="E3" s="4">
        <f>((D3+C3)/F3)^(1/A3)-1</f>
        <v>3.499999999999992E-2</v>
      </c>
      <c r="F3">
        <f>G3/(1+B3)</f>
        <v>101.69082125603866</v>
      </c>
      <c r="G3">
        <f>D3+C3</f>
        <v>105.25</v>
      </c>
      <c r="H3">
        <f>I3</f>
        <v>5.0724637681159424</v>
      </c>
      <c r="I3">
        <f>C3/(1+B3)^A3</f>
        <v>5.0724637681159424</v>
      </c>
    </row>
    <row r="4" spans="1:9" x14ac:dyDescent="0.2">
      <c r="A4">
        <v>2</v>
      </c>
      <c r="B4" s="13">
        <v>0.04</v>
      </c>
      <c r="C4">
        <v>5.25</v>
      </c>
      <c r="D4">
        <v>100</v>
      </c>
      <c r="E4" s="4">
        <f>((D4+C4)/(F4-H3))^(1/2)-1</f>
        <v>4.0130342238407168E-2</v>
      </c>
      <c r="F4" s="20">
        <f>C3/(1+B4)+ (D4+C4)/((1+B4)^2)</f>
        <v>102.35761834319526</v>
      </c>
      <c r="G4">
        <f>SUM(C3:C4)+D4</f>
        <v>110.5</v>
      </c>
      <c r="H4">
        <f>I4</f>
        <v>4.8539201183431944</v>
      </c>
      <c r="I4">
        <f>C4/(1+B4)^A4</f>
        <v>4.8539201183431944</v>
      </c>
    </row>
    <row r="5" spans="1:9" x14ac:dyDescent="0.2">
      <c r="A5">
        <v>3</v>
      </c>
      <c r="B5" s="14">
        <v>4.4999999999999998E-2</v>
      </c>
      <c r="C5">
        <v>5.25</v>
      </c>
      <c r="D5">
        <v>100</v>
      </c>
      <c r="E5" s="4">
        <f>((D5+C5)/(F5-H4-H3))^(1/3)-1</f>
        <v>4.5358580118434189E-2</v>
      </c>
      <c r="F5">
        <f>(D5+C5)/(1+B5)^3+C4/(1+B5)^2+C3/(1+B5)^1</f>
        <v>102.06172326575154</v>
      </c>
      <c r="G5">
        <f>SUM(C3:C5)+D5</f>
        <v>115.75</v>
      </c>
      <c r="H5">
        <f>I5</f>
        <v>4.6005571712882736</v>
      </c>
      <c r="I5">
        <f>C5/(1+B5)^A5</f>
        <v>4.6005571712882736</v>
      </c>
    </row>
    <row r="7" spans="1:9" x14ac:dyDescent="0.2">
      <c r="E7" s="20">
        <f>(C4/(F4-I3))^(1/2)-1</f>
        <v>-0.76769617268614199</v>
      </c>
    </row>
    <row r="8" spans="1:9" x14ac:dyDescent="0.2">
      <c r="A8" t="s">
        <v>8</v>
      </c>
      <c r="B8" t="s">
        <v>9</v>
      </c>
    </row>
    <row r="9" spans="1:9" x14ac:dyDescent="0.2">
      <c r="A9">
        <v>1</v>
      </c>
      <c r="B9" s="5">
        <f>B3</f>
        <v>3.5000000000000003E-2</v>
      </c>
    </row>
    <row r="10" spans="1:9" x14ac:dyDescent="0.2">
      <c r="A10">
        <v>2</v>
      </c>
      <c r="B10" s="4">
        <f>(1+E4)^A10/(1+E3)-1</f>
        <v>4.5286114826073476E-2</v>
      </c>
    </row>
    <row r="11" spans="1:9" x14ac:dyDescent="0.2">
      <c r="A11">
        <v>3</v>
      </c>
      <c r="B11" s="4">
        <f>(1+E5)^A11/((1+E4)^2)-1</f>
        <v>5.5894027530378088E-2</v>
      </c>
    </row>
    <row r="14" spans="1:9" x14ac:dyDescent="0.2">
      <c r="A14" t="s">
        <v>10</v>
      </c>
      <c r="B14" s="2">
        <v>0.1</v>
      </c>
    </row>
    <row r="15" spans="1:9" x14ac:dyDescent="0.2">
      <c r="B15" t="s">
        <v>16</v>
      </c>
      <c r="D15" t="s">
        <v>17</v>
      </c>
      <c r="F15" t="s">
        <v>18</v>
      </c>
    </row>
    <row r="16" spans="1:9" x14ac:dyDescent="0.2">
      <c r="B16" t="s">
        <v>14</v>
      </c>
      <c r="D16" t="s">
        <v>19</v>
      </c>
      <c r="F16" t="s">
        <v>20</v>
      </c>
    </row>
    <row r="20" spans="1:6" x14ac:dyDescent="0.2">
      <c r="F20" s="7">
        <v>100</v>
      </c>
    </row>
    <row r="21" spans="1:6" x14ac:dyDescent="0.2">
      <c r="F21" s="8">
        <v>4</v>
      </c>
    </row>
    <row r="22" spans="1:6" x14ac:dyDescent="0.2">
      <c r="F22" s="6"/>
    </row>
    <row r="24" spans="1:6" x14ac:dyDescent="0.2">
      <c r="D24" s="11">
        <f>((F20+F21)/(1+D26/100)+(F28+F29)/(1+D26/100))*0.5</f>
        <v>99.070715724405659</v>
      </c>
    </row>
    <row r="25" spans="1:6" x14ac:dyDescent="0.2">
      <c r="D25" s="8">
        <v>4</v>
      </c>
    </row>
    <row r="26" spans="1:6" x14ac:dyDescent="0.2">
      <c r="D26" s="9">
        <f>D34*EXP(2*_vol)</f>
        <v>4.9755210099688769</v>
      </c>
    </row>
    <row r="27" spans="1:6" x14ac:dyDescent="0.2">
      <c r="B27" s="12" t="s">
        <v>21</v>
      </c>
    </row>
    <row r="28" spans="1:6" x14ac:dyDescent="0.2">
      <c r="A28" t="s">
        <v>12</v>
      </c>
      <c r="B28" s="11">
        <f>((D24+D25)/(1+B30/100)+(D32+D33)/(1+B30/100))*0.5</f>
        <v>99.99999273332935</v>
      </c>
      <c r="F28" s="7">
        <v>100</v>
      </c>
    </row>
    <row r="29" spans="1:6" x14ac:dyDescent="0.2">
      <c r="A29" t="s">
        <v>11</v>
      </c>
      <c r="B29" s="8">
        <v>0</v>
      </c>
      <c r="F29" s="8">
        <v>4</v>
      </c>
    </row>
    <row r="30" spans="1:6" x14ac:dyDescent="0.2">
      <c r="A30" t="s">
        <v>13</v>
      </c>
      <c r="B30" s="10">
        <v>3.5</v>
      </c>
      <c r="F30" s="6"/>
    </row>
    <row r="32" spans="1:6" x14ac:dyDescent="0.2">
      <c r="D32" s="11">
        <f>((F28+F29)/(1+D34/100)+(F36+F37)/(1+D34/100))*0.5</f>
        <v>99.929269233586069</v>
      </c>
    </row>
    <row r="33" spans="1:8" x14ac:dyDescent="0.2">
      <c r="D33" s="8">
        <v>4</v>
      </c>
    </row>
    <row r="34" spans="1:8" x14ac:dyDescent="0.2">
      <c r="A34" t="s">
        <v>14</v>
      </c>
      <c r="B34" t="s">
        <v>15</v>
      </c>
      <c r="D34" s="10">
        <v>4.0736120634471398</v>
      </c>
    </row>
    <row r="36" spans="1:8" x14ac:dyDescent="0.2">
      <c r="F36" s="7">
        <v>100</v>
      </c>
    </row>
    <row r="37" spans="1:8" x14ac:dyDescent="0.2">
      <c r="F37" s="8">
        <v>4</v>
      </c>
    </row>
    <row r="38" spans="1:8" x14ac:dyDescent="0.2">
      <c r="F38" s="6"/>
    </row>
    <row r="47" spans="1:8" x14ac:dyDescent="0.2">
      <c r="H47" s="7">
        <v>100</v>
      </c>
    </row>
    <row r="48" spans="1:8" x14ac:dyDescent="0.2">
      <c r="H48" s="8">
        <v>4.5</v>
      </c>
    </row>
    <row r="49" spans="1:16" x14ac:dyDescent="0.2">
      <c r="H49" s="6"/>
    </row>
    <row r="51" spans="1:16" x14ac:dyDescent="0.2">
      <c r="F51" s="11">
        <f>((H47+H48)/(1+F53/100)+(H55+H56)/(1+F53/100))*0.5</f>
        <v>97.885516442585612</v>
      </c>
    </row>
    <row r="52" spans="1:16" x14ac:dyDescent="0.2">
      <c r="F52" s="8">
        <v>4.5</v>
      </c>
    </row>
    <row r="53" spans="1:16" x14ac:dyDescent="0.2">
      <c r="F53" s="9">
        <f>F61*EXP(2*_vol)</f>
        <v>6.7573669709288327</v>
      </c>
      <c r="P53">
        <f>1+F53/100</f>
        <v>1.0675736697092884</v>
      </c>
    </row>
    <row r="55" spans="1:16" x14ac:dyDescent="0.2">
      <c r="D55" s="11">
        <f>((F51+F52)/(1+D57/100)+(F59+F60)/(1+D57/100))*0.5</f>
        <v>98.073901662547669</v>
      </c>
      <c r="H55" s="7">
        <v>100</v>
      </c>
    </row>
    <row r="56" spans="1:16" x14ac:dyDescent="0.2">
      <c r="D56" s="8">
        <v>4.5</v>
      </c>
      <c r="H56" s="8">
        <v>4.5</v>
      </c>
    </row>
    <row r="57" spans="1:16" x14ac:dyDescent="0.2">
      <c r="D57" s="9">
        <f>D65*EXP(2*_vol)</f>
        <v>4.9755210099688831</v>
      </c>
      <c r="H57" s="6"/>
      <c r="N57">
        <f>1+D57/100</f>
        <v>1.0497552100996888</v>
      </c>
    </row>
    <row r="58" spans="1:16" x14ac:dyDescent="0.2">
      <c r="B58" s="12" t="s">
        <v>21</v>
      </c>
    </row>
    <row r="59" spans="1:16" x14ac:dyDescent="0.2">
      <c r="A59" t="s">
        <v>12</v>
      </c>
      <c r="B59" s="11">
        <f>((D55+D56)/(1+B61/100)+(D63+D64)/(1+B61/100))*0.5</f>
        <v>99.99998752258665</v>
      </c>
      <c r="F59" s="11">
        <f>((H55+H56)/(1+F61/100)+(H63+H64)/(1+F61/100))*0.5</f>
        <v>99.021662047542279</v>
      </c>
    </row>
    <row r="60" spans="1:16" x14ac:dyDescent="0.2">
      <c r="A60" t="s">
        <v>11</v>
      </c>
      <c r="B60" s="8">
        <v>0</v>
      </c>
      <c r="F60" s="8">
        <v>4.5</v>
      </c>
    </row>
    <row r="61" spans="1:16" x14ac:dyDescent="0.2">
      <c r="A61" t="s">
        <v>13</v>
      </c>
      <c r="B61" s="10">
        <v>3.5</v>
      </c>
      <c r="F61" s="9">
        <f>F69*EXP(2*_vol)</f>
        <v>5.5324641489328439</v>
      </c>
      <c r="M61" s="19">
        <f>B61/100+1</f>
        <v>1.0349999999999999</v>
      </c>
      <c r="P61">
        <f>1+F61/100</f>
        <v>1.0553246414893285</v>
      </c>
    </row>
    <row r="63" spans="1:16" x14ac:dyDescent="0.2">
      <c r="D63" s="11">
        <f>((F59+F60)/(1+D65/100)+(F67+F68)/(1+D65/100))*0.5</f>
        <v>99.926072509206676</v>
      </c>
      <c r="H63" s="7">
        <v>100</v>
      </c>
    </row>
    <row r="64" spans="1:16" x14ac:dyDescent="0.2">
      <c r="D64" s="8">
        <v>4.5</v>
      </c>
      <c r="H64" s="8">
        <v>4.5</v>
      </c>
    </row>
    <row r="65" spans="1:16" x14ac:dyDescent="0.2">
      <c r="A65" t="s">
        <v>14</v>
      </c>
      <c r="B65" t="s">
        <v>15</v>
      </c>
      <c r="D65" s="10">
        <v>4.0736120634471442</v>
      </c>
      <c r="H65" s="6"/>
      <c r="N65">
        <f>1+D65/100</f>
        <v>1.0407361206344714</v>
      </c>
    </row>
    <row r="67" spans="1:16" x14ac:dyDescent="0.2">
      <c r="F67" s="11">
        <f>((H63+H64)/(1+F69/100)+(H71+H72)/(1+F69/100))*0.5</f>
        <v>99.971684059399053</v>
      </c>
    </row>
    <row r="68" spans="1:16" x14ac:dyDescent="0.2">
      <c r="F68" s="8">
        <v>4.5</v>
      </c>
    </row>
    <row r="69" spans="1:16" x14ac:dyDescent="0.2">
      <c r="F69" s="10">
        <v>4.5295985390327234</v>
      </c>
      <c r="P69">
        <f>1+F69/100</f>
        <v>1.0452959853903272</v>
      </c>
    </row>
    <row r="71" spans="1:16" x14ac:dyDescent="0.2">
      <c r="H71" s="15">
        <v>100</v>
      </c>
      <c r="M71" s="19">
        <f>M61</f>
        <v>1.0349999999999999</v>
      </c>
      <c r="N71">
        <f>N57*M71</f>
        <v>1.0864966424531777</v>
      </c>
      <c r="O71">
        <f>N71*P53</f>
        <v>1.1599152077105594</v>
      </c>
    </row>
    <row r="72" spans="1:16" x14ac:dyDescent="0.2">
      <c r="H72" s="16">
        <v>4.5</v>
      </c>
      <c r="M72" s="19">
        <f>M71</f>
        <v>1.0349999999999999</v>
      </c>
      <c r="N72">
        <f>N71</f>
        <v>1.0864966424531777</v>
      </c>
      <c r="O72">
        <f>N72*P61</f>
        <v>1.1466066796762588</v>
      </c>
    </row>
    <row r="73" spans="1:16" x14ac:dyDescent="0.2">
      <c r="H73" s="17"/>
      <c r="M73" s="19">
        <f>M72</f>
        <v>1.0349999999999999</v>
      </c>
      <c r="N73">
        <f>N65*M73</f>
        <v>1.0771618848566777</v>
      </c>
      <c r="O73">
        <f>N73*P61</f>
        <v>1.1367554799623427</v>
      </c>
    </row>
    <row r="74" spans="1:16" x14ac:dyDescent="0.2">
      <c r="M74" s="19">
        <f>M73</f>
        <v>1.0349999999999999</v>
      </c>
      <c r="N74">
        <f>N73</f>
        <v>1.0771618848566777</v>
      </c>
      <c r="O74">
        <f>N74*P69</f>
        <v>1.1259529938561632</v>
      </c>
    </row>
    <row r="76" spans="1:16" x14ac:dyDescent="0.2">
      <c r="M76">
        <f>M71^(1/1)</f>
        <v>1.0349999999999999</v>
      </c>
      <c r="N76">
        <f>N71^(1/2)</f>
        <v>1.0423514965946841</v>
      </c>
      <c r="O76">
        <f>O71^(1/3)</f>
        <v>1.0506919725101942</v>
      </c>
    </row>
    <row r="77" spans="1:16" x14ac:dyDescent="0.2">
      <c r="M77">
        <f t="shared" ref="M77:M79" si="0">M72^(1/1)</f>
        <v>1.0349999999999999</v>
      </c>
      <c r="N77">
        <f t="shared" ref="N77:N79" si="1">N72^(1/2)</f>
        <v>1.0423514965946841</v>
      </c>
      <c r="O77">
        <f t="shared" ref="O77:O79" si="2">O72^(1/3)</f>
        <v>1.0466580607843015</v>
      </c>
    </row>
    <row r="78" spans="1:16" x14ac:dyDescent="0.2">
      <c r="B78" s="19">
        <f>B61</f>
        <v>3.5</v>
      </c>
      <c r="D78">
        <f>(D65+D57)/2</f>
        <v>4.5245665367080132</v>
      </c>
      <c r="F78">
        <f>(F69+F61+F53)/3</f>
        <v>5.6064765529648</v>
      </c>
      <c r="M78">
        <f t="shared" si="0"/>
        <v>1.0349999999999999</v>
      </c>
      <c r="N78">
        <f t="shared" si="1"/>
        <v>1.0378640974890103</v>
      </c>
      <c r="O78">
        <f t="shared" si="2"/>
        <v>1.0436519418204204</v>
      </c>
    </row>
    <row r="79" spans="1:16" x14ac:dyDescent="0.2">
      <c r="B79">
        <f>1+B78/100</f>
        <v>1.0349999999999999</v>
      </c>
      <c r="D79">
        <f>1+D78/100</f>
        <v>1.0452456653670801</v>
      </c>
      <c r="F79">
        <f>1+F78/100</f>
        <v>1.056064765529648</v>
      </c>
      <c r="M79">
        <f t="shared" si="0"/>
        <v>1.0349999999999999</v>
      </c>
      <c r="N79">
        <f t="shared" si="1"/>
        <v>1.0378640974890103</v>
      </c>
      <c r="O79">
        <f t="shared" si="2"/>
        <v>1.0403355037668061</v>
      </c>
    </row>
    <row r="80" spans="1:16" x14ac:dyDescent="0.2">
      <c r="A80" t="s">
        <v>23</v>
      </c>
      <c r="B80" s="3">
        <f>PRODUCT($A$79:B79)-1</f>
        <v>3.499999999999992E-2</v>
      </c>
      <c r="C80" s="3"/>
      <c r="D80" s="3">
        <f>PRODUCT($A$79:D79)^(1/COUNT($A$79:D79))-1</f>
        <v>4.0110217070733256E-2</v>
      </c>
      <c r="E80" s="3"/>
      <c r="F80" s="3">
        <f>PRODUCT($A$79:F79)^(1/COUNT($A$79:F79))-1</f>
        <v>4.5401436899321412E-2</v>
      </c>
    </row>
    <row r="81" spans="1:15" x14ac:dyDescent="0.2">
      <c r="M81">
        <f>M76-1</f>
        <v>3.499999999999992E-2</v>
      </c>
      <c r="N81">
        <f t="shared" ref="N81:O81" si="3">N76-1</f>
        <v>4.2351496594684068E-2</v>
      </c>
      <c r="O81">
        <f t="shared" si="3"/>
        <v>5.0691972510194194E-2</v>
      </c>
    </row>
    <row r="82" spans="1:15" x14ac:dyDescent="0.2">
      <c r="M82">
        <f t="shared" ref="M82:O82" si="4">M77-1</f>
        <v>3.499999999999992E-2</v>
      </c>
      <c r="N82">
        <f t="shared" si="4"/>
        <v>4.2351496594684068E-2</v>
      </c>
      <c r="O82">
        <f t="shared" si="4"/>
        <v>4.6658060784301458E-2</v>
      </c>
    </row>
    <row r="83" spans="1:15" x14ac:dyDescent="0.2">
      <c r="M83">
        <f t="shared" ref="M83:O83" si="5">M78-1</f>
        <v>3.499999999999992E-2</v>
      </c>
      <c r="N83">
        <f t="shared" si="5"/>
        <v>3.7864097489010318E-2</v>
      </c>
      <c r="O83">
        <f t="shared" si="5"/>
        <v>4.3651941820420426E-2</v>
      </c>
    </row>
    <row r="84" spans="1:15" x14ac:dyDescent="0.2">
      <c r="M84">
        <f t="shared" ref="M84:O84" si="6">M79-1</f>
        <v>3.499999999999992E-2</v>
      </c>
      <c r="N84">
        <f t="shared" si="6"/>
        <v>3.7864097489010318E-2</v>
      </c>
      <c r="O84">
        <f t="shared" si="6"/>
        <v>4.0335503766806058E-2</v>
      </c>
    </row>
    <row r="86" spans="1:15" x14ac:dyDescent="0.2">
      <c r="M86">
        <f>AVERAGE(M81:M84)</f>
        <v>3.499999999999992E-2</v>
      </c>
      <c r="N86">
        <f>AVERAGE(N81:N84)</f>
        <v>4.0107797041847193E-2</v>
      </c>
      <c r="O86">
        <f>AVERAGE(O81:O84)</f>
        <v>4.5334369720430534E-2</v>
      </c>
    </row>
    <row r="87" spans="1:15" x14ac:dyDescent="0.2">
      <c r="A87" t="s">
        <v>22</v>
      </c>
    </row>
    <row r="92" spans="1:15" x14ac:dyDescent="0.2">
      <c r="H92" s="7">
        <v>100</v>
      </c>
    </row>
    <row r="93" spans="1:15" x14ac:dyDescent="0.2">
      <c r="H93" s="18">
        <v>5.25</v>
      </c>
    </row>
    <row r="94" spans="1:15" x14ac:dyDescent="0.2">
      <c r="H94" s="6"/>
    </row>
    <row r="96" spans="1:15" x14ac:dyDescent="0.2">
      <c r="F96" s="11">
        <f>((H92+H93)/(1+F98/100)+(H100+H101)/(1+F98/100))*0.5</f>
        <v>98.588044072556315</v>
      </c>
    </row>
    <row r="97" spans="1:8" x14ac:dyDescent="0.2">
      <c r="F97" s="8">
        <f>H93</f>
        <v>5.25</v>
      </c>
    </row>
    <row r="98" spans="1:8" x14ac:dyDescent="0.2">
      <c r="F98" s="9">
        <f>F106*EXP(2*_vol)</f>
        <v>6.7573669709288327</v>
      </c>
    </row>
    <row r="100" spans="1:8" x14ac:dyDescent="0.2">
      <c r="D100" s="11">
        <f>((F96+F97)/(1+D102/100)+(F104+F105)/(1+D102/100))*0.5</f>
        <v>99.461467728890057</v>
      </c>
      <c r="H100" s="7">
        <v>100</v>
      </c>
    </row>
    <row r="101" spans="1:8" x14ac:dyDescent="0.2">
      <c r="D101" s="8">
        <f>F97</f>
        <v>5.25</v>
      </c>
      <c r="H101" s="8">
        <f>H93</f>
        <v>5.25</v>
      </c>
    </row>
    <row r="102" spans="1:8" x14ac:dyDescent="0.2">
      <c r="D102" s="9">
        <f>D110*EXP(2*_vol)</f>
        <v>4.9755210099688831</v>
      </c>
      <c r="H102" s="6"/>
    </row>
    <row r="104" spans="1:8" x14ac:dyDescent="0.2">
      <c r="A104" t="s">
        <v>12</v>
      </c>
      <c r="B104" s="11">
        <f>((D100+D101)/(1+B106/100)+(D108+D109)/(1+B106/100))*0.5</f>
        <v>102.07455278697344</v>
      </c>
      <c r="F104" s="11">
        <f>((H100+H101)/(1+F106/100)+(H108+H109)/(1+F106/100))*0.5</f>
        <v>99.732343832572482</v>
      </c>
    </row>
    <row r="105" spans="1:8" x14ac:dyDescent="0.2">
      <c r="A105" t="s">
        <v>11</v>
      </c>
      <c r="B105" s="8">
        <v>0</v>
      </c>
      <c r="F105" s="8">
        <f>H101</f>
        <v>5.25</v>
      </c>
    </row>
    <row r="106" spans="1:8" x14ac:dyDescent="0.2">
      <c r="A106" t="s">
        <v>13</v>
      </c>
      <c r="B106" s="10">
        <v>3.5</v>
      </c>
      <c r="F106" s="9">
        <f>F114*EXP(2*_vol)</f>
        <v>5.5324641489328439</v>
      </c>
    </row>
    <row r="108" spans="1:8" x14ac:dyDescent="0.2">
      <c r="D108" s="11">
        <f>((F104+F105)/(1+D110/100)+(F112+F113)/(1+D110/100))*0.5</f>
        <v>101.33285654014495</v>
      </c>
      <c r="H108" s="7">
        <v>100</v>
      </c>
    </row>
    <row r="109" spans="1:8" x14ac:dyDescent="0.2">
      <c r="D109" s="8">
        <f>F105</f>
        <v>5.25</v>
      </c>
      <c r="H109" s="8">
        <f>H101</f>
        <v>5.25</v>
      </c>
    </row>
    <row r="110" spans="1:8" x14ac:dyDescent="0.2">
      <c r="A110" t="s">
        <v>14</v>
      </c>
      <c r="B110" t="s">
        <v>15</v>
      </c>
      <c r="D110" s="10">
        <v>4.0736120634471442</v>
      </c>
      <c r="H110" s="6"/>
    </row>
    <row r="112" spans="1:8" x14ac:dyDescent="0.2">
      <c r="F112" s="11">
        <f>((H108+H109)/(1+F114/100)+(H116+H117)/(1+F114/100))*0.5</f>
        <v>100.68918418422727</v>
      </c>
    </row>
    <row r="113" spans="6:8" x14ac:dyDescent="0.2">
      <c r="F113" s="8">
        <f>H109</f>
        <v>5.25</v>
      </c>
    </row>
    <row r="114" spans="6:8" x14ac:dyDescent="0.2">
      <c r="F114" s="10">
        <v>4.5295985390327234</v>
      </c>
    </row>
    <row r="116" spans="6:8" x14ac:dyDescent="0.2">
      <c r="H116" s="15">
        <v>100</v>
      </c>
    </row>
    <row r="117" spans="6:8" x14ac:dyDescent="0.2">
      <c r="H117" s="16">
        <f>H109</f>
        <v>5.25</v>
      </c>
    </row>
    <row r="118" spans="6:8" x14ac:dyDescent="0.2">
      <c r="H118" s="17"/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2016-06-18T00:35:03Z</dcterms:created>
  <dcterms:modified xsi:type="dcterms:W3CDTF">2016-06-21T05:58:39Z</dcterms:modified>
</cp:coreProperties>
</file>