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ylshunlin/Documents/business report/"/>
    </mc:Choice>
  </mc:AlternateContent>
  <xr:revisionPtr revIDLastSave="0" documentId="13_ncr:1_{51E51400-6406-6945-B822-148663DC1782}" xr6:coauthVersionLast="47" xr6:coauthVersionMax="47" xr10:uidLastSave="{00000000-0000-0000-0000-000000000000}"/>
  <bookViews>
    <workbookView xWindow="0" yWindow="500" windowWidth="33600" windowHeight="20500" xr2:uid="{9FCCD605-BA9A-174E-9078-7507136966B1}"/>
  </bookViews>
  <sheets>
    <sheet name="Main" sheetId="1" r:id="rId1"/>
    <sheet name="Cash Flow" sheetId="4" r:id="rId2"/>
    <sheet name="Revenue" sheetId="2" r:id="rId3"/>
    <sheet name="Revenue details" sheetId="10" r:id="rId4"/>
    <sheet name="Cost" sheetId="3" r:id="rId5"/>
    <sheet name="Cost details" sheetId="9" r:id="rId6"/>
    <sheet name="Indicators" sheetId="5" r:id="rId7"/>
    <sheet name="RoCE" sheetId="12" r:id="rId8"/>
    <sheet name="Sensitivity Analysis" sheetId="6" r:id="rId9"/>
    <sheet name="Gantt Chart" sheetId="7" r:id="rId10"/>
    <sheet name="Assumptions" sheetId="11" r:id="rId11"/>
    <sheet name="Market Research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4" i="1"/>
  <c r="D43" i="1"/>
  <c r="D44" i="1"/>
  <c r="D45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I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I53" i="1"/>
  <c r="I52" i="1"/>
  <c r="I51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I77" i="1"/>
  <c r="I76" i="1"/>
  <c r="I75" i="1"/>
  <c r="I74" i="1"/>
  <c r="C46" i="5"/>
  <c r="C47" i="5"/>
  <c r="E12" i="7" l="1"/>
  <c r="E17" i="7"/>
  <c r="D15" i="12" l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D106" i="3"/>
  <c r="C15" i="12"/>
  <c r="C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C17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C10" i="12"/>
  <c r="C9" i="12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C108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E10" i="4"/>
  <c r="E24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D43" i="4"/>
  <c r="D39" i="4"/>
  <c r="D38" i="4"/>
  <c r="D36" i="4"/>
  <c r="D35" i="4"/>
  <c r="D34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C24" i="12" l="1"/>
  <c r="C18" i="12"/>
  <c r="C26" i="12" s="1"/>
  <c r="C23" i="12"/>
  <c r="C27" i="12"/>
  <c r="D18" i="12"/>
  <c r="C29" i="12" l="1"/>
  <c r="C28" i="12"/>
  <c r="E18" i="12" l="1"/>
  <c r="F18" i="12" l="1"/>
  <c r="G18" i="12" l="1"/>
  <c r="H18" i="12" l="1"/>
  <c r="I18" i="12" l="1"/>
  <c r="J18" i="12" l="1"/>
  <c r="K18" i="12" l="1"/>
  <c r="L18" i="12" l="1"/>
  <c r="M18" i="12" l="1"/>
  <c r="N18" i="12" l="1"/>
  <c r="O18" i="12" l="1"/>
  <c r="P18" i="12" l="1"/>
  <c r="Q18" i="12" l="1"/>
  <c r="R18" i="12" l="1"/>
  <c r="S18" i="12" l="1"/>
  <c r="T18" i="12" l="1"/>
  <c r="U18" i="12" l="1"/>
  <c r="V18" i="12" l="1"/>
  <c r="W18" i="12"/>
  <c r="C25" i="12" s="1"/>
  <c r="E59" i="3" l="1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1" i="3"/>
  <c r="C57" i="3"/>
  <c r="E39" i="3"/>
  <c r="F35" i="4" s="1"/>
  <c r="F39" i="3"/>
  <c r="G35" i="4" s="1"/>
  <c r="G39" i="3"/>
  <c r="H35" i="4" s="1"/>
  <c r="H39" i="3"/>
  <c r="I35" i="4" s="1"/>
  <c r="I39" i="3"/>
  <c r="J35" i="4" s="1"/>
  <c r="J39" i="3"/>
  <c r="K35" i="4" s="1"/>
  <c r="K39" i="3"/>
  <c r="L35" i="4" s="1"/>
  <c r="L39" i="3"/>
  <c r="M35" i="4" s="1"/>
  <c r="M39" i="3"/>
  <c r="N35" i="4" s="1"/>
  <c r="N39" i="3"/>
  <c r="O35" i="4" s="1"/>
  <c r="O39" i="3"/>
  <c r="P35" i="4" s="1"/>
  <c r="P39" i="3"/>
  <c r="Q35" i="4" s="1"/>
  <c r="Q39" i="3"/>
  <c r="R35" i="4" s="1"/>
  <c r="R39" i="3"/>
  <c r="S35" i="4" s="1"/>
  <c r="S39" i="3"/>
  <c r="T35" i="4" s="1"/>
  <c r="T39" i="3"/>
  <c r="U35" i="4" s="1"/>
  <c r="U39" i="3"/>
  <c r="V35" i="4" s="1"/>
  <c r="V39" i="3"/>
  <c r="W35" i="4" s="1"/>
  <c r="W39" i="3"/>
  <c r="X35" i="4" s="1"/>
  <c r="D39" i="3"/>
  <c r="E35" i="4" s="1"/>
  <c r="E33" i="3"/>
  <c r="F29" i="4" s="1"/>
  <c r="F33" i="3"/>
  <c r="G29" i="4" s="1"/>
  <c r="G33" i="3"/>
  <c r="H29" i="4" s="1"/>
  <c r="H33" i="3"/>
  <c r="I29" i="4" s="1"/>
  <c r="I33" i="3"/>
  <c r="J29" i="4" s="1"/>
  <c r="J33" i="3"/>
  <c r="K29" i="4" s="1"/>
  <c r="K33" i="3"/>
  <c r="L29" i="4" s="1"/>
  <c r="L33" i="3"/>
  <c r="M29" i="4" s="1"/>
  <c r="M33" i="3"/>
  <c r="N29" i="4" s="1"/>
  <c r="N33" i="3"/>
  <c r="O29" i="4" s="1"/>
  <c r="O33" i="3"/>
  <c r="P29" i="4" s="1"/>
  <c r="P33" i="3"/>
  <c r="Q29" i="4" s="1"/>
  <c r="Q33" i="3"/>
  <c r="R29" i="4" s="1"/>
  <c r="R33" i="3"/>
  <c r="S29" i="4" s="1"/>
  <c r="S33" i="3"/>
  <c r="T29" i="4" s="1"/>
  <c r="T33" i="3"/>
  <c r="U29" i="4" s="1"/>
  <c r="U33" i="3"/>
  <c r="V29" i="4" s="1"/>
  <c r="V33" i="3"/>
  <c r="W29" i="4" s="1"/>
  <c r="W33" i="3"/>
  <c r="D40" i="3"/>
  <c r="E36" i="4" s="1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W40" i="3" s="1"/>
  <c r="X36" i="4" s="1"/>
  <c r="C33" i="3"/>
  <c r="D29" i="4" s="1"/>
  <c r="D33" i="3"/>
  <c r="E29" i="4" s="1"/>
  <c r="C37" i="3"/>
  <c r="D33" i="4" s="1"/>
  <c r="C36" i="3"/>
  <c r="D32" i="4" s="1"/>
  <c r="C35" i="3"/>
  <c r="D31" i="4" s="1"/>
  <c r="C34" i="3"/>
  <c r="D30" i="4" s="1"/>
  <c r="X29" i="4" l="1"/>
  <c r="V40" i="3"/>
  <c r="W36" i="4" s="1"/>
  <c r="F40" i="3"/>
  <c r="J40" i="3"/>
  <c r="K36" i="4" s="1"/>
  <c r="U40" i="3"/>
  <c r="V36" i="4" s="1"/>
  <c r="E40" i="3"/>
  <c r="T40" i="3"/>
  <c r="N40" i="3"/>
  <c r="M40" i="3"/>
  <c r="L40" i="3"/>
  <c r="M36" i="4" s="1"/>
  <c r="K40" i="3"/>
  <c r="W55" i="3"/>
  <c r="U55" i="3"/>
  <c r="S40" i="3"/>
  <c r="R40" i="3"/>
  <c r="Q40" i="3"/>
  <c r="I40" i="3"/>
  <c r="P40" i="3"/>
  <c r="H40" i="3"/>
  <c r="O40" i="3"/>
  <c r="G40" i="3"/>
  <c r="I55" i="3" l="1"/>
  <c r="J36" i="4"/>
  <c r="F55" i="3"/>
  <c r="G36" i="4"/>
  <c r="R55" i="3"/>
  <c r="S36" i="4"/>
  <c r="L55" i="3"/>
  <c r="T55" i="3"/>
  <c r="U36" i="4"/>
  <c r="O55" i="3"/>
  <c r="P36" i="4"/>
  <c r="V55" i="3"/>
  <c r="J55" i="3"/>
  <c r="M55" i="3"/>
  <c r="N36" i="4"/>
  <c r="N55" i="3"/>
  <c r="O36" i="4"/>
  <c r="S55" i="3"/>
  <c r="T36" i="4"/>
  <c r="H55" i="3"/>
  <c r="I36" i="4"/>
  <c r="E55" i="3"/>
  <c r="F36" i="4"/>
  <c r="Q55" i="3"/>
  <c r="R36" i="4"/>
  <c r="G55" i="3"/>
  <c r="H36" i="4"/>
  <c r="P55" i="3"/>
  <c r="Q36" i="4"/>
  <c r="K55" i="3"/>
  <c r="L36" i="4"/>
  <c r="D14" i="2" l="1"/>
  <c r="C25" i="3"/>
  <c r="D47" i="3" s="1"/>
  <c r="E43" i="4" s="1"/>
  <c r="E13" i="2"/>
  <c r="F24" i="4" s="1"/>
  <c r="E11" i="7"/>
  <c r="E13" i="7"/>
  <c r="E14" i="7"/>
  <c r="E15" i="7"/>
  <c r="E16" i="7"/>
  <c r="E18" i="7"/>
  <c r="E9" i="7"/>
  <c r="E10" i="7"/>
  <c r="C20" i="6"/>
  <c r="C19" i="6"/>
  <c r="C16" i="6"/>
  <c r="C17" i="6"/>
  <c r="D45" i="3"/>
  <c r="D59" i="3" l="1"/>
  <c r="E41" i="4"/>
  <c r="F13" i="2"/>
  <c r="G13" i="2" s="1"/>
  <c r="H24" i="4" s="1"/>
  <c r="E14" i="2"/>
  <c r="D61" i="3"/>
  <c r="E47" i="3"/>
  <c r="F43" i="4" s="1"/>
  <c r="F14" i="2" l="1"/>
  <c r="G14" i="2"/>
  <c r="H13" i="2"/>
  <c r="I24" i="4" s="1"/>
  <c r="G24" i="4"/>
  <c r="I13" i="2"/>
  <c r="E61" i="3"/>
  <c r="H14" i="2" l="1"/>
  <c r="J13" i="2"/>
  <c r="I14" i="2"/>
  <c r="J24" i="4"/>
  <c r="C23" i="3"/>
  <c r="D46" i="3" s="1"/>
  <c r="H55" i="4"/>
  <c r="G55" i="4"/>
  <c r="F55" i="4"/>
  <c r="E55" i="4"/>
  <c r="I54" i="4"/>
  <c r="I55" i="4" s="1"/>
  <c r="D26" i="4"/>
  <c r="D27" i="4"/>
  <c r="D25" i="4"/>
  <c r="D11" i="4" l="1"/>
  <c r="D60" i="3"/>
  <c r="E42" i="4"/>
  <c r="K13" i="2"/>
  <c r="J14" i="2"/>
  <c r="K24" i="4"/>
  <c r="J54" i="4"/>
  <c r="C45" i="3"/>
  <c r="C21" i="3"/>
  <c r="C32" i="3"/>
  <c r="D28" i="4" s="1"/>
  <c r="C17" i="3"/>
  <c r="C14" i="3"/>
  <c r="D38" i="3" s="1"/>
  <c r="E34" i="4" s="1"/>
  <c r="D34" i="1"/>
  <c r="C45" i="6" s="1"/>
  <c r="C22" i="3"/>
  <c r="D15" i="2"/>
  <c r="E15" i="2"/>
  <c r="C59" i="3" l="1"/>
  <c r="D41" i="4"/>
  <c r="L13" i="2"/>
  <c r="K14" i="2"/>
  <c r="L24" i="4"/>
  <c r="D55" i="3"/>
  <c r="D41" i="3"/>
  <c r="E37" i="4" s="1"/>
  <c r="C18" i="3"/>
  <c r="E42" i="3" s="1"/>
  <c r="F38" i="4" s="1"/>
  <c r="F44" i="3"/>
  <c r="N44" i="3"/>
  <c r="V44" i="3"/>
  <c r="S44" i="3"/>
  <c r="G44" i="3"/>
  <c r="O44" i="3"/>
  <c r="W44" i="3"/>
  <c r="L44" i="3"/>
  <c r="M44" i="3"/>
  <c r="H44" i="3"/>
  <c r="P44" i="3"/>
  <c r="T44" i="3"/>
  <c r="E44" i="3"/>
  <c r="I44" i="3"/>
  <c r="Q44" i="3"/>
  <c r="D44" i="3"/>
  <c r="J44" i="3"/>
  <c r="R44" i="3"/>
  <c r="K44" i="3"/>
  <c r="L40" i="4" s="1"/>
  <c r="U44" i="3"/>
  <c r="E26" i="4"/>
  <c r="C47" i="6"/>
  <c r="C46" i="6"/>
  <c r="C43" i="6"/>
  <c r="C44" i="6"/>
  <c r="F26" i="4"/>
  <c r="D16" i="2"/>
  <c r="E25" i="4"/>
  <c r="J55" i="4"/>
  <c r="K54" i="4"/>
  <c r="C41" i="3"/>
  <c r="C46" i="3"/>
  <c r="C44" i="3"/>
  <c r="F25" i="4"/>
  <c r="U58" i="3" l="1"/>
  <c r="V40" i="4"/>
  <c r="T58" i="3"/>
  <c r="U40" i="4"/>
  <c r="S58" i="3"/>
  <c r="T40" i="4"/>
  <c r="V58" i="3"/>
  <c r="W40" i="4"/>
  <c r="P58" i="3"/>
  <c r="Q40" i="4"/>
  <c r="R58" i="3"/>
  <c r="S40" i="4"/>
  <c r="H58" i="3"/>
  <c r="I40" i="4"/>
  <c r="N58" i="3"/>
  <c r="O40" i="4"/>
  <c r="C60" i="3"/>
  <c r="D42" i="4"/>
  <c r="J58" i="3"/>
  <c r="K40" i="4"/>
  <c r="M58" i="3"/>
  <c r="N40" i="4"/>
  <c r="F58" i="3"/>
  <c r="G40" i="4"/>
  <c r="E58" i="3"/>
  <c r="F40" i="4"/>
  <c r="D58" i="3"/>
  <c r="E40" i="4"/>
  <c r="L58" i="3"/>
  <c r="M40" i="4"/>
  <c r="G58" i="3"/>
  <c r="H40" i="4"/>
  <c r="W58" i="3"/>
  <c r="X40" i="4"/>
  <c r="C58" i="3"/>
  <c r="D40" i="4"/>
  <c r="C56" i="3"/>
  <c r="C62" i="3" s="1"/>
  <c r="D37" i="4"/>
  <c r="D44" i="4" s="1"/>
  <c r="Q58" i="3"/>
  <c r="R40" i="4"/>
  <c r="I58" i="3"/>
  <c r="J40" i="4"/>
  <c r="O58" i="3"/>
  <c r="P40" i="4"/>
  <c r="M13" i="2"/>
  <c r="L14" i="2"/>
  <c r="M24" i="4"/>
  <c r="K58" i="3"/>
  <c r="C48" i="3"/>
  <c r="C27" i="6"/>
  <c r="C28" i="6" s="1"/>
  <c r="E41" i="3"/>
  <c r="F37" i="4" s="1"/>
  <c r="F15" i="2"/>
  <c r="F47" i="3"/>
  <c r="G43" i="4" s="1"/>
  <c r="E46" i="3"/>
  <c r="F42" i="4" s="1"/>
  <c r="E27" i="4"/>
  <c r="E11" i="4" s="1"/>
  <c r="C19" i="3"/>
  <c r="E16" i="2"/>
  <c r="F27" i="4" s="1"/>
  <c r="F11" i="4" s="1"/>
  <c r="L54" i="4"/>
  <c r="K55" i="4"/>
  <c r="D42" i="3"/>
  <c r="G15" i="2"/>
  <c r="D12" i="4" l="1"/>
  <c r="D47" i="4"/>
  <c r="D13" i="4" s="1"/>
  <c r="E38" i="4"/>
  <c r="N13" i="2"/>
  <c r="M14" i="2"/>
  <c r="N24" i="4"/>
  <c r="C25" i="6"/>
  <c r="F61" i="3"/>
  <c r="E60" i="3"/>
  <c r="E56" i="3"/>
  <c r="D56" i="3"/>
  <c r="C29" i="6"/>
  <c r="C26" i="6"/>
  <c r="C10" i="6"/>
  <c r="F41" i="3"/>
  <c r="G37" i="4" s="1"/>
  <c r="F16" i="2"/>
  <c r="F42" i="3"/>
  <c r="H26" i="4"/>
  <c r="H47" i="3"/>
  <c r="I43" i="4" s="1"/>
  <c r="G47" i="3"/>
  <c r="H43" i="4" s="1"/>
  <c r="G26" i="4"/>
  <c r="D43" i="3"/>
  <c r="E39" i="4" s="1"/>
  <c r="E43" i="3"/>
  <c r="F43" i="3"/>
  <c r="F46" i="3"/>
  <c r="G42" i="4" s="1"/>
  <c r="G25" i="4"/>
  <c r="M54" i="4"/>
  <c r="L55" i="4"/>
  <c r="H15" i="2"/>
  <c r="D48" i="4" l="1"/>
  <c r="E44" i="4"/>
  <c r="E48" i="3"/>
  <c r="F39" i="4"/>
  <c r="F44" i="4" s="1"/>
  <c r="G42" i="3"/>
  <c r="G38" i="4"/>
  <c r="F57" i="3"/>
  <c r="G39" i="4"/>
  <c r="O13" i="2"/>
  <c r="N14" i="2"/>
  <c r="O24" i="4"/>
  <c r="F56" i="3"/>
  <c r="F48" i="3"/>
  <c r="G61" i="3"/>
  <c r="E57" i="3"/>
  <c r="E62" i="3" s="1"/>
  <c r="D57" i="3"/>
  <c r="D62" i="3" s="1"/>
  <c r="D48" i="3"/>
  <c r="H61" i="3"/>
  <c r="F60" i="3"/>
  <c r="G41" i="3"/>
  <c r="H37" i="4" s="1"/>
  <c r="C12" i="6"/>
  <c r="C8" i="6"/>
  <c r="C11" i="6"/>
  <c r="C9" i="6"/>
  <c r="C36" i="6"/>
  <c r="H25" i="4"/>
  <c r="I26" i="4"/>
  <c r="I25" i="4"/>
  <c r="I47" i="3"/>
  <c r="J43" i="4" s="1"/>
  <c r="G16" i="2"/>
  <c r="H27" i="4" s="1"/>
  <c r="H11" i="4" s="1"/>
  <c r="G46" i="3"/>
  <c r="H42" i="4" s="1"/>
  <c r="G27" i="4"/>
  <c r="G11" i="4" s="1"/>
  <c r="C20" i="3"/>
  <c r="N54" i="4"/>
  <c r="M55" i="4"/>
  <c r="H16" i="2"/>
  <c r="I27" i="4" s="1"/>
  <c r="I11" i="4" s="1"/>
  <c r="I15" i="2"/>
  <c r="F47" i="4" l="1"/>
  <c r="F12" i="4"/>
  <c r="E47" i="4"/>
  <c r="E12" i="4"/>
  <c r="D49" i="4"/>
  <c r="D15" i="4" s="1"/>
  <c r="D14" i="4"/>
  <c r="G44" i="4"/>
  <c r="G12" i="4" s="1"/>
  <c r="H42" i="3"/>
  <c r="H38" i="4"/>
  <c r="P13" i="2"/>
  <c r="O14" i="2"/>
  <c r="P24" i="4"/>
  <c r="H41" i="3"/>
  <c r="I37" i="4" s="1"/>
  <c r="G56" i="3"/>
  <c r="I61" i="3"/>
  <c r="F62" i="3"/>
  <c r="G60" i="3"/>
  <c r="C34" i="6"/>
  <c r="C37" i="6"/>
  <c r="C35" i="6"/>
  <c r="C38" i="6"/>
  <c r="J47" i="3"/>
  <c r="K43" i="4" s="1"/>
  <c r="J26" i="4"/>
  <c r="J25" i="4"/>
  <c r="H46" i="3"/>
  <c r="I42" i="4" s="1"/>
  <c r="I43" i="3"/>
  <c r="M43" i="3"/>
  <c r="R43" i="3"/>
  <c r="O43" i="3"/>
  <c r="Q43" i="3"/>
  <c r="G43" i="3"/>
  <c r="J43" i="3"/>
  <c r="V43" i="3"/>
  <c r="T43" i="3"/>
  <c r="N43" i="3"/>
  <c r="L43" i="3"/>
  <c r="W43" i="3"/>
  <c r="H43" i="3"/>
  <c r="I39" i="4" s="1"/>
  <c r="U43" i="3"/>
  <c r="S43" i="3"/>
  <c r="P43" i="3"/>
  <c r="K43" i="3"/>
  <c r="N55" i="4"/>
  <c r="O54" i="4"/>
  <c r="J15" i="2"/>
  <c r="I16" i="2"/>
  <c r="J27" i="4" s="1"/>
  <c r="J11" i="4" s="1"/>
  <c r="E49" i="4" l="1"/>
  <c r="E13" i="4"/>
  <c r="G47" i="4"/>
  <c r="D50" i="4"/>
  <c r="E48" i="4"/>
  <c r="E14" i="4" s="1"/>
  <c r="F48" i="4"/>
  <c r="F13" i="4"/>
  <c r="Q57" i="3"/>
  <c r="R39" i="4"/>
  <c r="L57" i="3"/>
  <c r="M39" i="4"/>
  <c r="M57" i="3"/>
  <c r="N39" i="4"/>
  <c r="W57" i="3"/>
  <c r="X39" i="4"/>
  <c r="R57" i="3"/>
  <c r="S39" i="4"/>
  <c r="O57" i="3"/>
  <c r="P39" i="4"/>
  <c r="N57" i="3"/>
  <c r="O39" i="4"/>
  <c r="K57" i="3"/>
  <c r="L39" i="4"/>
  <c r="S57" i="3"/>
  <c r="T39" i="4"/>
  <c r="J57" i="3"/>
  <c r="K39" i="4"/>
  <c r="T57" i="3"/>
  <c r="U39" i="4"/>
  <c r="I57" i="3"/>
  <c r="J39" i="4"/>
  <c r="P57" i="3"/>
  <c r="Q39" i="4"/>
  <c r="V57" i="3"/>
  <c r="W39" i="4"/>
  <c r="U57" i="3"/>
  <c r="V39" i="4"/>
  <c r="G57" i="3"/>
  <c r="H39" i="4"/>
  <c r="H44" i="4" s="1"/>
  <c r="I42" i="3"/>
  <c r="I38" i="4"/>
  <c r="I44" i="4" s="1"/>
  <c r="Q13" i="2"/>
  <c r="P14" i="2"/>
  <c r="Q24" i="4"/>
  <c r="J61" i="3"/>
  <c r="G48" i="3"/>
  <c r="G62" i="3"/>
  <c r="H57" i="3"/>
  <c r="H60" i="3"/>
  <c r="I41" i="3"/>
  <c r="J37" i="4" s="1"/>
  <c r="H56" i="3"/>
  <c r="H48" i="3"/>
  <c r="K25" i="4"/>
  <c r="K26" i="4"/>
  <c r="K47" i="3"/>
  <c r="L43" i="4" s="1"/>
  <c r="I46" i="3"/>
  <c r="J42" i="4" s="1"/>
  <c r="O55" i="4"/>
  <c r="P54" i="4"/>
  <c r="J16" i="2"/>
  <c r="K27" i="4" s="1"/>
  <c r="K11" i="4" s="1"/>
  <c r="K15" i="2"/>
  <c r="E50" i="4" l="1"/>
  <c r="F50" i="4" s="1"/>
  <c r="F16" i="4" s="1"/>
  <c r="F14" i="4"/>
  <c r="D16" i="4"/>
  <c r="G48" i="4"/>
  <c r="G13" i="4"/>
  <c r="I47" i="4"/>
  <c r="I12" i="4"/>
  <c r="E16" i="4"/>
  <c r="H47" i="4"/>
  <c r="H12" i="4"/>
  <c r="E15" i="4"/>
  <c r="F49" i="4"/>
  <c r="F15" i="4" s="1"/>
  <c r="J42" i="3"/>
  <c r="J38" i="4"/>
  <c r="J44" i="4" s="1"/>
  <c r="R13" i="2"/>
  <c r="Q14" i="2"/>
  <c r="R24" i="4"/>
  <c r="K61" i="3"/>
  <c r="H62" i="3"/>
  <c r="I60" i="3"/>
  <c r="J41" i="3"/>
  <c r="K37" i="4" s="1"/>
  <c r="I56" i="3"/>
  <c r="I48" i="3"/>
  <c r="L25" i="4"/>
  <c r="L26" i="4"/>
  <c r="L47" i="3"/>
  <c r="M43" i="4" s="1"/>
  <c r="J46" i="3"/>
  <c r="K42" i="4" s="1"/>
  <c r="Q54" i="4"/>
  <c r="P55" i="4"/>
  <c r="K16" i="2"/>
  <c r="L27" i="4" s="1"/>
  <c r="L11" i="4" s="1"/>
  <c r="L15" i="2"/>
  <c r="G14" i="4" l="1"/>
  <c r="H48" i="4"/>
  <c r="H14" i="4" s="1"/>
  <c r="H13" i="4"/>
  <c r="I48" i="4"/>
  <c r="I14" i="4" s="1"/>
  <c r="I13" i="4"/>
  <c r="J47" i="4"/>
  <c r="J12" i="4"/>
  <c r="K42" i="3"/>
  <c r="K38" i="4"/>
  <c r="K44" i="4" s="1"/>
  <c r="S13" i="2"/>
  <c r="R14" i="2"/>
  <c r="S24" i="4"/>
  <c r="I62" i="3"/>
  <c r="K41" i="3"/>
  <c r="J56" i="3"/>
  <c r="J48" i="3"/>
  <c r="J60" i="3"/>
  <c r="L61" i="3"/>
  <c r="M25" i="4"/>
  <c r="M26" i="4"/>
  <c r="M47" i="3"/>
  <c r="N43" i="4" s="1"/>
  <c r="G50" i="4"/>
  <c r="K46" i="3"/>
  <c r="L42" i="4" s="1"/>
  <c r="Q55" i="4"/>
  <c r="R54" i="4"/>
  <c r="M15" i="2"/>
  <c r="L16" i="2"/>
  <c r="M27" i="4" s="1"/>
  <c r="M11" i="4" s="1"/>
  <c r="G16" i="4" l="1"/>
  <c r="J48" i="4"/>
  <c r="J14" i="4" s="1"/>
  <c r="J13" i="4"/>
  <c r="K47" i="4"/>
  <c r="K12" i="4"/>
  <c r="L42" i="3"/>
  <c r="L38" i="4"/>
  <c r="L37" i="4"/>
  <c r="T13" i="2"/>
  <c r="S14" i="2"/>
  <c r="T24" i="4"/>
  <c r="J62" i="3"/>
  <c r="K60" i="3"/>
  <c r="M61" i="3"/>
  <c r="L41" i="3"/>
  <c r="M37" i="4" s="1"/>
  <c r="K56" i="3"/>
  <c r="K48" i="3"/>
  <c r="G49" i="4"/>
  <c r="N25" i="4"/>
  <c r="N26" i="4"/>
  <c r="N47" i="3"/>
  <c r="O43" i="4" s="1"/>
  <c r="H50" i="4"/>
  <c r="L46" i="3"/>
  <c r="M42" i="4" s="1"/>
  <c r="S54" i="4"/>
  <c r="R55" i="4"/>
  <c r="M16" i="2"/>
  <c r="N27" i="4" s="1"/>
  <c r="N11" i="4" s="1"/>
  <c r="N15" i="2"/>
  <c r="K48" i="4" l="1"/>
  <c r="K14" i="4" s="1"/>
  <c r="K13" i="4"/>
  <c r="I50" i="4"/>
  <c r="I16" i="4" s="1"/>
  <c r="H16" i="4"/>
  <c r="L44" i="4"/>
  <c r="G15" i="4"/>
  <c r="M42" i="3"/>
  <c r="M38" i="4"/>
  <c r="M44" i="4" s="1"/>
  <c r="U13" i="2"/>
  <c r="T14" i="2"/>
  <c r="U24" i="4"/>
  <c r="M41" i="3"/>
  <c r="L56" i="3"/>
  <c r="L48" i="3"/>
  <c r="N61" i="3"/>
  <c r="K62" i="3"/>
  <c r="L60" i="3"/>
  <c r="H49" i="4"/>
  <c r="H15" i="4" s="1"/>
  <c r="O47" i="3"/>
  <c r="P43" i="4" s="1"/>
  <c r="O26" i="4"/>
  <c r="J50" i="4"/>
  <c r="M46" i="3"/>
  <c r="N42" i="4" s="1"/>
  <c r="N16" i="2"/>
  <c r="O27" i="4" s="1"/>
  <c r="O11" i="4" s="1"/>
  <c r="O25" i="4"/>
  <c r="T54" i="4"/>
  <c r="S55" i="4"/>
  <c r="O15" i="2"/>
  <c r="L47" i="4" l="1"/>
  <c r="L12" i="4"/>
  <c r="J16" i="4"/>
  <c r="M47" i="4"/>
  <c r="M12" i="4"/>
  <c r="N42" i="3"/>
  <c r="N38" i="4"/>
  <c r="N37" i="4"/>
  <c r="I49" i="4"/>
  <c r="V13" i="2"/>
  <c r="U14" i="2"/>
  <c r="V24" i="4"/>
  <c r="L62" i="3"/>
  <c r="M60" i="3"/>
  <c r="O61" i="3"/>
  <c r="N41" i="3"/>
  <c r="O37" i="4" s="1"/>
  <c r="M56" i="3"/>
  <c r="M48" i="3"/>
  <c r="P47" i="3"/>
  <c r="Q43" i="4" s="1"/>
  <c r="P26" i="4"/>
  <c r="N46" i="3"/>
  <c r="O42" i="4" s="1"/>
  <c r="O16" i="2"/>
  <c r="P27" i="4" s="1"/>
  <c r="P11" i="4" s="1"/>
  <c r="P25" i="4"/>
  <c r="T55" i="4"/>
  <c r="U54" i="4"/>
  <c r="P15" i="2"/>
  <c r="M48" i="4" l="1"/>
  <c r="M14" i="4" s="1"/>
  <c r="M13" i="4"/>
  <c r="I15" i="4"/>
  <c r="L48" i="4"/>
  <c r="L13" i="4"/>
  <c r="N44" i="4"/>
  <c r="J49" i="4"/>
  <c r="O42" i="3"/>
  <c r="O38" i="4"/>
  <c r="O44" i="4" s="1"/>
  <c r="W13" i="2"/>
  <c r="V14" i="2"/>
  <c r="W24" i="4"/>
  <c r="M62" i="3"/>
  <c r="P61" i="3"/>
  <c r="O41" i="3"/>
  <c r="P37" i="4" s="1"/>
  <c r="N56" i="3"/>
  <c r="N48" i="3"/>
  <c r="N60" i="3"/>
  <c r="K50" i="4"/>
  <c r="Q25" i="4"/>
  <c r="Q26" i="4"/>
  <c r="Q47" i="3"/>
  <c r="R43" i="4" s="1"/>
  <c r="O46" i="3"/>
  <c r="P42" i="4" s="1"/>
  <c r="V54" i="4"/>
  <c r="U55" i="4"/>
  <c r="P16" i="2"/>
  <c r="Q27" i="4" s="1"/>
  <c r="Q11" i="4" s="1"/>
  <c r="Q15" i="2"/>
  <c r="N47" i="4" l="1"/>
  <c r="N12" i="4"/>
  <c r="K16" i="4"/>
  <c r="L14" i="4"/>
  <c r="O47" i="4"/>
  <c r="O12" i="4"/>
  <c r="J15" i="4"/>
  <c r="K49" i="4"/>
  <c r="P42" i="3"/>
  <c r="P38" i="4"/>
  <c r="P44" i="4" s="1"/>
  <c r="W14" i="2"/>
  <c r="X24" i="4"/>
  <c r="N62" i="3"/>
  <c r="Q61" i="3"/>
  <c r="O60" i="3"/>
  <c r="P41" i="3"/>
  <c r="Q37" i="4" s="1"/>
  <c r="O56" i="3"/>
  <c r="O48" i="3"/>
  <c r="L50" i="4"/>
  <c r="R25" i="4"/>
  <c r="R47" i="3"/>
  <c r="S43" i="4" s="1"/>
  <c r="R26" i="4"/>
  <c r="P46" i="3"/>
  <c r="Q42" i="4" s="1"/>
  <c r="V55" i="4"/>
  <c r="W54" i="4"/>
  <c r="Q16" i="2"/>
  <c r="R27" i="4" s="1"/>
  <c r="R11" i="4" s="1"/>
  <c r="R15" i="2"/>
  <c r="O48" i="4" l="1"/>
  <c r="O14" i="4" s="1"/>
  <c r="O13" i="4"/>
  <c r="K15" i="4"/>
  <c r="P47" i="4"/>
  <c r="P12" i="4"/>
  <c r="L16" i="4"/>
  <c r="N48" i="4"/>
  <c r="N13" i="4"/>
  <c r="L49" i="4"/>
  <c r="L15" i="4" s="1"/>
  <c r="Q42" i="3"/>
  <c r="Q38" i="4"/>
  <c r="Q44" i="4" s="1"/>
  <c r="O62" i="3"/>
  <c r="Q41" i="3"/>
  <c r="P56" i="3"/>
  <c r="P48" i="3"/>
  <c r="P60" i="3"/>
  <c r="R61" i="3"/>
  <c r="M50" i="4"/>
  <c r="S25" i="4"/>
  <c r="S26" i="4"/>
  <c r="S47" i="3"/>
  <c r="T43" i="4" s="1"/>
  <c r="Q46" i="3"/>
  <c r="R42" i="4" s="1"/>
  <c r="X54" i="4"/>
  <c r="W55" i="4"/>
  <c r="R16" i="2"/>
  <c r="S27" i="4" s="1"/>
  <c r="S11" i="4" s="1"/>
  <c r="S15" i="2"/>
  <c r="M49" i="4" l="1"/>
  <c r="M15" i="4" s="1"/>
  <c r="Q47" i="4"/>
  <c r="Q12" i="4"/>
  <c r="M16" i="4"/>
  <c r="P48" i="4"/>
  <c r="P14" i="4" s="1"/>
  <c r="P13" i="4"/>
  <c r="N14" i="4"/>
  <c r="R37" i="4"/>
  <c r="R42" i="3"/>
  <c r="R38" i="4"/>
  <c r="P62" i="3"/>
  <c r="Q60" i="3"/>
  <c r="S61" i="3"/>
  <c r="R41" i="3"/>
  <c r="S37" i="4" s="1"/>
  <c r="Q56" i="3"/>
  <c r="Q48" i="3"/>
  <c r="N49" i="4"/>
  <c r="N15" i="4" s="1"/>
  <c r="N50" i="4"/>
  <c r="T26" i="4"/>
  <c r="T25" i="4"/>
  <c r="T47" i="3"/>
  <c r="U43" i="4" s="1"/>
  <c r="R46" i="3"/>
  <c r="S42" i="4" s="1"/>
  <c r="Y54" i="4"/>
  <c r="Y55" i="4" s="1"/>
  <c r="X55" i="4"/>
  <c r="S16" i="2"/>
  <c r="T27" i="4" s="1"/>
  <c r="T11" i="4" s="1"/>
  <c r="T15" i="2"/>
  <c r="N16" i="4" l="1"/>
  <c r="Q48" i="4"/>
  <c r="Q14" i="4" s="1"/>
  <c r="Q13" i="4"/>
  <c r="S42" i="3"/>
  <c r="S38" i="4"/>
  <c r="S44" i="4" s="1"/>
  <c r="R44" i="4"/>
  <c r="Q62" i="3"/>
  <c r="S41" i="3"/>
  <c r="R56" i="3"/>
  <c r="R48" i="3"/>
  <c r="T61" i="3"/>
  <c r="R60" i="3"/>
  <c r="O49" i="4"/>
  <c r="O15" i="4" s="1"/>
  <c r="O50" i="4"/>
  <c r="U25" i="4"/>
  <c r="U47" i="3"/>
  <c r="V43" i="4" s="1"/>
  <c r="U26" i="4"/>
  <c r="S46" i="3"/>
  <c r="T42" i="4" s="1"/>
  <c r="T16" i="2"/>
  <c r="U27" i="4" s="1"/>
  <c r="U11" i="4" s="1"/>
  <c r="U15" i="2"/>
  <c r="S47" i="4" l="1"/>
  <c r="S12" i="4"/>
  <c r="O16" i="4"/>
  <c r="R47" i="4"/>
  <c r="R12" i="4"/>
  <c r="T42" i="3"/>
  <c r="T38" i="4"/>
  <c r="T37" i="4"/>
  <c r="T44" i="4" s="1"/>
  <c r="S60" i="3"/>
  <c r="R62" i="3"/>
  <c r="U61" i="3"/>
  <c r="T41" i="3"/>
  <c r="U37" i="4" s="1"/>
  <c r="S56" i="3"/>
  <c r="S48" i="3"/>
  <c r="P49" i="4"/>
  <c r="P15" i="4" s="1"/>
  <c r="P50" i="4"/>
  <c r="V25" i="4"/>
  <c r="V47" i="3"/>
  <c r="W43" i="4" s="1"/>
  <c r="V26" i="4"/>
  <c r="T46" i="3"/>
  <c r="U42" i="4" s="1"/>
  <c r="U16" i="2"/>
  <c r="V27" i="4" s="1"/>
  <c r="V11" i="4" s="1"/>
  <c r="V15" i="2"/>
  <c r="P16" i="4" l="1"/>
  <c r="T47" i="4"/>
  <c r="T12" i="4"/>
  <c r="R48" i="4"/>
  <c r="R13" i="4"/>
  <c r="S48" i="4"/>
  <c r="S14" i="4" s="1"/>
  <c r="S13" i="4"/>
  <c r="U42" i="3"/>
  <c r="U38" i="4"/>
  <c r="U44" i="4" s="1"/>
  <c r="S62" i="3"/>
  <c r="U41" i="3"/>
  <c r="V37" i="4" s="1"/>
  <c r="T56" i="3"/>
  <c r="T48" i="3"/>
  <c r="T60" i="3"/>
  <c r="V61" i="3"/>
  <c r="Q49" i="4"/>
  <c r="Q15" i="4" s="1"/>
  <c r="Q50" i="4"/>
  <c r="W25" i="4"/>
  <c r="W47" i="3"/>
  <c r="X43" i="4" s="1"/>
  <c r="W26" i="4"/>
  <c r="U46" i="3"/>
  <c r="V42" i="4" s="1"/>
  <c r="V16" i="2"/>
  <c r="W27" i="4" s="1"/>
  <c r="W11" i="4" s="1"/>
  <c r="W15" i="2"/>
  <c r="T48" i="4" l="1"/>
  <c r="T14" i="4" s="1"/>
  <c r="T13" i="4"/>
  <c r="R14" i="4"/>
  <c r="U47" i="4"/>
  <c r="U12" i="4"/>
  <c r="Q16" i="4"/>
  <c r="V42" i="3"/>
  <c r="V38" i="4"/>
  <c r="V44" i="4" s="1"/>
  <c r="U60" i="3"/>
  <c r="W61" i="3"/>
  <c r="T62" i="3"/>
  <c r="V41" i="3"/>
  <c r="W37" i="4" s="1"/>
  <c r="U56" i="3"/>
  <c r="U48" i="3"/>
  <c r="R49" i="4"/>
  <c r="R15" i="4" s="1"/>
  <c r="R50" i="4"/>
  <c r="X25" i="4"/>
  <c r="X26" i="4"/>
  <c r="V46" i="3"/>
  <c r="W42" i="4" s="1"/>
  <c r="W16" i="2"/>
  <c r="X27" i="4" s="1"/>
  <c r="X11" i="4" s="1"/>
  <c r="U48" i="4" l="1"/>
  <c r="U14" i="4" s="1"/>
  <c r="U13" i="4"/>
  <c r="V47" i="4"/>
  <c r="V12" i="4"/>
  <c r="R16" i="4"/>
  <c r="W42" i="3"/>
  <c r="X38" i="4" s="1"/>
  <c r="W38" i="4"/>
  <c r="W44" i="4" s="1"/>
  <c r="D62" i="4"/>
  <c r="E62" i="4" s="1"/>
  <c r="U62" i="3"/>
  <c r="W41" i="3"/>
  <c r="V56" i="3"/>
  <c r="V48" i="3"/>
  <c r="V60" i="3"/>
  <c r="S50" i="4"/>
  <c r="S49" i="4"/>
  <c r="S15" i="4" s="1"/>
  <c r="W46" i="3"/>
  <c r="W47" i="4" l="1"/>
  <c r="W12" i="4"/>
  <c r="V48" i="4"/>
  <c r="V14" i="4" s="1"/>
  <c r="V13" i="4"/>
  <c r="S16" i="4"/>
  <c r="W60" i="3"/>
  <c r="X42" i="4"/>
  <c r="X37" i="4"/>
  <c r="W48" i="3"/>
  <c r="V62" i="3"/>
  <c r="W56" i="3"/>
  <c r="W62" i="3" s="1"/>
  <c r="T50" i="4"/>
  <c r="T49" i="4"/>
  <c r="T15" i="4" s="1"/>
  <c r="T16" i="4" l="1"/>
  <c r="W48" i="4"/>
  <c r="W14" i="4" s="1"/>
  <c r="W13" i="4"/>
  <c r="X44" i="4"/>
  <c r="U50" i="4"/>
  <c r="U49" i="4"/>
  <c r="U15" i="4" s="1"/>
  <c r="D61" i="4"/>
  <c r="X47" i="4" l="1"/>
  <c r="X12" i="4"/>
  <c r="U16" i="4"/>
  <c r="D63" i="4"/>
  <c r="E63" i="4" s="1"/>
  <c r="E61" i="4"/>
  <c r="V50" i="4"/>
  <c r="V49" i="4"/>
  <c r="V15" i="4" s="1"/>
  <c r="V16" i="4" l="1"/>
  <c r="X48" i="4"/>
  <c r="X14" i="4" s="1"/>
  <c r="X13" i="4"/>
  <c r="C12" i="5"/>
  <c r="W50" i="4"/>
  <c r="W49" i="4"/>
  <c r="C67" i="5"/>
  <c r="B63" i="5"/>
  <c r="C63" i="5" s="1"/>
  <c r="C66" i="5"/>
  <c r="C65" i="5"/>
  <c r="C56" i="5"/>
  <c r="C55" i="5"/>
  <c r="C54" i="5"/>
  <c r="C51" i="5"/>
  <c r="C57" i="5"/>
  <c r="C64" i="5"/>
  <c r="C61" i="5"/>
  <c r="C59" i="5"/>
  <c r="C60" i="5"/>
  <c r="C50" i="5"/>
  <c r="C52" i="5"/>
  <c r="C58" i="5"/>
  <c r="C53" i="5"/>
  <c r="C62" i="5"/>
  <c r="C49" i="5"/>
  <c r="C48" i="5"/>
  <c r="W15" i="4" l="1"/>
  <c r="W16" i="4"/>
  <c r="X50" i="4"/>
  <c r="X16" i="4" s="1"/>
  <c r="X49" i="4"/>
  <c r="X15" i="4" l="1"/>
  <c r="C11" i="5"/>
  <c r="D36" i="6"/>
  <c r="D10" i="6"/>
  <c r="D27" i="6"/>
  <c r="D45" i="6"/>
  <c r="C10" i="5"/>
  <c r="C9" i="5"/>
  <c r="D42" i="1" s="1"/>
  <c r="E47" i="6" l="1"/>
  <c r="E43" i="6"/>
  <c r="E44" i="6"/>
  <c r="E45" i="6"/>
  <c r="E46" i="6"/>
  <c r="D18" i="6"/>
  <c r="E26" i="6"/>
  <c r="E29" i="6"/>
  <c r="E27" i="6"/>
  <c r="E28" i="6"/>
  <c r="E25" i="6"/>
  <c r="E8" i="6"/>
  <c r="E10" i="6"/>
  <c r="E9" i="6"/>
  <c r="E11" i="6"/>
  <c r="E12" i="6"/>
  <c r="E36" i="6"/>
  <c r="E38" i="6"/>
  <c r="E34" i="6"/>
  <c r="E35" i="6"/>
  <c r="E37" i="6"/>
  <c r="E18" i="6" l="1"/>
  <c r="E19" i="6"/>
  <c r="E20" i="6"/>
  <c r="E16" i="6"/>
  <c r="E17" i="6"/>
</calcChain>
</file>

<file path=xl/sharedStrings.xml><?xml version="1.0" encoding="utf-8"?>
<sst xmlns="http://schemas.openxmlformats.org/spreadsheetml/2006/main" count="618" uniqueCount="358">
  <si>
    <t>Assumptions</t>
  </si>
  <si>
    <t>Cost Assumptions:</t>
  </si>
  <si>
    <t>Rent</t>
  </si>
  <si>
    <t>Revenue Assumptions:</t>
  </si>
  <si>
    <t>Subscription fee</t>
  </si>
  <si>
    <t>Depreciation rate of fixed assets is 40%</t>
  </si>
  <si>
    <t>Annual salary increases 7% after working for two years</t>
  </si>
  <si>
    <t>Annual rent (coworking space) increate rate is 1.1%.</t>
  </si>
  <si>
    <t>Investment Indicators</t>
  </si>
  <si>
    <t>Payback</t>
  </si>
  <si>
    <t>Discounted Payback</t>
  </si>
  <si>
    <t>RoCE (average)</t>
  </si>
  <si>
    <t>Internal Rate of Return (IRR)</t>
  </si>
  <si>
    <t>Value</t>
  </si>
  <si>
    <t>Units</t>
  </si>
  <si>
    <r>
      <t xml:space="preserve">Course Code: </t>
    </r>
    <r>
      <rPr>
        <b/>
        <sz val="12"/>
        <color theme="1"/>
        <rFont val="Calibri"/>
        <family val="2"/>
        <scheme val="minor"/>
      </rPr>
      <t>BMAN 31212</t>
    </r>
  </si>
  <si>
    <r>
      <t xml:space="preserve">Course Title: </t>
    </r>
    <r>
      <rPr>
        <b/>
        <sz val="12"/>
        <color theme="1"/>
        <rFont val="Calibri"/>
        <family val="2"/>
        <scheme val="minor"/>
      </rPr>
      <t>Investment Economics &amp; Innocation</t>
    </r>
  </si>
  <si>
    <r>
      <t xml:space="preserve">Course Leader: </t>
    </r>
    <r>
      <rPr>
        <b/>
        <sz val="12"/>
        <color theme="1"/>
        <rFont val="Calibri"/>
        <family val="2"/>
        <scheme val="minor"/>
      </rPr>
      <t>Dr Xin Deng</t>
    </r>
  </si>
  <si>
    <r>
      <t xml:space="preserve">Project Life Expectancy: </t>
    </r>
    <r>
      <rPr>
        <b/>
        <sz val="12"/>
        <color theme="1"/>
        <rFont val="Calibri"/>
        <family val="2"/>
        <scheme val="minor"/>
      </rPr>
      <t>20 years</t>
    </r>
  </si>
  <si>
    <t>User number</t>
  </si>
  <si>
    <t>Revenues</t>
  </si>
  <si>
    <t>Total Revenue</t>
  </si>
  <si>
    <t>Costs</t>
  </si>
  <si>
    <t>Total Cost</t>
  </si>
  <si>
    <t>Users do not remove subscription after subscribing</t>
  </si>
  <si>
    <t>£ per year per user</t>
  </si>
  <si>
    <t>Insurance</t>
  </si>
  <si>
    <t>£ per year</t>
  </si>
  <si>
    <t>rate per year</t>
  </si>
  <si>
    <t>Explanations</t>
  </si>
  <si>
    <t>Estimation of User Number</t>
  </si>
  <si>
    <t>sources:</t>
  </si>
  <si>
    <t>Advertisement Incomes</t>
  </si>
  <si>
    <t xml:space="preserve">Total revenue </t>
  </si>
  <si>
    <t>user_number x £2.75</t>
  </si>
  <si>
    <t xml:space="preserve">https://musically.com/2022/02/03/spotify-apple-how-many-users-big-music-streaming-services/ </t>
  </si>
  <si>
    <t xml:space="preserve">https://www-statista-com.manchester.idm.oclc.org/statistics/237800/global-internet-advertising-revenue/ </t>
  </si>
  <si>
    <t xml:space="preserve">https://www-statista-com.manchester.idm.oclc.org/forecasts/456558/digital-music-users-in-the-world-forecast  </t>
  </si>
  <si>
    <t xml:space="preserve">https://www-statista-com.manchester.idm.oclc.org/statistics/1285405/revenues-digital-ad-major-internet-companies/ </t>
  </si>
  <si>
    <t>£ per user per year</t>
  </si>
  <si>
    <t>Increase in the trend of music streaming potentially increase the number of user</t>
  </si>
  <si>
    <t>Spotify: gained around 200 million in 10 years from its launch year.</t>
  </si>
  <si>
    <t>Apple Music: gained 61 million users within 5 years since its launch year</t>
  </si>
  <si>
    <t xml:space="preserve">The advertisement revenue varies across different industries. The data used here relies on the number of digital music users and revenue from digital ad from major internet companies. </t>
  </si>
  <si>
    <t xml:space="preserve">https://www.statista.com/statistics/236939/mobile-advertising-revenue-in-the-uk/ </t>
  </si>
  <si>
    <t>We have particularly used data from Spotify in 2023: $1.77 billions for 635.67 millions users at 2023 which estimates to £1.4 billions for 635.67 millions users. Thus, £2.75 per user.</t>
  </si>
  <si>
    <t>Project Year</t>
  </si>
  <si>
    <t xml:space="preserve">https://www.businessofapps.com/data/spotify-statistics/ </t>
  </si>
  <si>
    <t xml:space="preserve">https://www.demandsage.com/apple-music-statistics/#:~:text=Ever%20since%20its%20launch%20in,101%20million%20subscribers%20by%202024. </t>
  </si>
  <si>
    <t>£ per user per year; according to data of Spotify in 2023 $1.77 billions for 635.67 millions users at 2023 which estimates to £1.4 billions for 635.67 millions users. Thus, £2.75 per user</t>
  </si>
  <si>
    <t>suorces:</t>
  </si>
  <si>
    <t>Marketing Expenses</t>
  </si>
  <si>
    <t>HR Expenses</t>
  </si>
  <si>
    <t>Depreciation</t>
  </si>
  <si>
    <t>Details</t>
  </si>
  <si>
    <t xml:space="preserve">£99 for apple, $25 (around £19.82) </t>
  </si>
  <si>
    <t xml:space="preserve">A general guideline is to budget 20% of the initial development cost for maintenance. </t>
  </si>
  <si>
    <t>On average, app owners should expect to spend around $250 to $500 a month initially to keep the app running optimally.</t>
  </si>
  <si>
    <t>£, once when app is launched.</t>
  </si>
  <si>
    <t>https://www.creative.onl/how-much-does-it-cost-to-develop-an-app/</t>
  </si>
  <si>
    <t>Total cost is calculated by the number of each job role and curreent job salary.</t>
  </si>
  <si>
    <t xml:space="preserve">https://www.cwjobs.co.uk/salary-checker/average-tech-salary </t>
  </si>
  <si>
    <t>https://www.velvetech.com/blog/mobile-app-development-team-structure/</t>
  </si>
  <si>
    <t>https://www.glassdoor.co.uk/Salaries/general-administrator-salary-SRCH_KO0,21.htm</t>
  </si>
  <si>
    <t>https://www.glassdoor.co.uk/Salaries/public-relations-salary-SRCH_KO0,16.htm</t>
  </si>
  <si>
    <t xml:space="preserve">https://uk.indeed.com/career/accountant/salaries </t>
  </si>
  <si>
    <t>https://www.reed.co.uk/average-salary/average-marketing-and-media-salary</t>
  </si>
  <si>
    <t>As a general rule, new businesses allocate between 12-20% of their gross revenue on marketing.</t>
  </si>
  <si>
    <t xml:space="preserve">https://www.experian.co.uk/blogs/latest-thinking/small-business/how-to-get-the-best-from-your-marketing-budget/ </t>
  </si>
  <si>
    <t xml:space="preserve">https://www-statista-com.manchester.idm.oclc.org/statistics/303817/mobile-internet-advertising-revenue-worldwide/ </t>
  </si>
  <si>
    <t>Insurance costs £60 – 100 per employee</t>
  </si>
  <si>
    <t>https://www.moonworkers.co.uk/blog/what-type-of-business-insurance-do-i-need-and-how-much-does-it-cost#:~:text=Employers%27%20liability%20coverage%20typically%20ranges,such%20as%20underwater%20welding%20professionals.</t>
  </si>
  <si>
    <t>https://www.nimblefins.co.uk/business-insurance/employers-liability-insurance-uk/average-cost-employers-liability-insurance-uk</t>
  </si>
  <si>
    <t>Marketing Expenses (after year 3)</t>
  </si>
  <si>
    <t>Marketing Expenses (year 1 to 3)</t>
  </si>
  <si>
    <t>£ once</t>
  </si>
  <si>
    <t>Lower end of the price spectrum for computers/ laptops is around £500-£800, £2,000 or more for those in higher end</t>
  </si>
  <si>
    <t>https://www.cyberpowersystem.co.uk/category/gaming-pcs/#:~:text=You%20can%20find%20Gaming%20PCs,of%20£2%2C000%20or%20more.</t>
  </si>
  <si>
    <t>A median office rate per person is £491. We estimate the price as £500 per person.</t>
  </si>
  <si>
    <t xml:space="preserve">https://rubberdesk.co.uk/research/flexible-office-space-costs-in-uk </t>
  </si>
  <si>
    <t>https://www.statista.com/statistics/1025118/rental-value-growth-of-commercial-real-estae-in-the-uk/</t>
  </si>
  <si>
    <t>computers/ laptops have depreciation rate of 40%</t>
  </si>
  <si>
    <t>https://cleartax.in/s/computer-laptop-printer-depreciation-rate#</t>
  </si>
  <si>
    <t>We assume  we will gain total revenue of £2,859,500.00 at the end of project year 1, and  £6,433,875.00 at the end of project year 3.</t>
  </si>
  <si>
    <t>We will spend around 12% of the total revenue of project year 1 on Marketing (year 1 to 3) and 5% of the total project year 3 afterwards.</t>
  </si>
  <si>
    <t>HR Expenses (Tech)</t>
  </si>
  <si>
    <t>£ per year per employee</t>
  </si>
  <si>
    <t>HR Expenses (Others)</t>
  </si>
  <si>
    <t>Yearly Cash Flow</t>
  </si>
  <si>
    <t>Calendar Year</t>
  </si>
  <si>
    <t>User Number</t>
  </si>
  <si>
    <t>Net Annual Cash Flow</t>
  </si>
  <si>
    <t>Discounted Net Cash Flow</t>
  </si>
  <si>
    <t>Cumulative Net Cash Flow</t>
  </si>
  <si>
    <t>Discounted Comulative Cash Flow</t>
  </si>
  <si>
    <t>Net Present Value (NPV)</t>
  </si>
  <si>
    <t xml:space="preserve">year </t>
  </si>
  <si>
    <t>(1 + Discount Rate)^n</t>
  </si>
  <si>
    <t>Unit</t>
  </si>
  <si>
    <t xml:space="preserve">Tech supplies depreciation rate </t>
  </si>
  <si>
    <t>Life expectancy of Music App</t>
  </si>
  <si>
    <t>Scrap value at the end of the project</t>
  </si>
  <si>
    <t>Fixed assets' current value (tech supplies)</t>
  </si>
  <si>
    <t>App value</t>
  </si>
  <si>
    <t>Total current value of initial capital</t>
  </si>
  <si>
    <t>Net annual cash-flow (after depreciation)</t>
  </si>
  <si>
    <t>Initial capital employed</t>
  </si>
  <si>
    <t>Average profit over 20 years (Declining balance depreciation)</t>
  </si>
  <si>
    <t>Return on capital employed (average)</t>
  </si>
  <si>
    <t>Return on captial employed (initial)</t>
  </si>
  <si>
    <t>£ per year per employee (increase rate of 1.1%)</t>
  </si>
  <si>
    <t>Artist royalty fee</t>
  </si>
  <si>
    <t>https://www.demandsage.com/apple-music-statistics/#:~:text=Ever%20since%20its%20launch%20in,101%20million%20subscribers%20by%202024.</t>
  </si>
  <si>
    <t>https://www-statista-com.manchester.idm.oclc.org/statistics/384687/on-demand-music-streams-number-usa/</t>
  </si>
  <si>
    <t>https://www-statista-com.manchester.idm.oclc.org/topics/9503/streaming-worldwide/#topicOverview</t>
  </si>
  <si>
    <t>average $0.01 per stream (Apple Music), $0.003 - $0.005 per stream (spotify)</t>
  </si>
  <si>
    <t>988.1 billion streamers in the US in 2021, where US has the higest nunber of streamers worldwide</t>
  </si>
  <si>
    <t>will be using $0.01(£0.0079) as royalty fee, and 998.1 billion streamers to calculate the royalty fee as fixed cost throughout the project year</t>
  </si>
  <si>
    <t>Artist Royalty Fee</t>
  </si>
  <si>
    <t>https://explodingtopics.com/blog/music-streaming-stats#</t>
  </si>
  <si>
    <t>https://musicalpursuits.com/music-streaming/</t>
  </si>
  <si>
    <t xml:space="preserve">70.25 minutes of music stream per day worldwide, and average of 3:15/3:30 minutes length for a song </t>
  </si>
  <si>
    <t>We assume we are hiring 4 tech, 4 customer &amp; public relation, 1 accounting, and 2 marketing.</t>
  </si>
  <si>
    <t>Total =  (4*36880)+35889+(2*39389)+(4*62500) = 512187 (estimated to 520000)</t>
  </si>
  <si>
    <t>We are expecting to hire 11 employees, and pay £60 of insurance for each employee</t>
  </si>
  <si>
    <t>£</t>
  </si>
  <si>
    <t>years</t>
  </si>
  <si>
    <t>percentage</t>
  </si>
  <si>
    <t>Total revenue of the project</t>
  </si>
  <si>
    <t>Total cost of the project</t>
  </si>
  <si>
    <t>Total profit</t>
  </si>
  <si>
    <t>RoCE (initial cost of capital)</t>
  </si>
  <si>
    <t>per year</t>
  </si>
  <si>
    <t>Payback &amp; Discounted Payback</t>
  </si>
  <si>
    <t>NPV &amp; IRR</t>
  </si>
  <si>
    <t>Return on capital employed (RoCE)</t>
  </si>
  <si>
    <t>(the application does not depreciate like tech supplies)</t>
  </si>
  <si>
    <t>Total "Profit" (Decliing balance depreciation) of the project (Year 0-20)</t>
  </si>
  <si>
    <t>Scrap value of the capital at year 20 (RBD)</t>
  </si>
  <si>
    <t>Capital employed (average)</t>
  </si>
  <si>
    <t>Discount Rate</t>
  </si>
  <si>
    <t>NPV</t>
  </si>
  <si>
    <t xml:space="preserve">Sensitivity Analysis </t>
  </si>
  <si>
    <t xml:space="preserve">% of change </t>
  </si>
  <si>
    <t>Change of variable</t>
  </si>
  <si>
    <t>% change of NPV</t>
  </si>
  <si>
    <t>Sensitivity of NPV to Costs (HR expenses' increased rate)</t>
  </si>
  <si>
    <t>Gantt Chart</t>
  </si>
  <si>
    <t>Task List</t>
  </si>
  <si>
    <t>find investors and raise capital</t>
  </si>
  <si>
    <t>find office (coworking space) to rent</t>
  </si>
  <si>
    <t>find and interview tech employees</t>
  </si>
  <si>
    <t>find and interview other employees</t>
  </si>
  <si>
    <t>buy tech supplies</t>
  </si>
  <si>
    <t>find artists</t>
  </si>
  <si>
    <t>Start time</t>
  </si>
  <si>
    <t>Duration (days)</t>
  </si>
  <si>
    <t>End Time</t>
  </si>
  <si>
    <t>Market Research</t>
  </si>
  <si>
    <t>Target Potential User</t>
  </si>
  <si>
    <t>Global</t>
  </si>
  <si>
    <t>Competitor Analysis</t>
  </si>
  <si>
    <t>Pricing Strategy</t>
  </si>
  <si>
    <t>soures:</t>
  </si>
  <si>
    <t>https://www-statista-com.manchester.idm.oclc.org/statistics/816313/online-music-services-popular-usa/</t>
  </si>
  <si>
    <t>Common shortcomings:</t>
  </si>
  <si>
    <t>subscription payment method</t>
  </si>
  <si>
    <t>typical music app feature, lack of new features</t>
  </si>
  <si>
    <t>https://www.brandwatch.com/blog/pain-points-music-streaming-services/</t>
  </si>
  <si>
    <t>wrong recommendations</t>
  </si>
  <si>
    <t xml:space="preserve">unavailable songs </t>
  </si>
  <si>
    <t>high cost</t>
  </si>
  <si>
    <t xml:space="preserve">Value-based price strategy </t>
  </si>
  <si>
    <t>Increasing number in music streaming</t>
  </si>
  <si>
    <t>Lack of "universal" music app (one that is accessible and easy to use )</t>
  </si>
  <si>
    <t>customer &amp; public relation = 4 * 36,880, accountant = 35,889, marketing = 2 * 39, 389, tech = 4 * 62, 500</t>
  </si>
  <si>
    <t>Best guess:</t>
  </si>
  <si>
    <r>
      <t>Number of users increases 60% every year</t>
    </r>
    <r>
      <rPr>
        <sz val="12"/>
        <color rgb="FFFF0000"/>
        <rFont val="Calibri (Body)"/>
      </rPr>
      <t xml:space="preserve"> </t>
    </r>
    <r>
      <rPr>
        <sz val="12"/>
        <rFont val="Calibri (Body)"/>
      </rPr>
      <t>(self-underestimate using data from other music apps)</t>
    </r>
  </si>
  <si>
    <t>There is a potential to reach 377 million users by the end of project year.</t>
  </si>
  <si>
    <t>Using the statistics of Spotify and Apple Music, we made assumption that we will have an increase 60% of users every year, thus reaching 377 million uers by the end of the project year</t>
  </si>
  <si>
    <t>https://www-statista-com.manchester.idm.oclc.org/statistics/1339576/most-well-known-digital-music-brands-in-the-uk/</t>
  </si>
  <si>
    <t>£ fee for songs played in per year per user (£0.0079 per stream)</t>
  </si>
  <si>
    <t>user_number x 0.6 x £8.99 x 12</t>
  </si>
  <si>
    <t>£8.99 per month; with the assumption of users do not remove subscription once subscribed, and 60% of total user pays subscription</t>
  </si>
  <si>
    <t>Project: M music app</t>
  </si>
  <si>
    <t>(detailed assumptions in "Revenue" spreadsheet)</t>
  </si>
  <si>
    <t>(detailed assumptions in "Cost" spreadsheet)</t>
  </si>
  <si>
    <t>Software Maintenance &amp; Patching</t>
  </si>
  <si>
    <t>https://www.nimbleappgenie.com/blogs/music-streaming-app-development-cost/</t>
  </si>
  <si>
    <t>AWS Cloud Services</t>
  </si>
  <si>
    <t>Database</t>
  </si>
  <si>
    <t>Include choices of MySQL, Enterprise-level DBMS, and real-time database.</t>
  </si>
  <si>
    <t xml:space="preserve">Backend Development </t>
  </si>
  <si>
    <t>Frontend Development</t>
  </si>
  <si>
    <t>https://www.cleveroad.com/blog/how-to-create-a-music-streaming-app/</t>
  </si>
  <si>
    <t>APIs and Integration</t>
  </si>
  <si>
    <t>Development Tools and Libraries</t>
  </si>
  <si>
    <t>App Licensing Fee</t>
  </si>
  <si>
    <t>Stripe fee (third party payment)</t>
  </si>
  <si>
    <t>Backend Development</t>
  </si>
  <si>
    <t>Application Development:</t>
  </si>
  <si>
    <t>cost estimation range from $20,000 to $100,000</t>
  </si>
  <si>
    <t>depends on computer langagues used for app development</t>
  </si>
  <si>
    <t>Tech Stack</t>
  </si>
  <si>
    <t xml:space="preserve">cloud service such as fro data backup, disaster recovery, email, virtual desktops etc. </t>
  </si>
  <si>
    <t xml:space="preserve">cost estimation range from $500 to $5,000 per month </t>
  </si>
  <si>
    <t xml:space="preserve">for storing, retrieving and updating information </t>
  </si>
  <si>
    <t>cost estimation range from $20,000 to $100,000 or more</t>
  </si>
  <si>
    <t>languages include HTML, Swift, or other frameworks, complexity to UI/UX.</t>
  </si>
  <si>
    <t>enable two software components to communicate with each other using a set of definitions and protocols</t>
  </si>
  <si>
    <t>average cost of $3,150</t>
  </si>
  <si>
    <t>examples include Visual Studio code or Xcode</t>
  </si>
  <si>
    <t>total amount is estimated to £119</t>
  </si>
  <si>
    <t>https://aws.amazon.com/what-is/api/#:~:text=APIs%20are%20mechanisms%20that%20enable,weather%20updates%20on%20your%20phone.</t>
  </si>
  <si>
    <t>https://www.forbes.com/advisor/business/services/stripe-pricing-fees/#:~:text=Stripe%20is%20free%20to%20set,international%20and%20currency%20conversion%20transactions.</t>
  </si>
  <si>
    <t>free to set up</t>
  </si>
  <si>
    <t>fee calculated per transaction</t>
  </si>
  <si>
    <t>online sales cost 2.9% plus 30 cents per tranction</t>
  </si>
  <si>
    <t>Assumption</t>
  </si>
  <si>
    <t>cost $70,000 [around £55093.85 estimated to £55,000]</t>
  </si>
  <si>
    <t>application contains lots of data such as user details, artist details, music, podcasts and more, relies heavily on such services, thus high cost selected</t>
  </si>
  <si>
    <t>application contains lots of data such as user details, artist details, music, podcasts and more on cloud for quick access, relies heavily on such services, thus high cost selected</t>
  </si>
  <si>
    <t>engaging and attractive interface is important in a mobile app, thus more than half of the range is chosen to be spent</t>
  </si>
  <si>
    <t>application requires lots of data storing and organizing, which is crucial, thus more than half of the range is chosen to be spent</t>
  </si>
  <si>
    <t>$3,150 is estimated to £2,500</t>
  </si>
  <si>
    <t>application development heavily relies on these platforms, thus more than half of the range is chosen to be spent</t>
  </si>
  <si>
    <t>using all the assumption mentioned above, using 20% of the total development cost</t>
  </si>
  <si>
    <t>30 cents is around £0.25</t>
  </si>
  <si>
    <t>additional 1% for international and currency conversion transactions</t>
  </si>
  <si>
    <t>2.9% of the subscription fee (£8.99) + £0.25 = 0.51071 [estimated to 0.51]</t>
  </si>
  <si>
    <t>https://www.searchlogistics.com/learn/statistics/spotify-statistics/#:~:text=Distribution%20Of%20Spotify%20Paying%20Subscribers%20By%20Region,-Europe%20and%20North&amp;text=The%20latest%20Spotify%20statistics%20from,in%20Europe%20and%20North%20America.&amp;text=Latin%20America%20accounts%20for%2020,world%20accounts%20for%20just%2011%25.</t>
  </si>
  <si>
    <t>https://www-statista-com.manchester.idm.oclc.org/statistics/1193257/global-spotify-subscriber-share-by-region/</t>
  </si>
  <si>
    <t>europe accounts for around 40% of paying subscribers for music streaming, not further details of how much UK accounts for</t>
  </si>
  <si>
    <t>we assume the UK accounts for a very low percentage, and thus we will calculate all transactions are international</t>
  </si>
  <si>
    <t>cost = 0.51 * number of user subscription *1.01 = 0.5151 * number of user subscription</t>
  </si>
  <si>
    <t>initial development cost is all the above expect 'Stripe fee' as no transaction will be taken during development process</t>
  </si>
  <si>
    <t>initial development cost = 55,000 + 3,200 + 55,000 + 55,000 + 2,500 + 55,000 + 119 = 225819</t>
  </si>
  <si>
    <t>cost = 0.2 * 225819 = 45163.8</t>
  </si>
  <si>
    <t>https://imaginovation.net/blog/importance-mobile-app-maintenance-cost/#:~:text=On%20average%2C%20app%20owners%20should,initial%20development%20cost%20for%20maintenance</t>
  </si>
  <si>
    <t>Cost Details &amp; Assumptions</t>
  </si>
  <si>
    <t>HR Expenses (non-tech)</t>
  </si>
  <si>
    <t>HR Tech Supplies</t>
  </si>
  <si>
    <t>HR Expenses (tech &amp; non-tech)</t>
  </si>
  <si>
    <t>cost $4,000 [around £ 3148.22 estimated to £3200]</t>
  </si>
  <si>
    <t>£ once, cost $70,000 [around £55093.85 estimated to £55,000]</t>
  </si>
  <si>
    <t>£ per year, 20% of the app development cost, cost = 0.2 * 225819 = 45163.8</t>
  </si>
  <si>
    <t>£ per year, estimated total salary for tech employees (increase 5% after working two years)</t>
  </si>
  <si>
    <t>£ per year, estimated total salary for other employees (increase 5% after working two years)</t>
  </si>
  <si>
    <t>£ per month, cost $4,000 [around £ 3148.22 estimated to £3200]</t>
  </si>
  <si>
    <t>£ once, $3,150 is estimated to £2,500</t>
  </si>
  <si>
    <t>£ per subscriber per month, cost = 0.51 * number of user subscription *1.01 = 0.5151 * number of user * 0.6</t>
  </si>
  <si>
    <t>Cost by Categories</t>
  </si>
  <si>
    <t>Detailed Cost</t>
  </si>
  <si>
    <t>Revenue Details &amp; Assumptions</t>
  </si>
  <si>
    <t>1.1 trillion of users at 2022</t>
  </si>
  <si>
    <t>20 songs played each day by each user</t>
  </si>
  <si>
    <t>assume each song takes 3.5 minutes</t>
  </si>
  <si>
    <t>Additional resources:</t>
  </si>
  <si>
    <t>Link</t>
  </si>
  <si>
    <t>Revenue details'!B7</t>
  </si>
  <si>
    <t>Revenue details'!B25</t>
  </si>
  <si>
    <t>Cost details'!B11</t>
  </si>
  <si>
    <t>Cost details'!B14</t>
  </si>
  <si>
    <t>Cost details'!B17</t>
  </si>
  <si>
    <t>Cost details'!B21</t>
  </si>
  <si>
    <t>Cost details'!B24</t>
  </si>
  <si>
    <t>Cost details'!B27</t>
  </si>
  <si>
    <t>Cost details'!B30</t>
  </si>
  <si>
    <t>Cost details'!B32</t>
  </si>
  <si>
    <t>Cost details'!B38</t>
  </si>
  <si>
    <t>Cost details'!B57</t>
  </si>
  <si>
    <t>Cost details'!B78</t>
  </si>
  <si>
    <t>Cost details'!B93</t>
  </si>
  <si>
    <t>Cost details'!B107</t>
  </si>
  <si>
    <t>Cost details'!B120</t>
  </si>
  <si>
    <t>Cost details'!B135</t>
  </si>
  <si>
    <t>Cost details'!B157</t>
  </si>
  <si>
    <t>App Development Fees</t>
  </si>
  <si>
    <t>Profit</t>
  </si>
  <si>
    <t>Discount rate:</t>
  </si>
  <si>
    <t>Rounded Value</t>
  </si>
  <si>
    <t>Revenues:</t>
  </si>
  <si>
    <t>Costs:</t>
  </si>
  <si>
    <t>Overview:</t>
  </si>
  <si>
    <t>Details:</t>
  </si>
  <si>
    <t>Indicators</t>
  </si>
  <si>
    <t>HR Tech Supplies brought in Year 0</t>
  </si>
  <si>
    <t>HR Tech Supplies brought in Year 1</t>
  </si>
  <si>
    <t>Total Depreciation</t>
  </si>
  <si>
    <t>Discounted Cumulative Cash Flow</t>
  </si>
  <si>
    <t>Initial investment in year 0:</t>
  </si>
  <si>
    <t>Description</t>
  </si>
  <si>
    <t>Yearly depreciatioon cost</t>
  </si>
  <si>
    <t>Percentage</t>
  </si>
  <si>
    <t>Values</t>
  </si>
  <si>
    <t>percentage per year</t>
  </si>
  <si>
    <t>Revenue</t>
  </si>
  <si>
    <t>Used data from Spotify in 2023: $1.77 billions for 635.67 millions users at 2023 which estimates to £1.4 billions for 635.67 millions users. Thus, £2.75 per user as our assumptioon for advertisement fee</t>
  </si>
  <si>
    <t>Backend Development costs $70,000 [around £55093.85 estimated to £55,000]</t>
  </si>
  <si>
    <t>AWS Cloud Services costs $4,000 [around £ 3148.22 estimated to £3200]</t>
  </si>
  <si>
    <t>Database costs $70,000 [around £55093.85 estimated to £55,000]</t>
  </si>
  <si>
    <t>Frontend Development costs $70,000 [around £55093.85 estimated to £55,000]</t>
  </si>
  <si>
    <t>APIs and Integration costs $3,150  (estimated to £2,500)</t>
  </si>
  <si>
    <t>Development Tools and Libraries costs $70,000 [around £55093.85 estimated to £55,000]</t>
  </si>
  <si>
    <t>App Licensing Fee costs around £119</t>
  </si>
  <si>
    <t>Stripe fee (third party payment) costs 0.5151 * number of user subscription</t>
  </si>
  <si>
    <t>Software Maintenance &amp; Patching costs 20% of the total development cost</t>
  </si>
  <si>
    <t>Cost</t>
  </si>
  <si>
    <t>We assume to provide high end computers to tech employees each (2000) and lower end to the rest (700).</t>
  </si>
  <si>
    <t xml:space="preserve">We assume to rent coworking space instead of rent an office. </t>
  </si>
  <si>
    <r>
      <t>Number of users increases 60% every year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(self-underestimate using data from other music apps)</t>
    </r>
  </si>
  <si>
    <t>Other</t>
  </si>
  <si>
    <t>Sensitivity of NPV to Costs (Software Maintenance &amp; Patching)</t>
  </si>
  <si>
    <t>Sensitivity of NPV to Revenues (Subscription Fee)</t>
  </si>
  <si>
    <t>Sensitivity of NPV to Costs (App Development Fees)</t>
  </si>
  <si>
    <t>app development</t>
  </si>
  <si>
    <t>research resouces to use for app development</t>
  </si>
  <si>
    <t>test and evaluation</t>
  </si>
  <si>
    <t>marketing</t>
  </si>
  <si>
    <t>Sensitivity of NPV to Costs (Marketing Expenses (Year 1 to 3))</t>
  </si>
  <si>
    <t>Resources:</t>
  </si>
  <si>
    <t>Preparation period: 01/04/2024 - 01/04/2025</t>
  </si>
  <si>
    <t>Revenue:</t>
  </si>
  <si>
    <t>Digital Music revenue in the World from 2019 to 2028 (in million U.S. dollar), by segment - https://www-statista-com.manchester.idm.oclc.org/forecasts/456524/digital-music-revenue-in-the-world-forecast</t>
  </si>
  <si>
    <t xml:space="preserve">Revenue worldwide 2013 – 2022 https://www-statista-com.manchester.idm.oclc.org/statistics/813713/spotify-revenue/ </t>
  </si>
  <si>
    <t xml:space="preserve">Global recorded music revenue from 1999 to 2022 https://www-statista-com.manchester.idm.oclc.org/statistics/272305/global-revenue-of-the-music-industry/ </t>
  </si>
  <si>
    <t>Revenue market share of the largest music publishers worldwide from 2007 to 2022 https://www-statista-com.manchester.idm.oclc.org/statistics/272520/market-share-of-the-largest-music-publishers-worldwide/</t>
  </si>
  <si>
    <t>Growth in music streaming revenue worldwide from 2013 to 2022 https://www-statista-com.manchester.idm.oclc.org/statistics/537066/growth-music-streaming-revenue/</t>
  </si>
  <si>
    <t>Music streaming revenue worldwide from 2005 to 2022 https://www-statista-com.manchester.idm.oclc.org/statistics/587216/music-streaming-revenue/</t>
  </si>
  <si>
    <t>Worldwide advertising revenues of YouTube from 2017 to 2022 https://www-statista-com.manchester.idm.oclc.org/statistics/289658/youtube-global-net-advertising-revenues/</t>
  </si>
  <si>
    <t>Cost:</t>
  </si>
  <si>
    <t xml:space="preserve">Cost of goods sold from 2012 – 2022 https://www-statista-com.manchester.idm.oclc.org/statistics/245137/spotifys-cost-of-goods-sold/ </t>
  </si>
  <si>
    <t>Research and development costs of Spotify worldwide from 2013 – 2022 https://www-statista-com.manchester.idm.oclc.org/statistics/813751/spotify-research-development-costs/</t>
  </si>
  <si>
    <t>Sales and marketing costs of Spotify worldwide from 2013 to 2022 https://www-statista-com.manchester.idm.oclc.org/statistics/813757/spotify-sales-marketing-costs/</t>
  </si>
  <si>
    <t>Spotify’s cost of goods sold from 2021to 2022 https://www-statista-com.manchester.idm.oclc.org/statistics/245137/spotifys-cost-of-goods-sold/</t>
  </si>
  <si>
    <t>Music:</t>
  </si>
  <si>
    <t>Users of digital media users worldwide from 2018 to 2027, by segment - https://www-statista-com.manchester.idm.oclc.org/forecasts/456497/digital-media-users-in-the-world-forecast</t>
  </si>
  <si>
    <t>Digital Music users by segment in the World from 2019 to 2028, by segment - https://www-statista-com.manchester.idm.oclc.org/forecasts/456558/digital-music-users-in-the-world-forecast</t>
  </si>
  <si>
    <t>Leading digital music brands ranked by brand awareness in the United Kingdom in 2023 - https://www-statista-com.manchester.idm.oclc.org/statistics/1339576/most-well-known-digital-music-brands-in-the-uk/</t>
  </si>
  <si>
    <t>Digital media: market data &amp; analysis - https://www-statista-com.manchester.idm.oclc.org/study/44526/digital-media-report/</t>
  </si>
  <si>
    <t>Music streaming worldwide statistics &amp; facts - https://www-statista-com.manchester.idm.oclc.org/topics/6408/music-streaming/#topicOverview</t>
  </si>
  <si>
    <t>Advertising:</t>
  </si>
  <si>
    <t>Audio advertising in the US https://www-statista-com.manchester.idm.oclc.org/study/108987/audio-advertising-in-the-united-states/</t>
  </si>
  <si>
    <t>Music Streaming Advertising https://www-statista-com.manchester.idm.oclc.org/outlook/dmo/digital-media/digital-music/music-streaming-advertising/worldwide</t>
  </si>
  <si>
    <t>In-App Advertising https://www-statista-com.manchester.idm.oclc.org/outlook/dmo/digital-advertising/in-app-advertising/worldwide</t>
  </si>
  <si>
    <t xml:space="preserve">Global E-commerce  https://www-marketresearch-com.manchester.idm.oclc.org/academic/Product/15932888 </t>
  </si>
  <si>
    <t>Others:</t>
  </si>
  <si>
    <t xml:space="preserve">Gross profit of Spotify worldwide from 2015 – 2022 by segment https://www-statista-com.manchester.idm.oclc.org/statistics/813824/spotify-gross-profit-segment/ </t>
  </si>
  <si>
    <t>Global E-commerce  https://www-marketresearch-com.manchester.idm.oclc.org/academic/Product/15932888</t>
  </si>
  <si>
    <t>Top competitors of our project: Spotify, Apple Music, Amazon Music, YouTube Music, Tidal, Deezer, Pandora, Shazam</t>
  </si>
  <si>
    <t>Others (such as Chinese music apps): Kugou Music, QQ Music, Kuwo Music, NetEase Cloud Music</t>
  </si>
  <si>
    <t>Cost!B2</t>
  </si>
  <si>
    <t>Revenue!B2</t>
  </si>
  <si>
    <t>Output</t>
  </si>
  <si>
    <t>Student &amp; Course Details</t>
  </si>
  <si>
    <t>(more in "Indicators" spreadsheet)</t>
  </si>
  <si>
    <t>% per year</t>
  </si>
  <si>
    <r>
      <t xml:space="preserve">Student ID: </t>
    </r>
    <r>
      <rPr>
        <b/>
        <sz val="12"/>
        <color theme="1"/>
        <rFont val="Calibri"/>
        <family val="2"/>
        <scheme val="minor"/>
      </rPr>
      <t>10830930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</si>
</sst>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£&quot;#,##0_);[Red]\(&quot;£&quot;#,##0\)"/>
    <numFmt numFmtId="8" formatCode="&quot;£&quot;#,##0.00_);[Red]\(&quot;£&quot;#,##0.00\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&quot;£&quot;#,##0.00"/>
    <numFmt numFmtId="166" formatCode="&quot;£&quot;#,##0"/>
    <numFmt numFmtId="167" formatCode="0.000%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24"/>
      <color theme="1"/>
      <name val="Copperplate Gothic Bold"/>
      <family val="5"/>
    </font>
    <font>
      <b/>
      <u/>
      <sz val="24"/>
      <color theme="0"/>
      <name val="Copperplate Gothic Bold"/>
      <family val="5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rgb="FF70AD4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rgb="FF70AD47"/>
      </left>
      <right/>
      <top style="thin">
        <color rgb="FF70AD47"/>
      </top>
      <bottom/>
      <diagonal/>
    </border>
    <border>
      <left/>
      <right style="thin">
        <color rgb="FF70AD47"/>
      </right>
      <top style="thin">
        <color rgb="FF70AD47"/>
      </top>
      <bottom/>
      <diagonal/>
    </border>
    <border>
      <left style="thin">
        <color rgb="FF70AD47"/>
      </left>
      <right/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/>
      <top/>
      <bottom style="thin">
        <color rgb="FF70AD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51">
    <xf numFmtId="0" fontId="0" fillId="0" borderId="0" xfId="0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9" fillId="0" borderId="0" xfId="3" applyAlignment="1">
      <alignment vertical="center"/>
    </xf>
    <xf numFmtId="0" fontId="10" fillId="0" borderId="0" xfId="0" applyFont="1" applyAlignment="1">
      <alignment vertical="center"/>
    </xf>
    <xf numFmtId="164" fontId="0" fillId="0" borderId="0" xfId="0" applyNumberFormat="1"/>
    <xf numFmtId="44" fontId="0" fillId="0" borderId="0" xfId="2" applyFont="1"/>
    <xf numFmtId="0" fontId="8" fillId="0" borderId="0" xfId="0" applyFont="1" applyAlignment="1">
      <alignment horizontal="center" vertical="center"/>
    </xf>
    <xf numFmtId="44" fontId="0" fillId="0" borderId="0" xfId="0" applyNumberFormat="1"/>
    <xf numFmtId="8" fontId="0" fillId="0" borderId="0" xfId="0" applyNumberFormat="1"/>
    <xf numFmtId="9" fontId="12" fillId="2" borderId="0" xfId="0" applyNumberFormat="1" applyFont="1" applyFill="1" applyAlignment="1">
      <alignment vertical="center"/>
    </xf>
    <xf numFmtId="9" fontId="0" fillId="0" borderId="0" xfId="0" applyNumberFormat="1"/>
    <xf numFmtId="0" fontId="0" fillId="5" borderId="0" xfId="0" applyFill="1" applyAlignment="1">
      <alignment horizontal="center" vertical="center"/>
    </xf>
    <xf numFmtId="0" fontId="0" fillId="5" borderId="0" xfId="0" applyFill="1"/>
    <xf numFmtId="43" fontId="1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0" fontId="0" fillId="0" borderId="0" xfId="0" applyNumberFormat="1"/>
    <xf numFmtId="0" fontId="16" fillId="9" borderId="1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9" fontId="17" fillId="0" borderId="3" xfId="0" applyNumberFormat="1" applyFont="1" applyBorder="1" applyAlignment="1">
      <alignment wrapText="1"/>
    </xf>
    <xf numFmtId="6" fontId="17" fillId="0" borderId="4" xfId="0" applyNumberFormat="1" applyFont="1" applyBorder="1" applyAlignment="1">
      <alignment wrapText="1"/>
    </xf>
    <xf numFmtId="9" fontId="17" fillId="0" borderId="1" xfId="0" applyNumberFormat="1" applyFont="1" applyBorder="1" applyAlignment="1">
      <alignment wrapText="1"/>
    </xf>
    <xf numFmtId="9" fontId="17" fillId="0" borderId="5" xfId="0" applyNumberFormat="1" applyFont="1" applyBorder="1" applyAlignment="1">
      <alignment wrapText="1"/>
    </xf>
    <xf numFmtId="0" fontId="0" fillId="12" borderId="0" xfId="0" applyFill="1"/>
    <xf numFmtId="0" fontId="0" fillId="12" borderId="6" xfId="0" applyFill="1" applyBorder="1"/>
    <xf numFmtId="0" fontId="6" fillId="12" borderId="6" xfId="0" applyFont="1" applyFill="1" applyBorder="1"/>
    <xf numFmtId="0" fontId="0" fillId="12" borderId="12" xfId="0" applyFill="1" applyBorder="1"/>
    <xf numFmtId="0" fontId="0" fillId="12" borderId="14" xfId="0" applyFill="1" applyBorder="1"/>
    <xf numFmtId="0" fontId="0" fillId="15" borderId="0" xfId="0" applyFill="1"/>
    <xf numFmtId="0" fontId="0" fillId="2" borderId="0" xfId="0" applyFill="1"/>
    <xf numFmtId="0" fontId="9" fillId="0" borderId="0" xfId="3" applyFill="1" applyAlignment="1">
      <alignment vertical="center"/>
    </xf>
    <xf numFmtId="0" fontId="9" fillId="0" borderId="0" xfId="3" applyFill="1"/>
    <xf numFmtId="0" fontId="2" fillId="14" borderId="0" xfId="0" applyFont="1" applyFill="1"/>
    <xf numFmtId="0" fontId="0" fillId="14" borderId="0" xfId="0" applyFill="1"/>
    <xf numFmtId="0" fontId="2" fillId="4" borderId="0" xfId="0" applyFont="1" applyFill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15" borderId="0" xfId="0" applyFont="1" applyFill="1"/>
    <xf numFmtId="0" fontId="7" fillId="0" borderId="0" xfId="0" applyFont="1" applyAlignment="1">
      <alignment horizontal="center"/>
    </xf>
    <xf numFmtId="0" fontId="0" fillId="13" borderId="0" xfId="0" applyFill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17" fillId="2" borderId="3" xfId="0" applyNumberFormat="1" applyFont="1" applyFill="1" applyBorder="1" applyAlignment="1">
      <alignment wrapText="1"/>
    </xf>
    <xf numFmtId="6" fontId="17" fillId="2" borderId="4" xfId="0" applyNumberFormat="1" applyFont="1" applyFill="1" applyBorder="1" applyAlignment="1">
      <alignment wrapText="1"/>
    </xf>
    <xf numFmtId="0" fontId="9" fillId="0" borderId="0" xfId="3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14" fillId="0" borderId="0" xfId="0" applyFont="1"/>
    <xf numFmtId="0" fontId="7" fillId="0" borderId="0" xfId="0" applyFont="1" applyAlignment="1">
      <alignment vertical="center"/>
    </xf>
    <xf numFmtId="0" fontId="26" fillId="17" borderId="0" xfId="0" applyFont="1" applyFill="1"/>
    <xf numFmtId="0" fontId="14" fillId="17" borderId="0" xfId="0" applyFont="1" applyFill="1"/>
    <xf numFmtId="3" fontId="14" fillId="0" borderId="0" xfId="0" applyNumberFormat="1" applyFont="1"/>
    <xf numFmtId="0" fontId="2" fillId="18" borderId="0" xfId="0" applyFont="1" applyFill="1"/>
    <xf numFmtId="3" fontId="0" fillId="18" borderId="0" xfId="0" applyNumberFormat="1" applyFill="1"/>
    <xf numFmtId="3" fontId="26" fillId="19" borderId="0" xfId="0" applyNumberFormat="1" applyFont="1" applyFill="1"/>
    <xf numFmtId="3" fontId="14" fillId="18" borderId="0" xfId="0" applyNumberFormat="1" applyFont="1" applyFill="1"/>
    <xf numFmtId="0" fontId="7" fillId="14" borderId="6" xfId="0" applyFont="1" applyFill="1" applyBorder="1"/>
    <xf numFmtId="0" fontId="0" fillId="15" borderId="13" xfId="0" applyFill="1" applyBorder="1"/>
    <xf numFmtId="0" fontId="0" fillId="15" borderId="8" xfId="0" applyFill="1" applyBorder="1"/>
    <xf numFmtId="0" fontId="14" fillId="15" borderId="0" xfId="0" applyFont="1" applyFill="1"/>
    <xf numFmtId="0" fontId="14" fillId="15" borderId="12" xfId="0" applyFont="1" applyFill="1" applyBorder="1"/>
    <xf numFmtId="0" fontId="0" fillId="15" borderId="14" xfId="0" applyFill="1" applyBorder="1"/>
    <xf numFmtId="0" fontId="0" fillId="15" borderId="12" xfId="0" applyFill="1" applyBorder="1"/>
    <xf numFmtId="0" fontId="14" fillId="15" borderId="14" xfId="0" applyFon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0" xfId="0" applyFill="1" applyBorder="1"/>
    <xf numFmtId="0" fontId="25" fillId="15" borderId="12" xfId="0" applyFont="1" applyFill="1" applyBorder="1" applyAlignment="1">
      <alignment vertical="center"/>
    </xf>
    <xf numFmtId="0" fontId="25" fillId="15" borderId="0" xfId="0" applyFont="1" applyFill="1" applyAlignment="1">
      <alignment vertical="center"/>
    </xf>
    <xf numFmtId="0" fontId="25" fillId="15" borderId="14" xfId="0" applyFont="1" applyFill="1" applyBorder="1" applyAlignment="1">
      <alignment vertical="center"/>
    </xf>
    <xf numFmtId="0" fontId="25" fillId="15" borderId="18" xfId="0" applyFont="1" applyFill="1" applyBorder="1" applyAlignment="1">
      <alignment vertical="center"/>
    </xf>
    <xf numFmtId="0" fontId="14" fillId="15" borderId="15" xfId="0" applyFont="1" applyFill="1" applyBorder="1"/>
    <xf numFmtId="0" fontId="0" fillId="15" borderId="16" xfId="0" applyFill="1" applyBorder="1"/>
    <xf numFmtId="0" fontId="0" fillId="15" borderId="17" xfId="0" applyFill="1" applyBorder="1"/>
    <xf numFmtId="0" fontId="0" fillId="15" borderId="15" xfId="0" applyFill="1" applyBorder="1"/>
    <xf numFmtId="0" fontId="14" fillId="15" borderId="18" xfId="0" applyFont="1" applyFill="1" applyBorder="1"/>
    <xf numFmtId="0" fontId="1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8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3" fillId="7" borderId="0" xfId="0" applyFont="1" applyFill="1"/>
    <xf numFmtId="0" fontId="23" fillId="7" borderId="0" xfId="0" applyFont="1" applyFill="1" applyAlignment="1">
      <alignment vertical="center"/>
    </xf>
    <xf numFmtId="0" fontId="2" fillId="21" borderId="0" xfId="0" applyFont="1" applyFill="1"/>
    <xf numFmtId="44" fontId="0" fillId="21" borderId="0" xfId="2" applyFont="1" applyFill="1"/>
    <xf numFmtId="44" fontId="0" fillId="21" borderId="0" xfId="0" applyNumberFormat="1" applyFill="1"/>
    <xf numFmtId="0" fontId="7" fillId="22" borderId="0" xfId="0" applyFont="1" applyFill="1" applyAlignment="1">
      <alignment horizontal="left" vertical="center"/>
    </xf>
    <xf numFmtId="0" fontId="7" fillId="10" borderId="0" xfId="0" applyFont="1" applyFill="1"/>
    <xf numFmtId="0" fontId="0" fillId="13" borderId="0" xfId="0" applyFill="1" applyAlignment="1">
      <alignment horizontal="left"/>
    </xf>
    <xf numFmtId="0" fontId="2" fillId="10" borderId="0" xfId="0" applyFont="1" applyFill="1"/>
    <xf numFmtId="0" fontId="0" fillId="10" borderId="0" xfId="0" applyFill="1"/>
    <xf numFmtId="0" fontId="2" fillId="8" borderId="0" xfId="0" applyFont="1" applyFill="1"/>
    <xf numFmtId="0" fontId="2" fillId="16" borderId="0" xfId="0" applyFont="1" applyFill="1"/>
    <xf numFmtId="44" fontId="0" fillId="16" borderId="0" xfId="2" applyFont="1" applyFill="1"/>
    <xf numFmtId="164" fontId="0" fillId="16" borderId="0" xfId="0" applyNumberFormat="1" applyFill="1"/>
    <xf numFmtId="0" fontId="9" fillId="15" borderId="7" xfId="3" quotePrefix="1" applyFill="1" applyBorder="1"/>
    <xf numFmtId="0" fontId="9" fillId="15" borderId="13" xfId="3" quotePrefix="1" applyFill="1" applyBorder="1"/>
    <xf numFmtId="0" fontId="9" fillId="24" borderId="13" xfId="3" applyFill="1" applyBorder="1"/>
    <xf numFmtId="0" fontId="9" fillId="24" borderId="8" xfId="3" applyFill="1" applyBorder="1"/>
    <xf numFmtId="0" fontId="12" fillId="0" borderId="0" xfId="0" applyFont="1" applyAlignment="1">
      <alignment horizontal="center" vertical="top"/>
    </xf>
    <xf numFmtId="165" fontId="0" fillId="0" borderId="0" xfId="2" applyNumberFormat="1" applyFont="1" applyFill="1"/>
    <xf numFmtId="165" fontId="21" fillId="0" borderId="0" xfId="0" applyNumberFormat="1" applyFont="1"/>
    <xf numFmtId="165" fontId="21" fillId="0" borderId="0" xfId="2" applyNumberFormat="1" applyFont="1" applyFill="1"/>
    <xf numFmtId="0" fontId="0" fillId="26" borderId="0" xfId="0" applyFill="1"/>
    <xf numFmtId="44" fontId="2" fillId="0" borderId="0" xfId="0" applyNumberFormat="1" applyFont="1"/>
    <xf numFmtId="0" fontId="0" fillId="27" borderId="0" xfId="0" applyFill="1"/>
    <xf numFmtId="3" fontId="0" fillId="27" borderId="0" xfId="0" applyNumberFormat="1" applyFill="1"/>
    <xf numFmtId="0" fontId="24" fillId="26" borderId="0" xfId="0" applyFont="1" applyFill="1"/>
    <xf numFmtId="0" fontId="24" fillId="2" borderId="0" xfId="0" applyFont="1" applyFill="1"/>
    <xf numFmtId="0" fontId="24" fillId="27" borderId="0" xfId="0" applyFont="1" applyFill="1"/>
    <xf numFmtId="0" fontId="5" fillId="13" borderId="0" xfId="0" applyFont="1" applyFill="1"/>
    <xf numFmtId="0" fontId="5" fillId="15" borderId="0" xfId="0" applyFont="1" applyFill="1"/>
    <xf numFmtId="0" fontId="2" fillId="4" borderId="0" xfId="0" applyFont="1" applyFill="1" applyAlignment="1">
      <alignment horizontal="center" vertical="center"/>
    </xf>
    <xf numFmtId="166" fontId="21" fillId="0" borderId="0" xfId="0" applyNumberFormat="1" applyFont="1"/>
    <xf numFmtId="166" fontId="0" fillId="0" borderId="0" xfId="0" applyNumberFormat="1"/>
    <xf numFmtId="0" fontId="13" fillId="10" borderId="0" xfId="0" applyFont="1" applyFill="1"/>
    <xf numFmtId="0" fontId="13" fillId="14" borderId="0" xfId="0" applyFont="1" applyFill="1"/>
    <xf numFmtId="0" fontId="0" fillId="4" borderId="0" xfId="0" applyFill="1"/>
    <xf numFmtId="165" fontId="29" fillId="14" borderId="0" xfId="0" applyNumberFormat="1" applyFont="1" applyFill="1"/>
    <xf numFmtId="165" fontId="2" fillId="10" borderId="0" xfId="0" applyNumberFormat="1" applyFont="1" applyFill="1"/>
    <xf numFmtId="0" fontId="0" fillId="6" borderId="0" xfId="0" applyFill="1"/>
    <xf numFmtId="0" fontId="20" fillId="28" borderId="0" xfId="0" applyFont="1" applyFill="1"/>
    <xf numFmtId="44" fontId="0" fillId="6" borderId="0" xfId="0" applyNumberFormat="1" applyFill="1"/>
    <xf numFmtId="0" fontId="22" fillId="28" borderId="0" xfId="0" applyFont="1" applyFill="1"/>
    <xf numFmtId="0" fontId="22" fillId="0" borderId="0" xfId="0" applyFont="1"/>
    <xf numFmtId="165" fontId="0" fillId="6" borderId="0" xfId="0" applyNumberFormat="1" applyFill="1"/>
    <xf numFmtId="10" fontId="0" fillId="6" borderId="0" xfId="0" applyNumberFormat="1" applyFill="1"/>
    <xf numFmtId="0" fontId="22" fillId="28" borderId="7" xfId="0" applyFont="1" applyFill="1" applyBorder="1"/>
    <xf numFmtId="0" fontId="0" fillId="6" borderId="13" xfId="0" applyFill="1" applyBorder="1"/>
    <xf numFmtId="0" fontId="0" fillId="6" borderId="8" xfId="0" applyFill="1" applyBorder="1"/>
    <xf numFmtId="165" fontId="0" fillId="6" borderId="13" xfId="0" applyNumberFormat="1" applyFill="1" applyBorder="1"/>
    <xf numFmtId="10" fontId="0" fillId="6" borderId="13" xfId="0" applyNumberFormat="1" applyFill="1" applyBorder="1"/>
    <xf numFmtId="10" fontId="0" fillId="6" borderId="8" xfId="0" applyNumberFormat="1" applyFill="1" applyBorder="1"/>
    <xf numFmtId="9" fontId="0" fillId="6" borderId="13" xfId="0" applyNumberFormat="1" applyFill="1" applyBorder="1"/>
    <xf numFmtId="43" fontId="0" fillId="6" borderId="13" xfId="1" applyFont="1" applyFill="1" applyBorder="1"/>
    <xf numFmtId="43" fontId="0" fillId="6" borderId="8" xfId="1" applyFont="1" applyFill="1" applyBorder="1"/>
    <xf numFmtId="44" fontId="0" fillId="6" borderId="13" xfId="0" applyNumberFormat="1" applyFill="1" applyBorder="1"/>
    <xf numFmtId="44" fontId="0" fillId="6" borderId="8" xfId="0" applyNumberFormat="1" applyFill="1" applyBorder="1"/>
    <xf numFmtId="0" fontId="22" fillId="28" borderId="15" xfId="0" applyFont="1" applyFill="1" applyBorder="1"/>
    <xf numFmtId="0" fontId="22" fillId="28" borderId="16" xfId="0" applyFont="1" applyFill="1" applyBorder="1"/>
    <xf numFmtId="0" fontId="22" fillId="28" borderId="17" xfId="0" applyFont="1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30" fillId="0" borderId="0" xfId="0" applyFont="1" applyAlignment="1">
      <alignment horizontal="center"/>
    </xf>
    <xf numFmtId="10" fontId="21" fillId="0" borderId="0" xfId="0" applyNumberFormat="1" applyFont="1"/>
    <xf numFmtId="167" fontId="0" fillId="0" borderId="0" xfId="0" applyNumberFormat="1"/>
    <xf numFmtId="167" fontId="21" fillId="0" borderId="0" xfId="0" applyNumberFormat="1" applyFont="1"/>
    <xf numFmtId="167" fontId="0" fillId="6" borderId="0" xfId="0" applyNumberFormat="1" applyFill="1"/>
    <xf numFmtId="0" fontId="18" fillId="15" borderId="0" xfId="0" applyFont="1" applyFill="1"/>
    <xf numFmtId="0" fontId="0" fillId="3" borderId="6" xfId="0" applyFill="1" applyBorder="1"/>
    <xf numFmtId="165" fontId="0" fillId="3" borderId="6" xfId="0" applyNumberFormat="1" applyFill="1" applyBorder="1"/>
    <xf numFmtId="10" fontId="0" fillId="3" borderId="6" xfId="0" applyNumberFormat="1" applyFill="1" applyBorder="1"/>
    <xf numFmtId="2" fontId="0" fillId="15" borderId="13" xfId="0" applyNumberFormat="1" applyFill="1" applyBorder="1"/>
    <xf numFmtId="2" fontId="0" fillId="15" borderId="8" xfId="0" applyNumberFormat="1" applyFill="1" applyBorder="1"/>
    <xf numFmtId="2" fontId="0" fillId="12" borderId="6" xfId="0" applyNumberFormat="1" applyFill="1" applyBorder="1"/>
    <xf numFmtId="0" fontId="3" fillId="10" borderId="0" xfId="0" applyFont="1" applyFill="1" applyAlignment="1">
      <alignment horizontal="center"/>
    </xf>
    <xf numFmtId="0" fontId="0" fillId="12" borderId="7" xfId="0" applyFill="1" applyBorder="1" applyAlignment="1">
      <alignment horizontal="left"/>
    </xf>
    <xf numFmtId="0" fontId="5" fillId="11" borderId="6" xfId="0" applyFont="1" applyFill="1" applyBorder="1" applyAlignment="1">
      <alignment horizontal="center"/>
    </xf>
    <xf numFmtId="0" fontId="0" fillId="12" borderId="9" xfId="0" applyFill="1" applyBorder="1" applyAlignment="1">
      <alignment horizontal="left"/>
    </xf>
    <xf numFmtId="0" fontId="0" fillId="12" borderId="11" xfId="0" applyFill="1" applyBorder="1" applyAlignment="1">
      <alignment horizontal="left"/>
    </xf>
    <xf numFmtId="0" fontId="8" fillId="11" borderId="6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8" fillId="11" borderId="9" xfId="0" applyFont="1" applyFill="1" applyBorder="1" applyAlignment="1">
      <alignment horizontal="center"/>
    </xf>
    <xf numFmtId="0" fontId="8" fillId="11" borderId="10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9" fillId="12" borderId="9" xfId="3" applyFill="1" applyBorder="1" applyAlignment="1">
      <alignment horizontal="center"/>
    </xf>
    <xf numFmtId="0" fontId="9" fillId="12" borderId="10" xfId="3" applyFill="1" applyBorder="1" applyAlignment="1">
      <alignment horizontal="center"/>
    </xf>
    <xf numFmtId="0" fontId="9" fillId="12" borderId="11" xfId="3" applyFill="1" applyBorder="1" applyAlignment="1">
      <alignment horizontal="center"/>
    </xf>
    <xf numFmtId="0" fontId="12" fillId="2" borderId="0" xfId="0" applyFont="1" applyFill="1" applyAlignment="1">
      <alignment horizontal="center" vertical="top"/>
    </xf>
    <xf numFmtId="0" fontId="28" fillId="25" borderId="15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8" fillId="25" borderId="18" xfId="0" applyFont="1" applyFill="1" applyBorder="1" applyAlignment="1">
      <alignment horizontal="center" vertical="center"/>
    </xf>
    <xf numFmtId="0" fontId="28" fillId="25" borderId="19" xfId="0" applyFont="1" applyFill="1" applyBorder="1" applyAlignment="1">
      <alignment horizontal="center" vertical="center"/>
    </xf>
    <xf numFmtId="0" fontId="28" fillId="25" borderId="20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13" fillId="0" borderId="0" xfId="1" applyFont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28" fillId="23" borderId="15" xfId="0" applyFont="1" applyFill="1" applyBorder="1" applyAlignment="1">
      <alignment horizontal="center" vertical="center"/>
    </xf>
    <xf numFmtId="0" fontId="28" fillId="23" borderId="16" xfId="0" applyFont="1" applyFill="1" applyBorder="1" applyAlignment="1">
      <alignment horizontal="center" vertical="center"/>
    </xf>
    <xf numFmtId="0" fontId="28" fillId="23" borderId="17" xfId="0" applyFont="1" applyFill="1" applyBorder="1" applyAlignment="1">
      <alignment horizontal="center" vertical="center"/>
    </xf>
    <xf numFmtId="0" fontId="28" fillId="23" borderId="18" xfId="0" applyFont="1" applyFill="1" applyBorder="1" applyAlignment="1">
      <alignment horizontal="center" vertical="center"/>
    </xf>
    <xf numFmtId="0" fontId="28" fillId="23" borderId="19" xfId="0" applyFont="1" applyFill="1" applyBorder="1" applyAlignment="1">
      <alignment horizontal="center" vertical="center"/>
    </xf>
    <xf numFmtId="0" fontId="28" fillId="23" borderId="20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11" fillId="13" borderId="0" xfId="0" applyFont="1" applyFill="1" applyAlignment="1">
      <alignment horizontal="center"/>
    </xf>
    <xf numFmtId="0" fontId="28" fillId="23" borderId="12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 vertical="center"/>
    </xf>
    <xf numFmtId="0" fontId="28" fillId="23" borderId="14" xfId="0" applyFont="1" applyFill="1" applyBorder="1" applyAlignment="1">
      <alignment horizontal="center" vertical="center"/>
    </xf>
    <xf numFmtId="0" fontId="0" fillId="15" borderId="12" xfId="0" applyFill="1" applyBorder="1" applyAlignment="1">
      <alignment horizontal="left"/>
    </xf>
    <xf numFmtId="0" fontId="0" fillId="15" borderId="0" xfId="0" applyFill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8" xfId="0" applyFill="1" applyBorder="1" applyAlignment="1">
      <alignment horizontal="left"/>
    </xf>
    <xf numFmtId="0" fontId="0" fillId="15" borderId="19" xfId="0" applyFill="1" applyBorder="1" applyAlignment="1">
      <alignment horizontal="left"/>
    </xf>
    <xf numFmtId="0" fontId="0" fillId="15" borderId="20" xfId="0" applyFill="1" applyBorder="1" applyAlignment="1">
      <alignment horizontal="left"/>
    </xf>
    <xf numFmtId="0" fontId="28" fillId="20" borderId="15" xfId="0" applyFont="1" applyFill="1" applyBorder="1" applyAlignment="1">
      <alignment horizontal="center" vertical="center"/>
    </xf>
    <xf numFmtId="0" fontId="28" fillId="20" borderId="16" xfId="0" applyFont="1" applyFill="1" applyBorder="1" applyAlignment="1">
      <alignment horizontal="center" vertical="center"/>
    </xf>
    <xf numFmtId="0" fontId="28" fillId="20" borderId="17" xfId="0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0" fontId="28" fillId="20" borderId="0" xfId="0" applyFont="1" applyFill="1" applyAlignment="1">
      <alignment horizontal="center" vertical="center"/>
    </xf>
    <xf numFmtId="0" fontId="28" fillId="20" borderId="14" xfId="0" applyFont="1" applyFill="1" applyBorder="1" applyAlignment="1">
      <alignment horizontal="center" vertical="center"/>
    </xf>
    <xf numFmtId="0" fontId="28" fillId="20" borderId="18" xfId="0" applyFont="1" applyFill="1" applyBorder="1" applyAlignment="1">
      <alignment horizontal="center" vertical="center"/>
    </xf>
    <xf numFmtId="0" fontId="28" fillId="20" borderId="19" xfId="0" applyFont="1" applyFill="1" applyBorder="1" applyAlignment="1">
      <alignment horizontal="center" vertical="center"/>
    </xf>
    <xf numFmtId="0" fontId="28" fillId="20" borderId="20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0" fontId="7" fillId="14" borderId="11" xfId="0" applyFont="1" applyFill="1" applyBorder="1" applyAlignment="1">
      <alignment horizontal="center"/>
    </xf>
    <xf numFmtId="0" fontId="7" fillId="14" borderId="9" xfId="0" applyFont="1" applyFill="1" applyBorder="1" applyAlignment="1">
      <alignment horizontal="left"/>
    </xf>
    <xf numFmtId="0" fontId="7" fillId="14" borderId="10" xfId="0" applyFont="1" applyFill="1" applyBorder="1" applyAlignment="1">
      <alignment horizontal="left"/>
    </xf>
    <xf numFmtId="0" fontId="7" fillId="14" borderId="11" xfId="0" applyFont="1" applyFill="1" applyBorder="1" applyAlignment="1">
      <alignment horizontal="left"/>
    </xf>
    <xf numFmtId="0" fontId="23" fillId="7" borderId="0" xfId="0" applyFont="1" applyFill="1" applyAlignment="1">
      <alignment horizontal="center"/>
    </xf>
    <xf numFmtId="0" fontId="7" fillId="22" borderId="0" xfId="0" applyFont="1" applyFill="1" applyAlignment="1">
      <alignment horizontal="left" vertical="center"/>
    </xf>
    <xf numFmtId="0" fontId="28" fillId="29" borderId="15" xfId="0" applyFont="1" applyFill="1" applyBorder="1" applyAlignment="1">
      <alignment horizontal="center" vertical="center"/>
    </xf>
    <xf numFmtId="0" fontId="28" fillId="29" borderId="16" xfId="0" applyFont="1" applyFill="1" applyBorder="1" applyAlignment="1">
      <alignment horizontal="center" vertical="center"/>
    </xf>
    <xf numFmtId="0" fontId="28" fillId="29" borderId="18" xfId="0" applyFont="1" applyFill="1" applyBorder="1" applyAlignment="1">
      <alignment horizontal="center" vertical="center"/>
    </xf>
    <xf numFmtId="0" fontId="28" fillId="29" borderId="19" xfId="0" applyFont="1" applyFill="1" applyBorder="1" applyAlignment="1">
      <alignment horizontal="center" vertical="center"/>
    </xf>
    <xf numFmtId="0" fontId="7" fillId="28" borderId="0" xfId="0" applyFont="1" applyFill="1" applyAlignment="1">
      <alignment horizontal="center" vertical="center"/>
    </xf>
    <xf numFmtId="0" fontId="28" fillId="29" borderId="12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vertical="center"/>
    </xf>
    <xf numFmtId="0" fontId="14" fillId="6" borderId="9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7" fillId="14" borderId="12" xfId="0" applyFont="1" applyFill="1" applyBorder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28" fillId="30" borderId="15" xfId="0" applyFont="1" applyFill="1" applyBorder="1" applyAlignment="1">
      <alignment horizontal="center" vertical="center"/>
    </xf>
    <xf numFmtId="0" fontId="28" fillId="30" borderId="16" xfId="0" applyFont="1" applyFill="1" applyBorder="1" applyAlignment="1">
      <alignment horizontal="center" vertical="center"/>
    </xf>
    <xf numFmtId="0" fontId="28" fillId="30" borderId="18" xfId="0" applyFont="1" applyFill="1" applyBorder="1" applyAlignment="1">
      <alignment horizontal="center" vertical="center"/>
    </xf>
    <xf numFmtId="0" fontId="28" fillId="30" borderId="19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/>
    </xf>
    <xf numFmtId="0" fontId="28" fillId="31" borderId="0" xfId="0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BCB6F8"/>
      <color rgb="FFDDBFF8"/>
      <color rgb="FFC58AFA"/>
      <color rgb="FF75D0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 Payback vs. Discounted Payback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Flow'!$C$49</c:f>
              <c:strCache>
                <c:ptCount val="1"/>
                <c:pt idx="0">
                  <c:v>Cumulative Net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4892966799650839E-18"/>
                  <c:y val="-4.5399191480734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36-384F-A557-B06A62E54511}"/>
                </c:ext>
              </c:extLst>
            </c:dLbl>
            <c:dLbl>
              <c:idx val="1"/>
              <c:layout>
                <c:manualLayout>
                  <c:x val="0"/>
                  <c:y val="-5.14177707287403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6-384F-A557-B06A62E54511}"/>
                </c:ext>
              </c:extLst>
            </c:dLbl>
            <c:dLbl>
              <c:idx val="2"/>
              <c:layout>
                <c:manualLayout>
                  <c:x val="0"/>
                  <c:y val="-5.44255100945656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6-384F-A557-B06A62E54511}"/>
                </c:ext>
              </c:extLst>
            </c:dLbl>
            <c:dLbl>
              <c:idx val="3"/>
              <c:layout>
                <c:manualLayout>
                  <c:x val="7.0763001224921672E-4"/>
                  <c:y val="-5.5507536177885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6-384F-A557-B06A62E54511}"/>
                </c:ext>
              </c:extLst>
            </c:dLbl>
            <c:dLbl>
              <c:idx val="4"/>
              <c:layout>
                <c:manualLayout>
                  <c:x val="0"/>
                  <c:y val="-5.55573931006774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36-384F-A557-B06A62E54511}"/>
                </c:ext>
              </c:extLst>
            </c:dLbl>
            <c:dLbl>
              <c:idx val="5"/>
              <c:layout>
                <c:manualLayout>
                  <c:x val="-4.2457800734954556E-3"/>
                  <c:y val="0.114365700771882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6-384F-A557-B06A62E54511}"/>
                </c:ext>
              </c:extLst>
            </c:dLbl>
            <c:dLbl>
              <c:idx val="6"/>
              <c:layout>
                <c:manualLayout>
                  <c:x val="-3.5381500612462133E-3"/>
                  <c:y val="0.105341111337561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36-384F-A557-B06A62E54511}"/>
                </c:ext>
              </c:extLst>
            </c:dLbl>
            <c:dLbl>
              <c:idx val="7"/>
              <c:layout>
                <c:manualLayout>
                  <c:x val="-2.8305200489970226E-3"/>
                  <c:y val="0.102684345364011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36-384F-A557-B06A62E54511}"/>
                </c:ext>
              </c:extLst>
            </c:dLbl>
            <c:dLbl>
              <c:idx val="8"/>
              <c:layout>
                <c:manualLayout>
                  <c:x val="0"/>
                  <c:y val="0.106510681784907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36-384F-A557-B06A62E54511}"/>
                </c:ext>
              </c:extLst>
            </c:dLbl>
            <c:dLbl>
              <c:idx val="9"/>
              <c:layout>
                <c:manualLayout>
                  <c:x val="7.0763001224929457E-4"/>
                  <c:y val="0.104650167349017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36-384F-A557-B06A62E54511}"/>
                </c:ext>
              </c:extLst>
            </c:dLbl>
            <c:dLbl>
              <c:idx val="10"/>
              <c:layout>
                <c:manualLayout>
                  <c:x val="3.5381500612461096E-3"/>
                  <c:y val="0.10975357060688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36-384F-A557-B06A62E54511}"/>
                </c:ext>
              </c:extLst>
            </c:dLbl>
            <c:dLbl>
              <c:idx val="11"/>
              <c:layout>
                <c:manualLayout>
                  <c:x val="6.3686701102431843E-3"/>
                  <c:y val="0.113027346400549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36-384F-A557-B06A62E54511}"/>
                </c:ext>
              </c:extLst>
            </c:dLbl>
            <c:dLbl>
              <c:idx val="12"/>
              <c:layout>
                <c:manualLayout>
                  <c:x val="9.9068201714893975E-3"/>
                  <c:y val="0.118317773920014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36-384F-A557-B06A62E54511}"/>
                </c:ext>
              </c:extLst>
            </c:dLbl>
            <c:dLbl>
              <c:idx val="13"/>
              <c:layout>
                <c:manualLayout>
                  <c:x val="1.4860230257233993E-2"/>
                  <c:y val="0.129924708750449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36-384F-A557-B06A62E54511}"/>
                </c:ext>
              </c:extLst>
            </c:dLbl>
            <c:dLbl>
              <c:idx val="14"/>
              <c:layout>
                <c:manualLayout>
                  <c:x val="7.0763001224923225E-3"/>
                  <c:y val="0.189939310748714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36-384F-A557-B06A62E54511}"/>
                </c:ext>
              </c:extLst>
            </c:dLbl>
            <c:dLbl>
              <c:idx val="15"/>
              <c:layout>
                <c:manualLayout>
                  <c:x val="-4.2457800734954556E-3"/>
                  <c:y val="-6.60922824888381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936-384F-A557-B06A62E54511}"/>
                </c:ext>
              </c:extLst>
            </c:dLbl>
            <c:dLbl>
              <c:idx val="16"/>
              <c:layout>
                <c:manualLayout>
                  <c:x val="2.8305200489968669E-3"/>
                  <c:y val="-9.30938190548781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936-384F-A557-B06A62E54511}"/>
                </c:ext>
              </c:extLst>
            </c:dLbl>
            <c:dLbl>
              <c:idx val="17"/>
              <c:layout>
                <c:manualLayout>
                  <c:x val="0"/>
                  <c:y val="-8.93290133728427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36-384F-A557-B06A62E54511}"/>
                </c:ext>
              </c:extLst>
            </c:dLbl>
            <c:numFmt formatCode="&quot;£&quot;#,##0.00_);[Red]\(&quot;£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Flow'!$D$49:$X$49</c:f>
              <c:numCache>
                <c:formatCode>"£"#,##0.00</c:formatCode>
                <c:ptCount val="21"/>
                <c:pt idx="0">
                  <c:v>-543140</c:v>
                </c:pt>
                <c:pt idx="1">
                  <c:v>-1149029.8000000007</c:v>
                </c:pt>
                <c:pt idx="2">
                  <c:v>-1478166.3860000018</c:v>
                </c:pt>
                <c:pt idx="3">
                  <c:v>-1378720.9118460026</c:v>
                </c:pt>
                <c:pt idx="4">
                  <c:v>-605454.51819631271</c:v>
                </c:pt>
                <c:pt idx="5">
                  <c:v>1304929.0852015261</c:v>
                </c:pt>
                <c:pt idx="6">
                  <c:v>5051291.7003180441</c:v>
                </c:pt>
                <c:pt idx="7">
                  <c:v>11752624.361184036</c:v>
                </c:pt>
                <c:pt idx="8">
                  <c:v>23200165.28901846</c:v>
                </c:pt>
                <c:pt idx="9">
                  <c:v>42260790.639119379</c:v>
                </c:pt>
                <c:pt idx="10">
                  <c:v>73522441.815487057</c:v>
                </c:pt>
                <c:pt idx="11">
                  <c:v>124326811.39977506</c:v>
                </c:pt>
                <c:pt idx="12">
                  <c:v>206421642.97441944</c:v>
                </c:pt>
                <c:pt idx="13">
                  <c:v>338604413.29327059</c:v>
                </c:pt>
                <c:pt idx="14">
                  <c:v>550952226.33088565</c:v>
                </c:pt>
                <c:pt idx="15">
                  <c:v>891589646.466465</c:v>
                </c:pt>
                <c:pt idx="16">
                  <c:v>1437517234.4184537</c:v>
                </c:pt>
                <c:pt idx="17">
                  <c:v>2311937207.7221961</c:v>
                </c:pt>
                <c:pt idx="18">
                  <c:v>3711974500.6255469</c:v>
                </c:pt>
                <c:pt idx="19">
                  <c:v>5953030463.2097931</c:v>
                </c:pt>
                <c:pt idx="20">
                  <c:v>9539748783.4354095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36-384F-A557-B06A62E54511}"/>
            </c:ext>
          </c:extLst>
        </c:ser>
        <c:ser>
          <c:idx val="1"/>
          <c:order val="1"/>
          <c:tx>
            <c:strRef>
              <c:f>'Cash Flow'!$C$50</c:f>
              <c:strCache>
                <c:ptCount val="1"/>
                <c:pt idx="0">
                  <c:v>Discounted Cumulative Cash Flow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5396572608404095E-3"/>
                  <c:y val="7.27304816532908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36-384F-A557-B06A62E54511}"/>
                </c:ext>
              </c:extLst>
            </c:dLbl>
            <c:dLbl>
              <c:idx val="1"/>
              <c:layout>
                <c:manualLayout>
                  <c:x val="1.4158629043361638E-3"/>
                  <c:y val="6.36793589086183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936-384F-A557-B06A62E54511}"/>
                </c:ext>
              </c:extLst>
            </c:dLbl>
            <c:dLbl>
              <c:idx val="2"/>
              <c:layout>
                <c:manualLayout>
                  <c:x val="4.2475887130084657E-3"/>
                  <c:y val="6.97549399573083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36-384F-A557-B06A62E54511}"/>
                </c:ext>
              </c:extLst>
            </c:dLbl>
            <c:dLbl>
              <c:idx val="3"/>
              <c:layout>
                <c:manualLayout>
                  <c:x val="4.9534100857446988E-3"/>
                  <c:y val="6.18573625055511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936-384F-A557-B06A62E54511}"/>
                </c:ext>
              </c:extLst>
            </c:dLbl>
            <c:dLbl>
              <c:idx val="4"/>
              <c:layout>
                <c:manualLayout>
                  <c:x val="-5.1892268101035221E-17"/>
                  <c:y val="0.111242468564602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36-384F-A557-B06A62E54511}"/>
                </c:ext>
              </c:extLst>
            </c:dLbl>
            <c:dLbl>
              <c:idx val="5"/>
              <c:layout>
                <c:manualLayout>
                  <c:x val="-6.3686701102431843E-3"/>
                  <c:y val="-3.08597327766220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936-384F-A557-B06A62E54511}"/>
                </c:ext>
              </c:extLst>
            </c:dLbl>
            <c:dLbl>
              <c:idx val="6"/>
              <c:layout>
                <c:manualLayout>
                  <c:x val="-7.0763001224924266E-3"/>
                  <c:y val="-2.76348410877467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936-384F-A557-B06A62E54511}"/>
                </c:ext>
              </c:extLst>
            </c:dLbl>
            <c:dLbl>
              <c:idx val="7"/>
              <c:layout>
                <c:manualLayout>
                  <c:x val="-4.9534100857446988E-3"/>
                  <c:y val="-2.12358874507936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936-384F-A557-B06A62E54511}"/>
                </c:ext>
              </c:extLst>
            </c:dLbl>
            <c:dLbl>
              <c:idx val="8"/>
              <c:layout>
                <c:manualLayout>
                  <c:x val="-4.9534100857446988E-3"/>
                  <c:y val="-1.47143587451231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936-384F-A557-B06A62E54511}"/>
                </c:ext>
              </c:extLst>
            </c:dLbl>
            <c:dLbl>
              <c:idx val="9"/>
              <c:layout>
                <c:manualLayout>
                  <c:x val="5.1892268101035221E-17"/>
                  <c:y val="-2.03708090392303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936-384F-A557-B06A62E54511}"/>
                </c:ext>
              </c:extLst>
            </c:dLbl>
            <c:dLbl>
              <c:idx val="10"/>
              <c:layout>
                <c:manualLayout>
                  <c:x val="-1.0378453620207044E-16"/>
                  <c:y val="-1.6505316693605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936-384F-A557-B06A62E54511}"/>
                </c:ext>
              </c:extLst>
            </c:dLbl>
            <c:dLbl>
              <c:idx val="11"/>
              <c:layout>
                <c:manualLayout>
                  <c:x val="-1.4152600244984853E-3"/>
                  <c:y val="-4.31561523685929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936-384F-A557-B06A62E54511}"/>
                </c:ext>
              </c:extLst>
            </c:dLbl>
            <c:dLbl>
              <c:idx val="12"/>
              <c:layout>
                <c:manualLayout>
                  <c:x val="-1.4152600244984853E-3"/>
                  <c:y val="-3.2204410464992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936-384F-A557-B06A62E54511}"/>
                </c:ext>
              </c:extLst>
            </c:dLbl>
            <c:dLbl>
              <c:idx val="13"/>
              <c:layout>
                <c:manualLayout>
                  <c:x val="-1.4152600244984853E-3"/>
                  <c:y val="-8.22449526553797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936-384F-A557-B06A62E54511}"/>
                </c:ext>
              </c:extLst>
            </c:dLbl>
            <c:dLbl>
              <c:idx val="14"/>
              <c:layout>
                <c:manualLayout>
                  <c:x val="-4.9534100857448029E-3"/>
                  <c:y val="-3.5399631204694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936-384F-A557-B06A62E54511}"/>
                </c:ext>
              </c:extLst>
            </c:dLbl>
            <c:dLbl>
              <c:idx val="15"/>
              <c:layout>
                <c:manualLayout>
                  <c:x val="3.5381500612462133E-3"/>
                  <c:y val="0.133556238365704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936-384F-A557-B06A62E54511}"/>
                </c:ext>
              </c:extLst>
            </c:dLbl>
            <c:dLbl>
              <c:idx val="16"/>
              <c:layout>
                <c:manualLayout>
                  <c:x val="7.7839301347415657E-3"/>
                  <c:y val="0.138123862106939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936-384F-A557-B06A62E54511}"/>
                </c:ext>
              </c:extLst>
            </c:dLbl>
            <c:dLbl>
              <c:idx val="17"/>
              <c:layout>
                <c:manualLayout>
                  <c:x val="1.1322080195987986E-2"/>
                  <c:y val="0.158538447956425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936-384F-A557-B06A62E54511}"/>
                </c:ext>
              </c:extLst>
            </c:dLbl>
            <c:dLbl>
              <c:idx val="19"/>
              <c:layout>
                <c:manualLayout>
                  <c:x val="0"/>
                  <c:y val="0.19490822191729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936-384F-A557-B06A62E54511}"/>
                </c:ext>
              </c:extLst>
            </c:dLbl>
            <c:numFmt formatCode="&quot;£&quot;#,##0.00_);[Red]\(&quot;£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Flow'!$D$50:$X$50</c:f>
              <c:numCache>
                <c:formatCode>"£"#,##0.00</c:formatCode>
                <c:ptCount val="21"/>
                <c:pt idx="0">
                  <c:v>-543140</c:v>
                </c:pt>
                <c:pt idx="1">
                  <c:v>-1093948.9090909096</c:v>
                </c:pt>
                <c:pt idx="2">
                  <c:v>-1365962.6165289269</c:v>
                </c:pt>
                <c:pt idx="3">
                  <c:v>-1291247.7599143521</c:v>
                </c:pt>
                <c:pt idx="4">
                  <c:v>-763096.40846999059</c:v>
                </c:pt>
                <c:pt idx="5">
                  <c:v>423101.50610231142</c:v>
                </c:pt>
                <c:pt idx="6">
                  <c:v>2537825.5348636787</c:v>
                </c:pt>
                <c:pt idx="7">
                  <c:v>5976668.7927516438</c:v>
                </c:pt>
                <c:pt idx="8">
                  <c:v>11317031.120839378</c:v>
                </c:pt>
                <c:pt idx="9">
                  <c:v>19400596.936507385</c:v>
                </c:pt>
                <c:pt idx="10">
                  <c:v>31453316.764042757</c:v>
                </c:pt>
                <c:pt idx="11">
                  <c:v>49259938.370333694</c:v>
                </c:pt>
                <c:pt idx="12">
                  <c:v>75417881.684756637</c:v>
                </c:pt>
                <c:pt idx="13">
                  <c:v>113706521.86104371</c:v>
                </c:pt>
                <c:pt idx="14">
                  <c:v>169624337.81739178</c:v>
                </c:pt>
                <c:pt idx="15">
                  <c:v>251170227.91547287</c:v>
                </c:pt>
                <c:pt idx="16">
                  <c:v>369979977.08546448</c:v>
                </c:pt>
                <c:pt idx="17">
                  <c:v>542979307.18340826</c:v>
                </c:pt>
                <c:pt idx="18">
                  <c:v>794788320.51277626</c:v>
                </c:pt>
                <c:pt idx="19">
                  <c:v>1161218878.2848039</c:v>
                </c:pt>
                <c:pt idx="20">
                  <c:v>1694361702.1038013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936-384F-A557-B06A62E545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2872208"/>
        <c:axId val="1472873936"/>
      </c:barChart>
      <c:catAx>
        <c:axId val="14728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3936"/>
        <c:crosses val="autoZero"/>
        <c:auto val="1"/>
        <c:lblAlgn val="ctr"/>
        <c:lblOffset val="100"/>
        <c:noMultiLvlLbl val="0"/>
      </c:catAx>
      <c:valAx>
        <c:axId val="1472873936"/>
        <c:scaling>
          <c:orientation val="minMax"/>
          <c:min val="-100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Depreciation of HR Tech Supplies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2573065682158"/>
          <c:y val="0.19483806764888112"/>
          <c:w val="0.85955231926656672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Cost!$B$108</c:f>
              <c:strCache>
                <c:ptCount val="1"/>
                <c:pt idx="0">
                  <c:v>Total Depreciation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Cost!$C$105:$W$105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Cost!$C$108:$W$108</c:f>
              <c:numCache>
                <c:formatCode>_("£"* #,##0.00_);_("£"* \(#,##0.00\);_("£"* "-"??_);_(@_)</c:formatCode>
                <c:ptCount val="21"/>
                <c:pt idx="0">
                  <c:v>0</c:v>
                </c:pt>
                <c:pt idx="1">
                  <c:v>3200</c:v>
                </c:pt>
                <c:pt idx="2">
                  <c:v>3880</c:v>
                </c:pt>
                <c:pt idx="3">
                  <c:v>2328</c:v>
                </c:pt>
                <c:pt idx="4">
                  <c:v>1396.8000000000002</c:v>
                </c:pt>
                <c:pt idx="5">
                  <c:v>838.08000000000015</c:v>
                </c:pt>
                <c:pt idx="6">
                  <c:v>502.84799999999996</c:v>
                </c:pt>
                <c:pt idx="7">
                  <c:v>301.7088</c:v>
                </c:pt>
                <c:pt idx="8">
                  <c:v>181.02528000000001</c:v>
                </c:pt>
                <c:pt idx="9">
                  <c:v>108.61516799999998</c:v>
                </c:pt>
                <c:pt idx="10">
                  <c:v>65.169100799999981</c:v>
                </c:pt>
                <c:pt idx="11">
                  <c:v>39.101460479999986</c:v>
                </c:pt>
                <c:pt idx="12">
                  <c:v>23.460876287999991</c:v>
                </c:pt>
                <c:pt idx="13">
                  <c:v>14.076525772799995</c:v>
                </c:pt>
                <c:pt idx="14">
                  <c:v>8.4459154636799969</c:v>
                </c:pt>
                <c:pt idx="15">
                  <c:v>5.0675492782079967</c:v>
                </c:pt>
                <c:pt idx="16">
                  <c:v>3.0405295669247985</c:v>
                </c:pt>
                <c:pt idx="17">
                  <c:v>1.8243177401548789</c:v>
                </c:pt>
                <c:pt idx="18">
                  <c:v>1.0945906440929272</c:v>
                </c:pt>
                <c:pt idx="19">
                  <c:v>0.65675438645575634</c:v>
                </c:pt>
                <c:pt idx="20">
                  <c:v>0.39405263187345385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4-2E41-9314-8A90A4CF08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86876111"/>
        <c:axId val="31369887"/>
      </c:lineChart>
      <c:catAx>
        <c:axId val="2868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887"/>
        <c:crosses val="autoZero"/>
        <c:auto val="1"/>
        <c:lblAlgn val="ctr"/>
        <c:lblOffset val="100"/>
        <c:noMultiLvlLbl val="0"/>
      </c:catAx>
      <c:valAx>
        <c:axId val="313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_);_(&quot;£&quot;* \(#,##0\);_(&quot;£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761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 Payback vs. Discounted Payback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Flow'!$C$49</c:f>
              <c:strCache>
                <c:ptCount val="1"/>
                <c:pt idx="0">
                  <c:v>Cumulative Net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4892966799650839E-18"/>
                  <c:y val="-4.5399191480734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2E-8749-AC7C-A12BE995101D}"/>
                </c:ext>
              </c:extLst>
            </c:dLbl>
            <c:dLbl>
              <c:idx val="1"/>
              <c:layout>
                <c:manualLayout>
                  <c:x val="0"/>
                  <c:y val="-5.14177707287403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2E-8749-AC7C-A12BE995101D}"/>
                </c:ext>
              </c:extLst>
            </c:dLbl>
            <c:dLbl>
              <c:idx val="2"/>
              <c:layout>
                <c:manualLayout>
                  <c:x val="0"/>
                  <c:y val="-5.44255100945656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2E-8749-AC7C-A12BE995101D}"/>
                </c:ext>
              </c:extLst>
            </c:dLbl>
            <c:dLbl>
              <c:idx val="3"/>
              <c:layout>
                <c:manualLayout>
                  <c:x val="7.0763001224921672E-4"/>
                  <c:y val="-5.5507536177885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2E-8749-AC7C-A12BE995101D}"/>
                </c:ext>
              </c:extLst>
            </c:dLbl>
            <c:dLbl>
              <c:idx val="4"/>
              <c:layout>
                <c:manualLayout>
                  <c:x val="0"/>
                  <c:y val="-5.55573931006774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2E-8749-AC7C-A12BE995101D}"/>
                </c:ext>
              </c:extLst>
            </c:dLbl>
            <c:dLbl>
              <c:idx val="5"/>
              <c:layout>
                <c:manualLayout>
                  <c:x val="-4.2457800734954556E-3"/>
                  <c:y val="0.114365700771882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2E-8749-AC7C-A12BE995101D}"/>
                </c:ext>
              </c:extLst>
            </c:dLbl>
            <c:dLbl>
              <c:idx val="6"/>
              <c:layout>
                <c:manualLayout>
                  <c:x val="-3.5381500612462133E-3"/>
                  <c:y val="0.105341111337561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2E-8749-AC7C-A12BE995101D}"/>
                </c:ext>
              </c:extLst>
            </c:dLbl>
            <c:dLbl>
              <c:idx val="7"/>
              <c:layout>
                <c:manualLayout>
                  <c:x val="-2.8305200489970226E-3"/>
                  <c:y val="0.102684345364011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72E-8749-AC7C-A12BE995101D}"/>
                </c:ext>
              </c:extLst>
            </c:dLbl>
            <c:dLbl>
              <c:idx val="8"/>
              <c:layout>
                <c:manualLayout>
                  <c:x val="0"/>
                  <c:y val="0.106510681784907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72E-8749-AC7C-A12BE995101D}"/>
                </c:ext>
              </c:extLst>
            </c:dLbl>
            <c:dLbl>
              <c:idx val="9"/>
              <c:layout>
                <c:manualLayout>
                  <c:x val="7.0763001224929457E-4"/>
                  <c:y val="0.104650167349017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72E-8749-AC7C-A12BE995101D}"/>
                </c:ext>
              </c:extLst>
            </c:dLbl>
            <c:dLbl>
              <c:idx val="10"/>
              <c:layout>
                <c:manualLayout>
                  <c:x val="3.5381500612461096E-3"/>
                  <c:y val="0.10975357060688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72E-8749-AC7C-A12BE995101D}"/>
                </c:ext>
              </c:extLst>
            </c:dLbl>
            <c:dLbl>
              <c:idx val="11"/>
              <c:layout>
                <c:manualLayout>
                  <c:x val="6.3686701102431843E-3"/>
                  <c:y val="0.113027346400549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72E-8749-AC7C-A12BE995101D}"/>
                </c:ext>
              </c:extLst>
            </c:dLbl>
            <c:dLbl>
              <c:idx val="12"/>
              <c:layout>
                <c:manualLayout>
                  <c:x val="9.9068201714893975E-3"/>
                  <c:y val="0.118317773920014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72E-8749-AC7C-A12BE995101D}"/>
                </c:ext>
              </c:extLst>
            </c:dLbl>
            <c:dLbl>
              <c:idx val="13"/>
              <c:layout>
                <c:manualLayout>
                  <c:x val="1.4860230257233993E-2"/>
                  <c:y val="0.129924708750449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72E-8749-AC7C-A12BE995101D}"/>
                </c:ext>
              </c:extLst>
            </c:dLbl>
            <c:dLbl>
              <c:idx val="14"/>
              <c:layout>
                <c:manualLayout>
                  <c:x val="7.0763001224923225E-3"/>
                  <c:y val="0.189939310748714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72E-8749-AC7C-A12BE995101D}"/>
                </c:ext>
              </c:extLst>
            </c:dLbl>
            <c:dLbl>
              <c:idx val="15"/>
              <c:layout>
                <c:manualLayout>
                  <c:x val="-4.2457800734954556E-3"/>
                  <c:y val="-6.60922824888381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72E-8749-AC7C-A12BE995101D}"/>
                </c:ext>
              </c:extLst>
            </c:dLbl>
            <c:dLbl>
              <c:idx val="16"/>
              <c:layout>
                <c:manualLayout>
                  <c:x val="2.8305200489968669E-3"/>
                  <c:y val="-9.30938190548781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72E-8749-AC7C-A12BE995101D}"/>
                </c:ext>
              </c:extLst>
            </c:dLbl>
            <c:dLbl>
              <c:idx val="17"/>
              <c:layout>
                <c:manualLayout>
                  <c:x val="0"/>
                  <c:y val="-8.93290133728427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72E-8749-AC7C-A12BE995101D}"/>
                </c:ext>
              </c:extLst>
            </c:dLbl>
            <c:numFmt formatCode="&quot;£&quot;#,##0.00_);[Red]\(&quot;£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Flow'!$D$49:$X$49</c:f>
              <c:numCache>
                <c:formatCode>"£"#,##0.00</c:formatCode>
                <c:ptCount val="21"/>
                <c:pt idx="0">
                  <c:v>-543140</c:v>
                </c:pt>
                <c:pt idx="1">
                  <c:v>-1149029.8000000007</c:v>
                </c:pt>
                <c:pt idx="2">
                  <c:v>-1478166.3860000018</c:v>
                </c:pt>
                <c:pt idx="3">
                  <c:v>-1378720.9118460026</c:v>
                </c:pt>
                <c:pt idx="4">
                  <c:v>-605454.51819631271</c:v>
                </c:pt>
                <c:pt idx="5">
                  <c:v>1304929.0852015261</c:v>
                </c:pt>
                <c:pt idx="6">
                  <c:v>5051291.7003180441</c:v>
                </c:pt>
                <c:pt idx="7">
                  <c:v>11752624.361184036</c:v>
                </c:pt>
                <c:pt idx="8">
                  <c:v>23200165.28901846</c:v>
                </c:pt>
                <c:pt idx="9">
                  <c:v>42260790.639119379</c:v>
                </c:pt>
                <c:pt idx="10">
                  <c:v>73522441.815487057</c:v>
                </c:pt>
                <c:pt idx="11">
                  <c:v>124326811.39977506</c:v>
                </c:pt>
                <c:pt idx="12">
                  <c:v>206421642.97441944</c:v>
                </c:pt>
                <c:pt idx="13">
                  <c:v>338604413.29327059</c:v>
                </c:pt>
                <c:pt idx="14">
                  <c:v>550952226.33088565</c:v>
                </c:pt>
                <c:pt idx="15">
                  <c:v>891589646.466465</c:v>
                </c:pt>
                <c:pt idx="16">
                  <c:v>1437517234.4184537</c:v>
                </c:pt>
                <c:pt idx="17">
                  <c:v>2311937207.7221961</c:v>
                </c:pt>
                <c:pt idx="18">
                  <c:v>3711974500.6255469</c:v>
                </c:pt>
                <c:pt idx="19">
                  <c:v>5953030463.2097931</c:v>
                </c:pt>
                <c:pt idx="20">
                  <c:v>9539748783.4354095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6F4A-9FB2-F74619FE0B7F}"/>
            </c:ext>
          </c:extLst>
        </c:ser>
        <c:ser>
          <c:idx val="1"/>
          <c:order val="1"/>
          <c:tx>
            <c:strRef>
              <c:f>'Cash Flow'!$C$50</c:f>
              <c:strCache>
                <c:ptCount val="1"/>
                <c:pt idx="0">
                  <c:v>Discounted Cumulative Cash Flow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5396572608404095E-3"/>
                  <c:y val="7.27304816532908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2E-8749-AC7C-A12BE995101D}"/>
                </c:ext>
              </c:extLst>
            </c:dLbl>
            <c:dLbl>
              <c:idx val="1"/>
              <c:layout>
                <c:manualLayout>
                  <c:x val="1.4158629043361638E-3"/>
                  <c:y val="6.36793589086183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2E-8749-AC7C-A12BE995101D}"/>
                </c:ext>
              </c:extLst>
            </c:dLbl>
            <c:dLbl>
              <c:idx val="2"/>
              <c:layout>
                <c:manualLayout>
                  <c:x val="4.2475887130084657E-3"/>
                  <c:y val="6.97549399573083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2E-8749-AC7C-A12BE995101D}"/>
                </c:ext>
              </c:extLst>
            </c:dLbl>
            <c:dLbl>
              <c:idx val="3"/>
              <c:layout>
                <c:manualLayout>
                  <c:x val="4.9534100857446988E-3"/>
                  <c:y val="6.18573625055511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2E-8749-AC7C-A12BE995101D}"/>
                </c:ext>
              </c:extLst>
            </c:dLbl>
            <c:dLbl>
              <c:idx val="4"/>
              <c:layout>
                <c:manualLayout>
                  <c:x val="-5.1892268101035221E-17"/>
                  <c:y val="0.111242468564602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2E-8749-AC7C-A12BE995101D}"/>
                </c:ext>
              </c:extLst>
            </c:dLbl>
            <c:dLbl>
              <c:idx val="5"/>
              <c:layout>
                <c:manualLayout>
                  <c:x val="-6.3686701102431843E-3"/>
                  <c:y val="-3.08597327766220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2E-8749-AC7C-A12BE995101D}"/>
                </c:ext>
              </c:extLst>
            </c:dLbl>
            <c:dLbl>
              <c:idx val="6"/>
              <c:layout>
                <c:manualLayout>
                  <c:x val="-7.0763001224924266E-3"/>
                  <c:y val="-2.76348410877467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2E-8749-AC7C-A12BE995101D}"/>
                </c:ext>
              </c:extLst>
            </c:dLbl>
            <c:dLbl>
              <c:idx val="7"/>
              <c:layout>
                <c:manualLayout>
                  <c:x val="-4.9534100857446988E-3"/>
                  <c:y val="-2.12358874507936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72E-8749-AC7C-A12BE995101D}"/>
                </c:ext>
              </c:extLst>
            </c:dLbl>
            <c:dLbl>
              <c:idx val="8"/>
              <c:layout>
                <c:manualLayout>
                  <c:x val="-4.9534100857446988E-3"/>
                  <c:y val="-1.47143587451231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72E-8749-AC7C-A12BE995101D}"/>
                </c:ext>
              </c:extLst>
            </c:dLbl>
            <c:dLbl>
              <c:idx val="9"/>
              <c:layout>
                <c:manualLayout>
                  <c:x val="5.1892268101035221E-17"/>
                  <c:y val="-2.03708090392303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72E-8749-AC7C-A12BE995101D}"/>
                </c:ext>
              </c:extLst>
            </c:dLbl>
            <c:dLbl>
              <c:idx val="10"/>
              <c:layout>
                <c:manualLayout>
                  <c:x val="-1.0378453620207044E-16"/>
                  <c:y val="-1.6505316693605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72E-8749-AC7C-A12BE995101D}"/>
                </c:ext>
              </c:extLst>
            </c:dLbl>
            <c:dLbl>
              <c:idx val="11"/>
              <c:layout>
                <c:manualLayout>
                  <c:x val="-1.4152600244984853E-3"/>
                  <c:y val="-4.31561523685929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72E-8749-AC7C-A12BE995101D}"/>
                </c:ext>
              </c:extLst>
            </c:dLbl>
            <c:dLbl>
              <c:idx val="12"/>
              <c:layout>
                <c:manualLayout>
                  <c:x val="-1.4152600244984853E-3"/>
                  <c:y val="-3.2204410464992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72E-8749-AC7C-A12BE995101D}"/>
                </c:ext>
              </c:extLst>
            </c:dLbl>
            <c:dLbl>
              <c:idx val="13"/>
              <c:layout>
                <c:manualLayout>
                  <c:x val="-1.4152600244984853E-3"/>
                  <c:y val="-8.22449526553797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72E-8749-AC7C-A12BE995101D}"/>
                </c:ext>
              </c:extLst>
            </c:dLbl>
            <c:dLbl>
              <c:idx val="14"/>
              <c:layout>
                <c:manualLayout>
                  <c:x val="-4.9534100857448029E-3"/>
                  <c:y val="-3.5399631204694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72E-8749-AC7C-A12BE995101D}"/>
                </c:ext>
              </c:extLst>
            </c:dLbl>
            <c:dLbl>
              <c:idx val="15"/>
              <c:layout>
                <c:manualLayout>
                  <c:x val="3.5381500612462133E-3"/>
                  <c:y val="0.133556238365704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72E-8749-AC7C-A12BE995101D}"/>
                </c:ext>
              </c:extLst>
            </c:dLbl>
            <c:dLbl>
              <c:idx val="16"/>
              <c:layout>
                <c:manualLayout>
                  <c:x val="7.7839301347415657E-3"/>
                  <c:y val="0.138123862106939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72E-8749-AC7C-A12BE995101D}"/>
                </c:ext>
              </c:extLst>
            </c:dLbl>
            <c:dLbl>
              <c:idx val="17"/>
              <c:layout>
                <c:manualLayout>
                  <c:x val="1.1322080195987986E-2"/>
                  <c:y val="0.158538447956425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72E-8749-AC7C-A12BE995101D}"/>
                </c:ext>
              </c:extLst>
            </c:dLbl>
            <c:dLbl>
              <c:idx val="19"/>
              <c:layout>
                <c:manualLayout>
                  <c:x val="0"/>
                  <c:y val="0.19490822191729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72E-8749-AC7C-A12BE995101D}"/>
                </c:ext>
              </c:extLst>
            </c:dLbl>
            <c:numFmt formatCode="&quot;£&quot;#,##0.00_);[Red]\(&quot;£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Flow'!$D$50:$X$50</c:f>
              <c:numCache>
                <c:formatCode>"£"#,##0.00</c:formatCode>
                <c:ptCount val="21"/>
                <c:pt idx="0">
                  <c:v>-543140</c:v>
                </c:pt>
                <c:pt idx="1">
                  <c:v>-1093948.9090909096</c:v>
                </c:pt>
                <c:pt idx="2">
                  <c:v>-1365962.6165289269</c:v>
                </c:pt>
                <c:pt idx="3">
                  <c:v>-1291247.7599143521</c:v>
                </c:pt>
                <c:pt idx="4">
                  <c:v>-763096.40846999059</c:v>
                </c:pt>
                <c:pt idx="5">
                  <c:v>423101.50610231142</c:v>
                </c:pt>
                <c:pt idx="6">
                  <c:v>2537825.5348636787</c:v>
                </c:pt>
                <c:pt idx="7">
                  <c:v>5976668.7927516438</c:v>
                </c:pt>
                <c:pt idx="8">
                  <c:v>11317031.120839378</c:v>
                </c:pt>
                <c:pt idx="9">
                  <c:v>19400596.936507385</c:v>
                </c:pt>
                <c:pt idx="10">
                  <c:v>31453316.764042757</c:v>
                </c:pt>
                <c:pt idx="11">
                  <c:v>49259938.370333694</c:v>
                </c:pt>
                <c:pt idx="12">
                  <c:v>75417881.684756637</c:v>
                </c:pt>
                <c:pt idx="13">
                  <c:v>113706521.86104371</c:v>
                </c:pt>
                <c:pt idx="14">
                  <c:v>169624337.81739178</c:v>
                </c:pt>
                <c:pt idx="15">
                  <c:v>251170227.91547287</c:v>
                </c:pt>
                <c:pt idx="16">
                  <c:v>369979977.08546448</c:v>
                </c:pt>
                <c:pt idx="17">
                  <c:v>542979307.18340826</c:v>
                </c:pt>
                <c:pt idx="18">
                  <c:v>794788320.51277626</c:v>
                </c:pt>
                <c:pt idx="19">
                  <c:v>1161218878.2848039</c:v>
                </c:pt>
                <c:pt idx="20">
                  <c:v>1694361702.1038013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C-6F4A-9FB2-F74619FE0B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2872208"/>
        <c:axId val="1472873936"/>
      </c:barChart>
      <c:catAx>
        <c:axId val="14728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3936"/>
        <c:crosses val="autoZero"/>
        <c:auto val="1"/>
        <c:lblAlgn val="ctr"/>
        <c:lblOffset val="100"/>
        <c:noMultiLvlLbl val="0"/>
      </c:catAx>
      <c:valAx>
        <c:axId val="1472873936"/>
        <c:scaling>
          <c:orientation val="minMax"/>
          <c:min val="-100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Indicators!$C$45</c:f>
              <c:strCache>
                <c:ptCount val="1"/>
                <c:pt idx="0">
                  <c:v>NPV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6.1382285045798651E-2"/>
                  <c:y val="4.14682875760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4E-1F40-9D39-A49C172FB5E0}"/>
                </c:ext>
              </c:extLst>
            </c:dLbl>
            <c:dLbl>
              <c:idx val="4"/>
              <c:layout>
                <c:manualLayout>
                  <c:x val="2.6120121296084532E-3"/>
                  <c:y val="-3.6284751629038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44E-1F40-9D39-A49C172FB5E0}"/>
                </c:ext>
              </c:extLst>
            </c:dLbl>
            <c:dLbl>
              <c:idx val="5"/>
              <c:layout>
                <c:manualLayout>
                  <c:x val="-9.1420424536295865E-3"/>
                  <c:y val="6.4794199337568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4E-1F40-9D39-A49C172FB5E0}"/>
                </c:ext>
              </c:extLst>
            </c:dLbl>
            <c:dLbl>
              <c:idx val="6"/>
              <c:layout>
                <c:manualLayout>
                  <c:x val="1.3060060648042266E-3"/>
                  <c:y val="-4.665182352304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44E-1F40-9D39-A49C172FB5E0}"/>
                </c:ext>
              </c:extLst>
            </c:dLbl>
            <c:dLbl>
              <c:idx val="7"/>
              <c:layout>
                <c:manualLayout>
                  <c:x val="-6.5300303240211329E-3"/>
                  <c:y val="7.5161271231579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4E-1F40-9D39-A49C172FB5E0}"/>
                </c:ext>
              </c:extLst>
            </c:dLbl>
            <c:dLbl>
              <c:idx val="8"/>
              <c:layout>
                <c:manualLayout>
                  <c:x val="1.3060060648042219E-2"/>
                  <c:y val="-8.2936575152087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4E-1F40-9D39-A49C172FB5E0}"/>
                </c:ext>
              </c:extLst>
            </c:dLbl>
            <c:dLbl>
              <c:idx val="9"/>
              <c:layout>
                <c:manualLayout>
                  <c:x val="1.3060060648042266E-3"/>
                  <c:y val="5.7018895417060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4E-1F40-9D39-A49C172FB5E0}"/>
                </c:ext>
              </c:extLst>
            </c:dLbl>
            <c:dLbl>
              <c:idx val="10"/>
              <c:layout>
                <c:manualLayout>
                  <c:x val="6.5300303240211329E-3"/>
                  <c:y val="-4.665182352304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4E-1F40-9D39-A49C172FB5E0}"/>
                </c:ext>
              </c:extLst>
            </c:dLbl>
            <c:dLbl>
              <c:idx val="11"/>
              <c:layout>
                <c:manualLayout>
                  <c:x val="-6.5300303240212292E-3"/>
                  <c:y val="6.738596731107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4E-1F40-9D39-A49C172FB5E0}"/>
                </c:ext>
              </c:extLst>
            </c:dLbl>
            <c:dLbl>
              <c:idx val="12"/>
              <c:layout>
                <c:manualLayout>
                  <c:x val="1.3060060648042266E-3"/>
                  <c:y val="-3.8876519602541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4E-1F40-9D39-A49C172FB5E0}"/>
                </c:ext>
              </c:extLst>
            </c:dLbl>
            <c:dLbl>
              <c:idx val="13"/>
              <c:layout>
                <c:manualLayout>
                  <c:x val="-6.5300303240211329E-3"/>
                  <c:y val="4.9243591496552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4E-1F40-9D39-A49C172FB5E0}"/>
                </c:ext>
              </c:extLst>
            </c:dLbl>
            <c:dLbl>
              <c:idx val="14"/>
              <c:layout>
                <c:manualLayout>
                  <c:x val="-3.9180181944126801E-3"/>
                  <c:y val="-4.665182352304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4E-1F40-9D39-A49C172FB5E0}"/>
                </c:ext>
              </c:extLst>
            </c:dLbl>
            <c:dLbl>
              <c:idx val="15"/>
              <c:layout>
                <c:manualLayout>
                  <c:x val="-6.5300303240211329E-3"/>
                  <c:y val="7.7753039205082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4E-1F40-9D39-A49C172FB5E0}"/>
                </c:ext>
              </c:extLst>
            </c:dLbl>
            <c:dLbl>
              <c:idx val="16"/>
              <c:layout>
                <c:manualLayout>
                  <c:x val="3.9180181944126801E-3"/>
                  <c:y val="-9.3303647046098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4E-1F40-9D39-A49C172FB5E0}"/>
                </c:ext>
              </c:extLst>
            </c:dLbl>
            <c:dLbl>
              <c:idx val="17"/>
              <c:layout>
                <c:manualLayout>
                  <c:x val="7.8360363888253601E-3"/>
                  <c:y val="4.665182352304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4E-1F40-9D39-A49C172FB5E0}"/>
                </c:ext>
              </c:extLst>
            </c:dLbl>
            <c:dLbl>
              <c:idx val="18"/>
              <c:layout>
                <c:manualLayout>
                  <c:x val="3.1344145555301538E-2"/>
                  <c:y val="-7.2569503258076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4E-1F40-9D39-A49C172FB5E0}"/>
                </c:ext>
              </c:extLst>
            </c:dLbl>
            <c:dLbl>
              <c:idx val="19"/>
              <c:layout>
                <c:manualLayout>
                  <c:x val="4.571021226814774E-2"/>
                  <c:y val="-4.6651823523049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4E-1F40-9D39-A49C172FB5E0}"/>
                </c:ext>
              </c:extLst>
            </c:dLbl>
            <c:dLbl>
              <c:idx val="20"/>
              <c:layout>
                <c:manualLayout>
                  <c:x val="5.8770272916190296E-2"/>
                  <c:y val="-1.8142375814519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4E-1F40-9D39-A49C172FB5E0}"/>
                </c:ext>
              </c:extLst>
            </c:dLbl>
            <c:dLbl>
              <c:idx val="21"/>
              <c:layout>
                <c:manualLayout>
                  <c:x val="4.4404206203343899E-2"/>
                  <c:y val="8.2936575152087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4E-1F40-9D39-A49C172FB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Indicators!$B$46:$B$67</c:f>
              <c:numCache>
                <c:formatCode>0%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0.83903264227443786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Indicators!$C$46:$C$67</c:f>
              <c:numCache>
                <c:formatCode>"£"#,##0_);[Red]\("£"#,##0\)</c:formatCode>
                <c:ptCount val="22"/>
                <c:pt idx="0">
                  <c:v>9539748783.4354095</c:v>
                </c:pt>
                <c:pt idx="1">
                  <c:v>3916209643.2225485</c:v>
                </c:pt>
                <c:pt idx="2">
                  <c:v>1694361702.1038008</c:v>
                </c:pt>
                <c:pt idx="3">
                  <c:v>770130922.14999676</c:v>
                </c:pt>
                <c:pt idx="4">
                  <c:v>366730531.03214347</c:v>
                </c:pt>
                <c:pt idx="5">
                  <c:v>182501395.2683031</c:v>
                </c:pt>
                <c:pt idx="6">
                  <c:v>94674390.1505142</c:v>
                </c:pt>
                <c:pt idx="7">
                  <c:v>51053727.62264324</c:v>
                </c:pt>
                <c:pt idx="8">
                  <c:v>28520552.977084089</c:v>
                </c:pt>
                <c:pt idx="9">
                  <c:v>16432017.312246155</c:v>
                </c:pt>
                <c:pt idx="10">
                  <c:v>9706225.4048926309</c:v>
                </c:pt>
                <c:pt idx="11">
                  <c:v>5830703.1324368045</c:v>
                </c:pt>
                <c:pt idx="12">
                  <c:v>3521309.4996764408</c:v>
                </c:pt>
                <c:pt idx="13">
                  <c:v>2100462.6950861616</c:v>
                </c:pt>
                <c:pt idx="14">
                  <c:v>1199517.8342787218</c:v>
                </c:pt>
                <c:pt idx="15">
                  <c:v>611912.72827386064</c:v>
                </c:pt>
                <c:pt idx="16">
                  <c:v>218574.95906487561</c:v>
                </c:pt>
                <c:pt idx="17">
                  <c:v>0</c:v>
                </c:pt>
                <c:pt idx="18">
                  <c:v>-51032.856606354762</c:v>
                </c:pt>
                <c:pt idx="19">
                  <c:v>-239805.26834345842</c:v>
                </c:pt>
                <c:pt idx="20">
                  <c:v>-374489.22265790834</c:v>
                </c:pt>
                <c:pt idx="21">
                  <c:v>-472166.49972697493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D-3144-9DBB-0CD17A04FD4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456455216"/>
        <c:axId val="1834896880"/>
      </c:scatterChart>
      <c:valAx>
        <c:axId val="14564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1782661358389126"/>
              <c:y val="0.93575942029865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96880"/>
        <c:crosses val="autoZero"/>
        <c:crossBetween val="midCat"/>
      </c:valAx>
      <c:valAx>
        <c:axId val="18348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[Red]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Fixed Assets Depreciation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3.6505885800059833E-2"/>
                  <c:y val="-3.8300443900056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A-AC4D-95F2-085CE598703B}"/>
                </c:ext>
              </c:extLst>
            </c:dLbl>
            <c:dLbl>
              <c:idx val="2"/>
              <c:layout>
                <c:manualLayout>
                  <c:x val="-6.5516464294013685E-2"/>
                  <c:y val="2.9461879923120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A-AC4D-95F2-085CE5987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RoCE!$C$14:$W$14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RoCE!$C$15:$W$15</c:f>
              <c:numCache>
                <c:formatCode>"£"#,##0.00</c:formatCode>
                <c:ptCount val="21"/>
                <c:pt idx="0">
                  <c:v>8000</c:v>
                </c:pt>
                <c:pt idx="1">
                  <c:v>9700</c:v>
                </c:pt>
                <c:pt idx="2">
                  <c:v>5820</c:v>
                </c:pt>
                <c:pt idx="3">
                  <c:v>3492</c:v>
                </c:pt>
                <c:pt idx="4">
                  <c:v>2095.1999999999998</c:v>
                </c:pt>
                <c:pt idx="5">
                  <c:v>1257.1199999999999</c:v>
                </c:pt>
                <c:pt idx="6">
                  <c:v>754.27199999999993</c:v>
                </c:pt>
                <c:pt idx="7">
                  <c:v>452.56319999999994</c:v>
                </c:pt>
                <c:pt idx="8">
                  <c:v>271.53791999999993</c:v>
                </c:pt>
                <c:pt idx="9">
                  <c:v>162.92275199999995</c:v>
                </c:pt>
                <c:pt idx="10">
                  <c:v>97.753651199999965</c:v>
                </c:pt>
                <c:pt idx="11">
                  <c:v>58.652190719999979</c:v>
                </c:pt>
                <c:pt idx="12">
                  <c:v>35.191314431999984</c:v>
                </c:pt>
                <c:pt idx="13">
                  <c:v>21.114788659199991</c:v>
                </c:pt>
                <c:pt idx="14">
                  <c:v>12.668873195519994</c:v>
                </c:pt>
                <c:pt idx="15">
                  <c:v>7.601323917311996</c:v>
                </c:pt>
                <c:pt idx="16">
                  <c:v>4.560794350387197</c:v>
                </c:pt>
                <c:pt idx="17">
                  <c:v>2.7364766102323181</c:v>
                </c:pt>
                <c:pt idx="18">
                  <c:v>1.6418859661393908</c:v>
                </c:pt>
                <c:pt idx="19">
                  <c:v>0.98513157968363441</c:v>
                </c:pt>
                <c:pt idx="20">
                  <c:v>0.59107894781018067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A-AC4D-95F2-085CE59870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9145536"/>
        <c:axId val="1439664624"/>
      </c:lineChart>
      <c:catAx>
        <c:axId val="14391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64624"/>
        <c:crosses val="autoZero"/>
        <c:auto val="1"/>
        <c:lblAlgn val="ctr"/>
        <c:lblOffset val="100"/>
        <c:noMultiLvlLbl val="0"/>
      </c:catAx>
      <c:valAx>
        <c:axId val="14396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Asset's current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NPV Sensitivity to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45643513026264E-2"/>
          <c:y val="8.5878184199942031E-2"/>
          <c:w val="0.89189116605793395"/>
          <c:h val="0.85709658691503321"/>
        </c:manualLayout>
      </c:layout>
      <c:scatterChart>
        <c:scatterStyle val="lineMarker"/>
        <c:varyColors val="0"/>
        <c:ser>
          <c:idx val="0"/>
          <c:order val="0"/>
          <c:tx>
            <c:v>App Development Fees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'Sensitivity Analysis'!$B$8:$B$12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'Sensitivity Analysis'!$E$8:$E$12</c:f>
              <c:numCache>
                <c:formatCode>0.000%</c:formatCode>
                <c:ptCount val="5"/>
                <c:pt idx="0">
                  <c:v>6.6359429424779114E-3</c:v>
                </c:pt>
                <c:pt idx="1">
                  <c:v>3.3179714712390966E-3</c:v>
                </c:pt>
                <c:pt idx="2" formatCode="0.00%">
                  <c:v>0</c:v>
                </c:pt>
                <c:pt idx="3">
                  <c:v>-3.3179714712389557E-3</c:v>
                </c:pt>
                <c:pt idx="4">
                  <c:v>-6.6359429424780528E-3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0-304F-9885-2D2D7AA0C1D5}"/>
            </c:ext>
          </c:extLst>
        </c:ser>
        <c:ser>
          <c:idx val="1"/>
          <c:order val="1"/>
          <c:tx>
            <c:v>HR expenses' increased rate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331248919906168E-3"/>
                  <c:y val="-2.4244761365686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60-304F-9885-2D2D7AA0C1D5}"/>
                </c:ext>
              </c:extLst>
            </c:dLbl>
            <c:dLbl>
              <c:idx val="1"/>
              <c:layout>
                <c:manualLayout>
                  <c:x val="-9.2816880324652282E-2"/>
                  <c:y val="6.2632300194689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60-304F-9885-2D2D7AA0C1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60-304F-9885-2D2D7AA0C1D5}"/>
                </c:ext>
              </c:extLst>
            </c:dLbl>
            <c:dLbl>
              <c:idx val="3"/>
              <c:layout>
                <c:manualLayout>
                  <c:x val="-1.3015674737556267E-3"/>
                  <c:y val="-3.2214768505497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60-304F-9885-2D2D7AA0C1D5}"/>
                </c:ext>
              </c:extLst>
            </c:dLbl>
            <c:dLbl>
              <c:idx val="4"/>
              <c:layout>
                <c:manualLayout>
                  <c:x val="-8.4973762215188778E-2"/>
                  <c:y val="4.832215275824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60-304F-9885-2D2D7AA0C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'Sensitivity Analysis'!$B$16:$B$20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'Sensitivity Analysis'!$E$16:$E$20</c:f>
              <c:numCache>
                <c:formatCode>0.000%</c:formatCode>
                <c:ptCount val="5"/>
                <c:pt idx="0">
                  <c:v>2.4643340271532848E-4</c:v>
                </c:pt>
                <c:pt idx="1">
                  <c:v>1.2633966130905312E-4</c:v>
                </c:pt>
                <c:pt idx="2">
                  <c:v>0</c:v>
                </c:pt>
                <c:pt idx="3">
                  <c:v>-1.3294533208843955E-4</c:v>
                </c:pt>
                <c:pt idx="4">
                  <c:v>-2.7287726808138113E-4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0-304F-9885-2D2D7AA0C1D5}"/>
            </c:ext>
          </c:extLst>
        </c:ser>
        <c:ser>
          <c:idx val="2"/>
          <c:order val="2"/>
          <c:tx>
            <c:v>Software Maintenance &amp; Patching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949813993392056E-2"/>
                  <c:y val="5.253031629232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60-304F-9885-2D2D7AA0C1D5}"/>
                </c:ext>
              </c:extLst>
            </c:dLbl>
            <c:dLbl>
              <c:idx val="1"/>
              <c:layout>
                <c:manualLayout>
                  <c:x val="-9.1896322113136919E-3"/>
                  <c:y val="-2.8285554926634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60-304F-9885-2D2D7AA0C1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60-304F-9885-2D2D7AA0C1D5}"/>
                </c:ext>
              </c:extLst>
            </c:dLbl>
            <c:dLbl>
              <c:idx val="3"/>
              <c:layout>
                <c:manualLayout>
                  <c:x val="-7.9395615899093233E-2"/>
                  <c:y val="5.4362421853027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60-304F-9885-2D2D7AA0C1D5}"/>
                </c:ext>
              </c:extLst>
            </c:dLbl>
            <c:dLbl>
              <c:idx val="4"/>
              <c:layout>
                <c:manualLayout>
                  <c:x val="2.4171967369747355E-3"/>
                  <c:y val="-2.0134230315936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60-304F-9885-2D2D7AA0C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'Sensitivity Analysis'!$B$25:$B$29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'Sensitivity Analysis'!$E$25:$E$29</c:f>
              <c:numCache>
                <c:formatCode>0.000%</c:formatCode>
                <c:ptCount val="5"/>
                <c:pt idx="0">
                  <c:v>4.538639992242649E-5</c:v>
                </c:pt>
                <c:pt idx="1">
                  <c:v>2.2693199961424312E-5</c:v>
                </c:pt>
                <c:pt idx="2">
                  <c:v>0</c:v>
                </c:pt>
                <c:pt idx="3">
                  <c:v>-2.2693199961283599E-5</c:v>
                </c:pt>
                <c:pt idx="4">
                  <c:v>-4.5386399922848624E-5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60-304F-9885-2D2D7AA0C1D5}"/>
            </c:ext>
          </c:extLst>
        </c:ser>
        <c:ser>
          <c:idx val="3"/>
          <c:order val="3"/>
          <c:tx>
            <c:v>Marketing Expenses (Year 1 to 3)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6091430701984555E-2"/>
                  <c:y val="-3.838753882900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60-304F-9885-2D2D7AA0C1D5}"/>
                </c:ext>
              </c:extLst>
            </c:dLbl>
            <c:dLbl>
              <c:idx val="1"/>
              <c:layout>
                <c:manualLayout>
                  <c:x val="-7.7949813993392056E-2"/>
                  <c:y val="-4.0407935609477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60-304F-9885-2D2D7AA0C1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60-304F-9885-2D2D7AA0C1D5}"/>
                </c:ext>
              </c:extLst>
            </c:dLbl>
            <c:dLbl>
              <c:idx val="3"/>
              <c:layout>
                <c:manualLayout>
                  <c:x val="-7.9395615899093233E-2"/>
                  <c:y val="-4.832215275824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60-304F-9885-2D2D7AA0C1D5}"/>
                </c:ext>
              </c:extLst>
            </c:dLbl>
            <c:dLbl>
              <c:idx val="4"/>
              <c:layout>
                <c:manualLayout>
                  <c:x val="-8.3114380109823596E-2"/>
                  <c:y val="-4.2281883663466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60-304F-9885-2D2D7AA0C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'Sensitivity Analysis'!$B$34:$B$38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'Sensitivity Analysis'!$E$34:$E$38</c:f>
              <c:numCache>
                <c:formatCode>0.000%</c:formatCode>
                <c:ptCount val="5"/>
                <c:pt idx="0">
                  <c:v>1.1884673628257079E-4</c:v>
                </c:pt>
                <c:pt idx="1">
                  <c:v>5.9423368141215039E-5</c:v>
                </c:pt>
                <c:pt idx="2">
                  <c:v>0</c:v>
                </c:pt>
                <c:pt idx="3">
                  <c:v>-5.9423368141215039E-5</c:v>
                </c:pt>
                <c:pt idx="4">
                  <c:v>-1.1884673628257079E-4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60-304F-9885-2D2D7AA0C1D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913888656"/>
        <c:axId val="61182511"/>
      </c:scatterChart>
      <c:valAx>
        <c:axId val="19138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% change of NPV</a:t>
                </a:r>
              </a:p>
            </c:rich>
          </c:tx>
          <c:layout>
            <c:manualLayout>
              <c:xMode val="edge"/>
              <c:yMode val="edge"/>
              <c:x val="0.43727055757428562"/>
              <c:y val="0.96310901686931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solidFill>
            <a:schemeClr val="tx1">
              <a:alpha val="14000"/>
            </a:schemeClr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2511"/>
        <c:crosses val="autoZero"/>
        <c:crossBetween val="midCat"/>
      </c:valAx>
      <c:valAx>
        <c:axId val="611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change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295406247372796E-2"/>
              <c:y val="0.40971571735351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solidFill>
            <a:schemeClr val="tx1">
              <a:alpha val="14000"/>
            </a:schemeClr>
          </a:solidFill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8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05996328921192"/>
          <c:y val="9.3727374987217532E-2"/>
          <c:w val="0.28846571109067254"/>
          <c:h val="0.13586768861889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NPV Sensitivity to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6419729335511"/>
          <c:y val="0.23695842074192192"/>
          <c:w val="0.82418963303939652"/>
          <c:h val="0.66431429810008658"/>
        </c:manualLayout>
      </c:layout>
      <c:scatterChart>
        <c:scatterStyle val="lineMarker"/>
        <c:varyColors val="0"/>
        <c:ser>
          <c:idx val="0"/>
          <c:order val="0"/>
          <c:tx>
            <c:v>Subscription fee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'Sensitivity Analysis'!$B$43:$B$47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'Sensitivity Analysis'!$E$43:$E$47</c:f>
              <c:numCache>
                <c:formatCode>0.00%</c:formatCode>
                <c:ptCount val="5"/>
                <c:pt idx="0">
                  <c:v>-1.3718002927040809</c:v>
                </c:pt>
                <c:pt idx="1">
                  <c:v>-0.68590014635204066</c:v>
                </c:pt>
                <c:pt idx="2">
                  <c:v>0</c:v>
                </c:pt>
                <c:pt idx="3">
                  <c:v>0.68590014635204066</c:v>
                </c:pt>
                <c:pt idx="4">
                  <c:v>1.3718002927040809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5-E94B-8CD7-4B485395C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8905824"/>
        <c:axId val="1959558320"/>
      </c:scatterChart>
      <c:valAx>
        <c:axId val="19589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change of NPV</a:t>
                </a:r>
              </a:p>
            </c:rich>
          </c:tx>
          <c:layout>
            <c:manualLayout>
              <c:xMode val="edge"/>
              <c:yMode val="edge"/>
              <c:x val="0.44321152985827444"/>
              <c:y val="0.92893856931014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solidFill>
            <a:schemeClr val="tx1">
              <a:alpha val="14000"/>
            </a:schemeClr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58320"/>
        <c:crosses val="autoZero"/>
        <c:crossBetween val="midCat"/>
      </c:valAx>
      <c:valAx>
        <c:axId val="19595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change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850482180146843E-2"/>
              <c:y val="0.46836283674674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solidFill>
            <a:schemeClr val="tx1">
              <a:alpha val="14000"/>
            </a:schemeClr>
          </a:solidFill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0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 Chart of Project Year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96010372914731"/>
          <c:y val="0.17202884987737188"/>
          <c:w val="0.77861177810569937"/>
          <c:h val="0.725573447786239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Chart'!$C$8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13-9D4D-A215-48F7854350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13-9D4D-A215-48F7854350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13-9D4D-A215-48F7854350A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13-9D4D-A215-48F7854350A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13-9D4D-A215-48F7854350A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13-9D4D-A215-48F7854350A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13-9D4D-A215-48F785435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Chart'!$B$9:$B$18</c:f>
              <c:strCache>
                <c:ptCount val="10"/>
                <c:pt idx="0">
                  <c:v>find investors and raise capital</c:v>
                </c:pt>
                <c:pt idx="1">
                  <c:v>find and interview tech employees</c:v>
                </c:pt>
                <c:pt idx="2">
                  <c:v>find and interview other employees</c:v>
                </c:pt>
                <c:pt idx="3">
                  <c:v>research resouces to use for app development</c:v>
                </c:pt>
                <c:pt idx="4">
                  <c:v>app development</c:v>
                </c:pt>
                <c:pt idx="5">
                  <c:v>find office (coworking space) to rent</c:v>
                </c:pt>
                <c:pt idx="6">
                  <c:v>test and evaluation</c:v>
                </c:pt>
                <c:pt idx="7">
                  <c:v>buy tech supplies</c:v>
                </c:pt>
                <c:pt idx="8">
                  <c:v>marketing</c:v>
                </c:pt>
                <c:pt idx="9">
                  <c:v>find artists</c:v>
                </c:pt>
              </c:strCache>
            </c:strRef>
          </c:cat>
          <c:val>
            <c:numRef>
              <c:f>'Gantt Chart'!$C$9:$C$18</c:f>
              <c:numCache>
                <c:formatCode>m/d/yy</c:formatCode>
                <c:ptCount val="10"/>
                <c:pt idx="0">
                  <c:v>45383</c:v>
                </c:pt>
                <c:pt idx="1">
                  <c:v>45383</c:v>
                </c:pt>
                <c:pt idx="2">
                  <c:v>45658</c:v>
                </c:pt>
                <c:pt idx="3">
                  <c:v>45383</c:v>
                </c:pt>
                <c:pt idx="4">
                  <c:v>45413</c:v>
                </c:pt>
                <c:pt idx="5">
                  <c:v>45383</c:v>
                </c:pt>
                <c:pt idx="6">
                  <c:v>45658</c:v>
                </c:pt>
                <c:pt idx="7">
                  <c:v>45383</c:v>
                </c:pt>
                <c:pt idx="8">
                  <c:v>45658</c:v>
                </c:pt>
                <c:pt idx="9">
                  <c:v>45658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8-9A4C-8826-4704B2A2C1F4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Chart'!$B$9:$B$18</c:f>
              <c:strCache>
                <c:ptCount val="10"/>
                <c:pt idx="0">
                  <c:v>find investors and raise capital</c:v>
                </c:pt>
                <c:pt idx="1">
                  <c:v>find and interview tech employees</c:v>
                </c:pt>
                <c:pt idx="2">
                  <c:v>find and interview other employees</c:v>
                </c:pt>
                <c:pt idx="3">
                  <c:v>research resouces to use for app development</c:v>
                </c:pt>
                <c:pt idx="4">
                  <c:v>app development</c:v>
                </c:pt>
                <c:pt idx="5">
                  <c:v>find office (coworking space) to rent</c:v>
                </c:pt>
                <c:pt idx="6">
                  <c:v>test and evaluation</c:v>
                </c:pt>
                <c:pt idx="7">
                  <c:v>buy tech supplies</c:v>
                </c:pt>
                <c:pt idx="8">
                  <c:v>marketing</c:v>
                </c:pt>
                <c:pt idx="9">
                  <c:v>find artists</c:v>
                </c:pt>
              </c:strCache>
            </c:strRef>
          </c:cat>
          <c:val>
            <c:numRef>
              <c:f>'Gantt Chart'!$D$9:$D$18</c:f>
              <c:numCache>
                <c:formatCode>General</c:formatCode>
                <c:ptCount val="10"/>
                <c:pt idx="0">
                  <c:v>365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365</c:v>
                </c:pt>
                <c:pt idx="5">
                  <c:v>90</c:v>
                </c:pt>
                <c:pt idx="6">
                  <c:v>90</c:v>
                </c:pt>
                <c:pt idx="7">
                  <c:v>5</c:v>
                </c:pt>
                <c:pt idx="8">
                  <c:v>120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8-9A4C-8826-4704B2A2C1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0923328"/>
        <c:axId val="1497719168"/>
      </c:barChart>
      <c:catAx>
        <c:axId val="186092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19168"/>
        <c:crosses val="autoZero"/>
        <c:auto val="1"/>
        <c:lblAlgn val="ctr"/>
        <c:lblOffset val="100"/>
        <c:noMultiLvlLbl val="0"/>
      </c:catAx>
      <c:valAx>
        <c:axId val="1497719168"/>
        <c:scaling>
          <c:orientation val="minMax"/>
          <c:max val="45790"/>
          <c:min val="45383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233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GB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Net Annual Cash Flow vs. Discounted Net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Flow'!$C$47</c:f>
              <c:strCache>
                <c:ptCount val="1"/>
                <c:pt idx="0">
                  <c:v>Net Annual Cash Flow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2435638585356259E-3"/>
                  <c:y val="-9.8866056927776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16-CD45-B083-05F50A569E79}"/>
                </c:ext>
              </c:extLst>
            </c:dLbl>
            <c:dLbl>
              <c:idx val="1"/>
              <c:layout>
                <c:manualLayout>
                  <c:x val="-1.3437952218696142E-2"/>
                  <c:y val="-5.25225927428809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16-CD45-B083-05F50A569E79}"/>
                </c:ext>
              </c:extLst>
            </c:dLbl>
            <c:dLbl>
              <c:idx val="2"/>
              <c:layout>
                <c:manualLayout>
                  <c:x val="-1.768151607723175E-2"/>
                  <c:y val="-5.2522592742881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16-CD45-B083-05F50A569E79}"/>
                </c:ext>
              </c:extLst>
            </c:dLbl>
            <c:dLbl>
              <c:idx val="3"/>
              <c:layout>
                <c:manualLayout>
                  <c:x val="-1.2730691575606834E-2"/>
                  <c:y val="0.105045185485762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16-CD45-B083-05F50A569E79}"/>
                </c:ext>
              </c:extLst>
            </c:dLbl>
            <c:dLbl>
              <c:idx val="4"/>
              <c:layout>
                <c:manualLayout>
                  <c:x val="-7.7798670739819952E-3"/>
                  <c:y val="0.108134749764755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16-CD45-B083-05F50A569E79}"/>
                </c:ext>
              </c:extLst>
            </c:dLbl>
            <c:dLbl>
              <c:idx val="5"/>
              <c:layout>
                <c:manualLayout>
                  <c:x val="-7.0726064308927515E-3"/>
                  <c:y val="0.101955621206769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16-CD45-B083-05F50A569E79}"/>
                </c:ext>
              </c:extLst>
            </c:dLbl>
            <c:dLbl>
              <c:idx val="6"/>
              <c:layout>
                <c:manualLayout>
                  <c:x val="-7.0726064308926995E-3"/>
                  <c:y val="9.8866056927776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16-CD45-B083-05F50A569E79}"/>
                </c:ext>
              </c:extLst>
            </c:dLbl>
            <c:dLbl>
              <c:idx val="7"/>
              <c:layout>
                <c:manualLayout>
                  <c:x val="-6.3653457878034298E-3"/>
                  <c:y val="9.8866056927776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C16-CD45-B083-05F50A569E79}"/>
                </c:ext>
              </c:extLst>
            </c:dLbl>
            <c:dLbl>
              <c:idx val="8"/>
              <c:layout>
                <c:manualLayout>
                  <c:x val="-3.5363032154464014E-3"/>
                  <c:y val="9.88660569277760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16-CD45-B083-05F50A569E79}"/>
                </c:ext>
              </c:extLst>
            </c:dLbl>
            <c:dLbl>
              <c:idx val="9"/>
              <c:layout>
                <c:manualLayout>
                  <c:x val="-7.0726064308932184E-4"/>
                  <c:y val="0.105045185485762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16-CD45-B083-05F50A569E79}"/>
                </c:ext>
              </c:extLst>
            </c:dLbl>
            <c:dLbl>
              <c:idx val="10"/>
              <c:layout>
                <c:manualLayout>
                  <c:x val="7.0726064308926991E-4"/>
                  <c:y val="0.101955621206769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16-CD45-B083-05F50A569E79}"/>
                </c:ext>
              </c:extLst>
            </c:dLbl>
            <c:dLbl>
              <c:idx val="11"/>
              <c:layout>
                <c:manualLayout>
                  <c:x val="3.5363032154463498E-3"/>
                  <c:y val="0.101955621206769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C16-CD45-B083-05F50A569E79}"/>
                </c:ext>
              </c:extLst>
            </c:dLbl>
            <c:dLbl>
              <c:idx val="12"/>
              <c:layout>
                <c:manualLayout>
                  <c:x val="4.2435638585356199E-3"/>
                  <c:y val="0.132851263996699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C16-CD45-B083-05F50A569E79}"/>
                </c:ext>
              </c:extLst>
            </c:dLbl>
            <c:dLbl>
              <c:idx val="13"/>
              <c:layout>
                <c:manualLayout>
                  <c:x val="-9.1943883601605086E-3"/>
                  <c:y val="-6.48808498588531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C16-CD45-B083-05F50A569E79}"/>
                </c:ext>
              </c:extLst>
            </c:dLbl>
            <c:dLbl>
              <c:idx val="14"/>
              <c:layout>
                <c:manualLayout>
                  <c:x val="-2.1217819292679136E-3"/>
                  <c:y val="-4.6343464184895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C16-CD45-B083-05F50A569E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Flow'!$D$47:$X$47</c:f>
              <c:numCache>
                <c:formatCode>"£"#,##0.00</c:formatCode>
                <c:ptCount val="21"/>
                <c:pt idx="0">
                  <c:v>-543140</c:v>
                </c:pt>
                <c:pt idx="1">
                  <c:v>-605889.80000000075</c:v>
                </c:pt>
                <c:pt idx="2">
                  <c:v>-329136.58600000106</c:v>
                </c:pt>
                <c:pt idx="3">
                  <c:v>99445.474153999239</c:v>
                </c:pt>
                <c:pt idx="4">
                  <c:v>773266.39364968985</c:v>
                </c:pt>
                <c:pt idx="5">
                  <c:v>1910383.6033978388</c:v>
                </c:pt>
                <c:pt idx="6">
                  <c:v>3746362.615116518</c:v>
                </c:pt>
                <c:pt idx="7">
                  <c:v>6701332.6608659923</c:v>
                </c:pt>
                <c:pt idx="8">
                  <c:v>11447540.927834421</c:v>
                </c:pt>
                <c:pt idx="9">
                  <c:v>19060625.35010092</c:v>
                </c:pt>
                <c:pt idx="10">
                  <c:v>31261651.17636767</c:v>
                </c:pt>
                <c:pt idx="11">
                  <c:v>50804369.584288001</c:v>
                </c:pt>
                <c:pt idx="12">
                  <c:v>82094831.574644387</c:v>
                </c:pt>
                <c:pt idx="13">
                  <c:v>132182770.31885111</c:v>
                </c:pt>
                <c:pt idx="14">
                  <c:v>212347813.03761506</c:v>
                </c:pt>
                <c:pt idx="15">
                  <c:v>340637420.13557935</c:v>
                </c:pt>
                <c:pt idx="16">
                  <c:v>545927587.9519887</c:v>
                </c:pt>
                <c:pt idx="17">
                  <c:v>874419973.30374241</c:v>
                </c:pt>
                <c:pt idx="18">
                  <c:v>1400037292.9033508</c:v>
                </c:pt>
                <c:pt idx="19">
                  <c:v>2241055962.5842457</c:v>
                </c:pt>
                <c:pt idx="20">
                  <c:v>3586718320.2256165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6-CD45-B083-05F50A569E79}"/>
            </c:ext>
          </c:extLst>
        </c:ser>
        <c:ser>
          <c:idx val="1"/>
          <c:order val="1"/>
          <c:tx>
            <c:strRef>
              <c:f>'Cash Flow'!$C$48</c:f>
              <c:strCache>
                <c:ptCount val="1"/>
                <c:pt idx="0">
                  <c:v>Discounted Net Cash Flow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9508245016248896E-3"/>
                  <c:y val="6.48808498588531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16-CD45-B083-05F50A569E79}"/>
                </c:ext>
              </c:extLst>
            </c:dLbl>
            <c:dLbl>
              <c:idx val="1"/>
              <c:layout>
                <c:manualLayout>
                  <c:x val="-4.2435638585356329E-3"/>
                  <c:y val="5.8701721300867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16-CD45-B083-05F50A569E79}"/>
                </c:ext>
              </c:extLst>
            </c:dLbl>
            <c:dLbl>
              <c:idx val="2"/>
              <c:layout>
                <c:manualLayout>
                  <c:x val="-1.1316170289428345E-2"/>
                  <c:y val="0.101955621206769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16-CD45-B083-05F50A569E79}"/>
                </c:ext>
              </c:extLst>
            </c:dLbl>
            <c:dLbl>
              <c:idx val="4"/>
              <c:layout>
                <c:manualLayout>
                  <c:x val="-7.0726064308927515E-3"/>
                  <c:y val="-2.47165142319441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16-CD45-B083-05F50A569E79}"/>
                </c:ext>
              </c:extLst>
            </c:dLbl>
            <c:dLbl>
              <c:idx val="5"/>
              <c:layout>
                <c:manualLayout>
                  <c:x val="-1.0608909646339102E-2"/>
                  <c:y val="-1.54478213949651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16-CD45-B083-05F50A569E79}"/>
                </c:ext>
              </c:extLst>
            </c:dLbl>
            <c:dLbl>
              <c:idx val="6"/>
              <c:layout>
                <c:manualLayout>
                  <c:x val="-8.4871277170712398E-3"/>
                  <c:y val="-1.54478213949651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16-CD45-B083-05F50A569E79}"/>
                </c:ext>
              </c:extLst>
            </c:dLbl>
            <c:dLbl>
              <c:idx val="7"/>
              <c:layout>
                <c:manualLayout>
                  <c:x val="-7.0726064308927515E-3"/>
                  <c:y val="-2.16269499529510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16-CD45-B083-05F50A569E79}"/>
                </c:ext>
              </c:extLst>
            </c:dLbl>
            <c:dLbl>
              <c:idx val="8"/>
              <c:layout>
                <c:manualLayout>
                  <c:x val="-7.7798670739820212E-3"/>
                  <c:y val="-1.85373856739581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16-CD45-B083-05F50A569E79}"/>
                </c:ext>
              </c:extLst>
            </c:dLbl>
            <c:dLbl>
              <c:idx val="9"/>
              <c:layout>
                <c:manualLayout>
                  <c:x val="-7.7798670739820212E-3"/>
                  <c:y val="-3.08956427899300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16-CD45-B083-05F50A569E79}"/>
                </c:ext>
              </c:extLst>
            </c:dLbl>
            <c:dLbl>
              <c:idx val="10"/>
              <c:layout>
                <c:manualLayout>
                  <c:x val="-6.3653457878034298E-3"/>
                  <c:y val="-1.85373856739580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16-CD45-B083-05F50A569E79}"/>
                </c:ext>
              </c:extLst>
            </c:dLbl>
            <c:dLbl>
              <c:idx val="11"/>
              <c:layout>
                <c:manualLayout>
                  <c:x val="-7.0726064308926995E-3"/>
                  <c:y val="-6.17912855798601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C16-CD45-B083-05F50A569E79}"/>
                </c:ext>
              </c:extLst>
            </c:dLbl>
            <c:dLbl>
              <c:idx val="12"/>
              <c:layout>
                <c:manualLayout>
                  <c:x val="-7.7798670739820733E-3"/>
                  <c:y val="-1.5447821394965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C16-CD45-B083-05F50A569E79}"/>
                </c:ext>
              </c:extLst>
            </c:dLbl>
            <c:dLbl>
              <c:idx val="13"/>
              <c:layout>
                <c:manualLayout>
                  <c:x val="0"/>
                  <c:y val="0.123582571159720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C16-CD45-B083-05F50A569E79}"/>
                </c:ext>
              </c:extLst>
            </c:dLbl>
            <c:dLbl>
              <c:idx val="14"/>
              <c:layout>
                <c:manualLayout>
                  <c:x val="4.2435638585356199E-3"/>
                  <c:y val="0.114313878322741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C16-CD45-B083-05F50A569E79}"/>
                </c:ext>
              </c:extLst>
            </c:dLbl>
            <c:dLbl>
              <c:idx val="15"/>
              <c:layout>
                <c:manualLayout>
                  <c:x val="9.9016490032497791E-3"/>
                  <c:y val="0.120493006880727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C16-CD45-B083-05F50A569E79}"/>
                </c:ext>
              </c:extLst>
            </c:dLbl>
            <c:dLbl>
              <c:idx val="16"/>
              <c:layout>
                <c:manualLayout>
                  <c:x val="1.4852473504874565E-2"/>
                  <c:y val="0.129761699717706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C16-CD45-B083-05F50A569E79}"/>
                </c:ext>
              </c:extLst>
            </c:dLbl>
            <c:numFmt formatCode="&quot;£&quot;#,##0.00_);[Red]\(&quot;£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Flow'!$D$48:$X$48</c:f>
              <c:numCache>
                <c:formatCode>"£"#,##0.00</c:formatCode>
                <c:ptCount val="21"/>
                <c:pt idx="0">
                  <c:v>-543140</c:v>
                </c:pt>
                <c:pt idx="1">
                  <c:v>-550808.90909090976</c:v>
                </c:pt>
                <c:pt idx="2">
                  <c:v>-272013.70743801736</c:v>
                </c:pt>
                <c:pt idx="3">
                  <c:v>74714.856614574906</c:v>
                </c:pt>
                <c:pt idx="4">
                  <c:v>528151.3514443615</c:v>
                </c:pt>
                <c:pt idx="5">
                  <c:v>1186197.914572302</c:v>
                </c:pt>
                <c:pt idx="6">
                  <c:v>2114724.0287613673</c:v>
                </c:pt>
                <c:pt idx="7">
                  <c:v>3438843.2578879655</c:v>
                </c:pt>
                <c:pt idx="8">
                  <c:v>5340362.3280877341</c:v>
                </c:pt>
                <c:pt idx="9">
                  <c:v>8083565.8156680064</c:v>
                </c:pt>
                <c:pt idx="10">
                  <c:v>12052719.827535374</c:v>
                </c:pt>
                <c:pt idx="11">
                  <c:v>17806621.606290936</c:v>
                </c:pt>
                <c:pt idx="12">
                  <c:v>26157943.314422939</c:v>
                </c:pt>
                <c:pt idx="13">
                  <c:v>38288640.17628707</c:v>
                </c:pt>
                <c:pt idx="14">
                  <c:v>55917815.956348084</c:v>
                </c:pt>
                <c:pt idx="15">
                  <c:v>81545890.098081067</c:v>
                </c:pt>
                <c:pt idx="16">
                  <c:v>118809749.16999161</c:v>
                </c:pt>
                <c:pt idx="17">
                  <c:v>172999330.09794384</c:v>
                </c:pt>
                <c:pt idx="18">
                  <c:v>251809013.329368</c:v>
                </c:pt>
                <c:pt idx="19">
                  <c:v>366430557.77202755</c:v>
                </c:pt>
                <c:pt idx="20">
                  <c:v>533142823.81899732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6-CD45-B083-05F50A569E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233776"/>
        <c:axId val="1798778304"/>
      </c:barChart>
      <c:catAx>
        <c:axId val="18922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78304"/>
        <c:crosses val="autoZero"/>
        <c:auto val="1"/>
        <c:lblAlgn val="ctr"/>
        <c:lblOffset val="100"/>
        <c:noMultiLvlLbl val="0"/>
      </c:catAx>
      <c:valAx>
        <c:axId val="17987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_);[Red]\(&quot;£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5638484444458"/>
          <c:y val="0.20180321912168137"/>
          <c:w val="0.79471837032920012"/>
          <c:h val="0.76117192545945145"/>
        </c:manualLayout>
      </c:layout>
      <c:lineChart>
        <c:grouping val="standard"/>
        <c:varyColors val="0"/>
        <c:ser>
          <c:idx val="0"/>
          <c:order val="0"/>
          <c:tx>
            <c:strRef>
              <c:f>'Cash Flow'!$C$49</c:f>
              <c:strCache>
                <c:ptCount val="1"/>
                <c:pt idx="0">
                  <c:v>Cumulative Net Cash Flow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3470179519083524E-2"/>
                  <c:y val="-4.695320527719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96-C249-B200-DF5432F4256C}"/>
                </c:ext>
              </c:extLst>
            </c:dLbl>
            <c:dLbl>
              <c:idx val="1"/>
              <c:layout>
                <c:manualLayout>
                  <c:x val="-6.5863908362247762E-3"/>
                  <c:y val="-4.0692777906902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96-C249-B200-DF5432F4256C}"/>
                </c:ext>
              </c:extLst>
            </c:dLbl>
            <c:dLbl>
              <c:idx val="2"/>
              <c:layout>
                <c:manualLayout>
                  <c:x val="-8.8257637205412007E-2"/>
                  <c:y val="8.764598318409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96-C249-B200-DF5432F4256C}"/>
                </c:ext>
              </c:extLst>
            </c:dLbl>
            <c:dLbl>
              <c:idx val="3"/>
              <c:layout>
                <c:manualLayout>
                  <c:x val="-4.2152901351838544E-2"/>
                  <c:y val="8.1385555813805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96-C249-B200-DF5432F4256C}"/>
                </c:ext>
              </c:extLst>
            </c:dLbl>
            <c:dLbl>
              <c:idx val="4"/>
              <c:layout>
                <c:manualLayout>
                  <c:x val="-3.2931954181123879E-2"/>
                  <c:y val="-3.756256422175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96-C249-B200-DF5432F4256C}"/>
                </c:ext>
              </c:extLst>
            </c:dLbl>
            <c:dLbl>
              <c:idx val="5"/>
              <c:layout>
                <c:manualLayout>
                  <c:x val="-3.4249232348368838E-2"/>
                  <c:y val="7.8255342128658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96-C249-B200-DF5432F4256C}"/>
                </c:ext>
              </c:extLst>
            </c:dLbl>
            <c:dLbl>
              <c:idx val="6"/>
              <c:layout>
                <c:manualLayout>
                  <c:x val="-3.2931954181123879E-2"/>
                  <c:y val="-3.130213685146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96-C249-B200-DF5432F4256C}"/>
                </c:ext>
              </c:extLst>
            </c:dLbl>
            <c:dLbl>
              <c:idx val="7"/>
              <c:layout>
                <c:manualLayout>
                  <c:x val="-3.2931954181123831E-2"/>
                  <c:y val="7.5125128443512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96-C249-B200-DF5432F4256C}"/>
                </c:ext>
              </c:extLst>
            </c:dLbl>
            <c:dLbl>
              <c:idx val="8"/>
              <c:layout>
                <c:manualLayout>
                  <c:x val="-3.0297397846633971E-2"/>
                  <c:y val="-3.130213685146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C96-C249-B200-DF5432F4256C}"/>
                </c:ext>
              </c:extLst>
            </c:dLbl>
            <c:dLbl>
              <c:idx val="9"/>
              <c:layout>
                <c:manualLayout>
                  <c:x val="-2.3711007010409194E-2"/>
                  <c:y val="7.1994914758365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96-C249-B200-DF5432F4256C}"/>
                </c:ext>
              </c:extLst>
            </c:dLbl>
            <c:dLbl>
              <c:idx val="10"/>
              <c:layout>
                <c:manualLayout>
                  <c:x val="-1.975917250867433E-2"/>
                  <c:y val="-4.695320527719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C96-C249-B200-DF5432F4256C}"/>
                </c:ext>
              </c:extLst>
            </c:dLbl>
            <c:dLbl>
              <c:idx val="11"/>
              <c:layout>
                <c:manualLayout>
                  <c:x val="-1.4490059839694508E-2"/>
                  <c:y val="8.1385555813804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96-C249-B200-DF5432F4256C}"/>
                </c:ext>
              </c:extLst>
            </c:dLbl>
            <c:dLbl>
              <c:idx val="12"/>
              <c:layout>
                <c:manualLayout>
                  <c:x val="-4.4787457686328573E-2"/>
                  <c:y val="-9.3906410554390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C96-C249-B200-DF5432F4256C}"/>
                </c:ext>
              </c:extLst>
            </c:dLbl>
            <c:dLbl>
              <c:idx val="13"/>
              <c:layout>
                <c:manualLayout>
                  <c:x val="-3.1614676013878927E-2"/>
                  <c:y val="-3.443235053660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C96-C249-B200-DF5432F4256C}"/>
                </c:ext>
              </c:extLst>
            </c:dLbl>
            <c:dLbl>
              <c:idx val="14"/>
              <c:layout>
                <c:manualLayout>
                  <c:x val="-3.2931954181123976E-2"/>
                  <c:y val="0.109557478980122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C96-C249-B200-DF5432F4256C}"/>
                </c:ext>
              </c:extLst>
            </c:dLbl>
            <c:dLbl>
              <c:idx val="15"/>
              <c:layout>
                <c:manualLayout>
                  <c:x val="-4.4787457686328476E-2"/>
                  <c:y val="-6.5734487388073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C96-C249-B200-DF5432F4256C}"/>
                </c:ext>
              </c:extLst>
            </c:dLbl>
            <c:dLbl>
              <c:idx val="16"/>
              <c:layout>
                <c:manualLayout>
                  <c:x val="-1.9759172508674424E-2"/>
                  <c:y val="4.695320527719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C96-C249-B200-DF5432F4256C}"/>
                </c:ext>
              </c:extLst>
            </c:dLbl>
            <c:dLbl>
              <c:idx val="17"/>
              <c:layout>
                <c:manualLayout>
                  <c:x val="3.9518345017347687E-3"/>
                  <c:y val="1.5651068425731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C96-C249-B200-DF5432F4256C}"/>
                </c:ext>
              </c:extLst>
            </c:dLbl>
            <c:numFmt formatCode="&quot;£&quot;#,##0.00_);[Red]\(&quot;£&quot;#,##0.00\)" sourceLinked="0"/>
            <c:spPr>
              <a:solidFill>
                <a:schemeClr val="tx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Flow'!$D$49:$X$49</c:f>
              <c:numCache>
                <c:formatCode>"£"#,##0.00</c:formatCode>
                <c:ptCount val="21"/>
                <c:pt idx="0">
                  <c:v>-543140</c:v>
                </c:pt>
                <c:pt idx="1">
                  <c:v>-1149029.8000000007</c:v>
                </c:pt>
                <c:pt idx="2">
                  <c:v>-1478166.3860000018</c:v>
                </c:pt>
                <c:pt idx="3">
                  <c:v>-1378720.9118460026</c:v>
                </c:pt>
                <c:pt idx="4">
                  <c:v>-605454.51819631271</c:v>
                </c:pt>
                <c:pt idx="5">
                  <c:v>1304929.0852015261</c:v>
                </c:pt>
                <c:pt idx="6">
                  <c:v>5051291.7003180441</c:v>
                </c:pt>
                <c:pt idx="7">
                  <c:v>11752624.361184036</c:v>
                </c:pt>
                <c:pt idx="8">
                  <c:v>23200165.28901846</c:v>
                </c:pt>
                <c:pt idx="9">
                  <c:v>42260790.639119379</c:v>
                </c:pt>
                <c:pt idx="10">
                  <c:v>73522441.815487057</c:v>
                </c:pt>
                <c:pt idx="11">
                  <c:v>124326811.39977506</c:v>
                </c:pt>
                <c:pt idx="12">
                  <c:v>206421642.97441944</c:v>
                </c:pt>
                <c:pt idx="13">
                  <c:v>338604413.29327059</c:v>
                </c:pt>
                <c:pt idx="14">
                  <c:v>550952226.33088565</c:v>
                </c:pt>
                <c:pt idx="15">
                  <c:v>891589646.466465</c:v>
                </c:pt>
                <c:pt idx="16">
                  <c:v>1437517234.4184537</c:v>
                </c:pt>
                <c:pt idx="17">
                  <c:v>2311937207.7221961</c:v>
                </c:pt>
                <c:pt idx="18">
                  <c:v>3711974500.6255469</c:v>
                </c:pt>
                <c:pt idx="19">
                  <c:v>5953030463.2097931</c:v>
                </c:pt>
                <c:pt idx="20">
                  <c:v>9539748783.4354095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C249-B200-DF5432F4256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540800"/>
        <c:axId val="1845878000"/>
      </c:lineChart>
      <c:catAx>
        <c:axId val="18465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78000"/>
        <c:crosses val="autoZero"/>
        <c:auto val="1"/>
        <c:lblAlgn val="ctr"/>
        <c:lblOffset val="100"/>
        <c:noMultiLvlLbl val="0"/>
      </c:catAx>
      <c:valAx>
        <c:axId val="18458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47170382774073"/>
          <c:y val="0.94406234202587935"/>
          <c:w val="0.18898241355431297"/>
          <c:h val="5.4216375090307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Discount</a:t>
            </a:r>
            <a:r>
              <a:rPr lang="en-GB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'Cash Flow'!$C$53:$D$53</c:f>
              <c:strCache>
                <c:ptCount val="2"/>
                <c:pt idx="0">
                  <c:v>Discount rate: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layout>
                <c:manualLayout>
                  <c:x val="-2.8983344767029285E-2"/>
                  <c:y val="4.9183615604318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EC-1E42-A212-B0F2DEDDE317}"/>
                </c:ext>
              </c:extLst>
            </c:dLbl>
            <c:dLbl>
              <c:idx val="2"/>
              <c:layout>
                <c:manualLayout>
                  <c:x val="-2.8983344767029268E-2"/>
                  <c:y val="-3.8644269403392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EC-1E42-A212-B0F2DEDDE317}"/>
                </c:ext>
              </c:extLst>
            </c:dLbl>
            <c:dLbl>
              <c:idx val="3"/>
              <c:layout>
                <c:manualLayout>
                  <c:x val="-2.7277691614686773E-2"/>
                  <c:y val="6.6749192605860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EC-1E42-A212-B0F2DEDDE317}"/>
                </c:ext>
              </c:extLst>
            </c:dLbl>
            <c:dLbl>
              <c:idx val="4"/>
              <c:layout>
                <c:manualLayout>
                  <c:x val="-3.4138395594230334E-2"/>
                  <c:y val="-4.5379446106891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EC-1E42-A212-B0F2DEDDE317}"/>
                </c:ext>
              </c:extLst>
            </c:dLbl>
            <c:dLbl>
              <c:idx val="5"/>
              <c:layout>
                <c:manualLayout>
                  <c:x val="-2.9015720293861395E-2"/>
                  <c:y val="4.5379446106891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EC-1E42-A212-B0F2DEDDE317}"/>
                </c:ext>
              </c:extLst>
            </c:dLbl>
            <c:dLbl>
              <c:idx val="6"/>
              <c:layout>
                <c:manualLayout>
                  <c:x val="-3.4138395594230334E-2"/>
                  <c:y val="-4.1888719483284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EC-1E42-A212-B0F2DEDDE317}"/>
                </c:ext>
              </c:extLst>
            </c:dLbl>
            <c:dLbl>
              <c:idx val="7"/>
              <c:layout>
                <c:manualLayout>
                  <c:x val="-2.9015720293861458E-2"/>
                  <c:y val="3.839799285967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EC-1E42-A212-B0F2DEDDE317}"/>
                </c:ext>
              </c:extLst>
            </c:dLbl>
            <c:dLbl>
              <c:idx val="8"/>
              <c:layout>
                <c:manualLayout>
                  <c:x val="-2.9015720293861395E-2"/>
                  <c:y val="-3.1416539612463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EC-1E42-A212-B0F2DEDDE317}"/>
                </c:ext>
              </c:extLst>
            </c:dLbl>
            <c:dLbl>
              <c:idx val="9"/>
              <c:layout>
                <c:manualLayout>
                  <c:x val="-2.560060342694883E-2"/>
                  <c:y val="5.2360899354105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EC-1E42-A212-B0F2DEDDE317}"/>
                </c:ext>
              </c:extLst>
            </c:dLbl>
            <c:dLbl>
              <c:idx val="10"/>
              <c:layout>
                <c:manualLayout>
                  <c:x val="-3.4138395594230396E-2"/>
                  <c:y val="-3.1416539612463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EC-1E42-A212-B0F2DEDDE317}"/>
                </c:ext>
              </c:extLst>
            </c:dLbl>
            <c:dLbl>
              <c:idx val="11"/>
              <c:layout>
                <c:manualLayout>
                  <c:x val="-2.5600603426948768E-2"/>
                  <c:y val="4.1888719483284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EC-1E42-A212-B0F2DEDDE317}"/>
                </c:ext>
              </c:extLst>
            </c:dLbl>
            <c:dLbl>
              <c:idx val="12"/>
              <c:layout>
                <c:manualLayout>
                  <c:x val="-4.4383746194968279E-2"/>
                  <c:y val="-3.1416539612463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EC-1E42-A212-B0F2DEDDE317}"/>
                </c:ext>
              </c:extLst>
            </c:dLbl>
            <c:dLbl>
              <c:idx val="13"/>
              <c:layout>
                <c:manualLayout>
                  <c:x val="-2.5600603426948768E-2"/>
                  <c:y val="4.1888719483284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EC-1E42-A212-B0F2DEDDE317}"/>
                </c:ext>
              </c:extLst>
            </c:dLbl>
            <c:dLbl>
              <c:idx val="14"/>
              <c:layout>
                <c:manualLayout>
                  <c:x val="-4.9506421495337218E-2"/>
                  <c:y val="-2.792581298885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EC-1E42-A212-B0F2DEDDE317}"/>
                </c:ext>
              </c:extLst>
            </c:dLbl>
            <c:dLbl>
              <c:idx val="15"/>
              <c:layout>
                <c:manualLayout>
                  <c:x val="-2.3893044993492454E-2"/>
                  <c:y val="4.8870172730498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EC-1E42-A212-B0F2DEDDE317}"/>
                </c:ext>
              </c:extLst>
            </c:dLbl>
            <c:dLbl>
              <c:idx val="16"/>
              <c:layout>
                <c:manualLayout>
                  <c:x val="-5.8044213662618721E-2"/>
                  <c:y val="-2.0944359741642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EC-1E42-A212-B0F2DEDDE317}"/>
                </c:ext>
              </c:extLst>
            </c:dLbl>
            <c:dLbl>
              <c:idx val="17"/>
              <c:layout>
                <c:manualLayout>
                  <c:x val="-2.7308161860405081E-2"/>
                  <c:y val="5.58516259777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EC-1E42-A212-B0F2DEDDE317}"/>
                </c:ext>
              </c:extLst>
            </c:dLbl>
            <c:dLbl>
              <c:idx val="18"/>
              <c:layout>
                <c:manualLayout>
                  <c:x val="-4.7798863061880845E-2"/>
                  <c:y val="-1.745363311803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EC-1E42-A212-B0F2DEDDE317}"/>
                </c:ext>
              </c:extLst>
            </c:dLbl>
            <c:dLbl>
              <c:idx val="19"/>
              <c:layout>
                <c:manualLayout>
                  <c:x val="-1.877036969312364E-2"/>
                  <c:y val="5.2360899354105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EC-1E42-A212-B0F2DEDDE317}"/>
                </c:ext>
              </c:extLst>
            </c:dLbl>
            <c:dLbl>
              <c:idx val="20"/>
              <c:layout>
                <c:manualLayout>
                  <c:x val="-3.9261070894599272E-2"/>
                  <c:y val="-2.4435086365249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EC-1E42-A212-B0F2DEDDE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Flow'!$E$55:$Y$55</c:f>
              <c:numCache>
                <c:formatCode>_(* #,##0.00_);_(* \(#,##0.00\);_(* "-"??_);_(@_)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  <c:pt idx="15">
                  <c:v>4.1772481694156554</c:v>
                </c:pt>
                <c:pt idx="16">
                  <c:v>4.5949729863572211</c:v>
                </c:pt>
                <c:pt idx="17">
                  <c:v>5.0544702849929433</c:v>
                </c:pt>
                <c:pt idx="18">
                  <c:v>5.5599173134922379</c:v>
                </c:pt>
                <c:pt idx="19">
                  <c:v>6.1159090448414632</c:v>
                </c:pt>
                <c:pt idx="20">
                  <c:v>6.7274999493256091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C-1E42-A212-B0F2DEDDE3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6318160"/>
        <c:axId val="1796819808"/>
      </c:lineChart>
      <c:catAx>
        <c:axId val="1866318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19808"/>
        <c:crosses val="autoZero"/>
        <c:auto val="1"/>
        <c:lblAlgn val="ctr"/>
        <c:lblOffset val="100"/>
        <c:noMultiLvlLbl val="0"/>
      </c:catAx>
      <c:valAx>
        <c:axId val="1796819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 Payback vs. Discounted Payback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Flow'!$C$49</c:f>
              <c:strCache>
                <c:ptCount val="1"/>
                <c:pt idx="0">
                  <c:v>Cumulative Net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4892966799650839E-18"/>
                  <c:y val="-4.5399191480734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F5-1E46-8180-BEB35BB597F8}"/>
                </c:ext>
              </c:extLst>
            </c:dLbl>
            <c:dLbl>
              <c:idx val="1"/>
              <c:layout>
                <c:manualLayout>
                  <c:x val="0"/>
                  <c:y val="-5.14177707287403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F5-1E46-8180-BEB35BB597F8}"/>
                </c:ext>
              </c:extLst>
            </c:dLbl>
            <c:dLbl>
              <c:idx val="2"/>
              <c:layout>
                <c:manualLayout>
                  <c:x val="0"/>
                  <c:y val="-5.44255100945656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F5-1E46-8180-BEB35BB597F8}"/>
                </c:ext>
              </c:extLst>
            </c:dLbl>
            <c:dLbl>
              <c:idx val="3"/>
              <c:layout>
                <c:manualLayout>
                  <c:x val="7.0763001224921672E-4"/>
                  <c:y val="-5.5507536177885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F5-1E46-8180-BEB35BB597F8}"/>
                </c:ext>
              </c:extLst>
            </c:dLbl>
            <c:dLbl>
              <c:idx val="4"/>
              <c:layout>
                <c:manualLayout>
                  <c:x val="0"/>
                  <c:y val="-5.55573931006774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F5-1E46-8180-BEB35BB597F8}"/>
                </c:ext>
              </c:extLst>
            </c:dLbl>
            <c:dLbl>
              <c:idx val="5"/>
              <c:layout>
                <c:manualLayout>
                  <c:x val="-4.2457800734954556E-3"/>
                  <c:y val="0.114365700771882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F5-1E46-8180-BEB35BB597F8}"/>
                </c:ext>
              </c:extLst>
            </c:dLbl>
            <c:dLbl>
              <c:idx val="6"/>
              <c:layout>
                <c:manualLayout>
                  <c:x val="-3.5381500612462133E-3"/>
                  <c:y val="0.105341111337561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F5-1E46-8180-BEB35BB597F8}"/>
                </c:ext>
              </c:extLst>
            </c:dLbl>
            <c:dLbl>
              <c:idx val="7"/>
              <c:layout>
                <c:manualLayout>
                  <c:x val="-2.8305200489970226E-3"/>
                  <c:y val="0.102684345364011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F5-1E46-8180-BEB35BB597F8}"/>
                </c:ext>
              </c:extLst>
            </c:dLbl>
            <c:dLbl>
              <c:idx val="8"/>
              <c:layout>
                <c:manualLayout>
                  <c:x val="0"/>
                  <c:y val="0.106510681784907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F5-1E46-8180-BEB35BB597F8}"/>
                </c:ext>
              </c:extLst>
            </c:dLbl>
            <c:dLbl>
              <c:idx val="9"/>
              <c:layout>
                <c:manualLayout>
                  <c:x val="7.0763001224929457E-4"/>
                  <c:y val="0.104650167349017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F5-1E46-8180-BEB35BB597F8}"/>
                </c:ext>
              </c:extLst>
            </c:dLbl>
            <c:dLbl>
              <c:idx val="10"/>
              <c:layout>
                <c:manualLayout>
                  <c:x val="3.5381500612461096E-3"/>
                  <c:y val="0.10975357060688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F5-1E46-8180-BEB35BB597F8}"/>
                </c:ext>
              </c:extLst>
            </c:dLbl>
            <c:dLbl>
              <c:idx val="11"/>
              <c:layout>
                <c:manualLayout>
                  <c:x val="6.3686701102431843E-3"/>
                  <c:y val="0.113027346400549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F5-1E46-8180-BEB35BB597F8}"/>
                </c:ext>
              </c:extLst>
            </c:dLbl>
            <c:dLbl>
              <c:idx val="12"/>
              <c:layout>
                <c:manualLayout>
                  <c:x val="9.9068201714893975E-3"/>
                  <c:y val="0.118317773920014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F5-1E46-8180-BEB35BB597F8}"/>
                </c:ext>
              </c:extLst>
            </c:dLbl>
            <c:dLbl>
              <c:idx val="13"/>
              <c:layout>
                <c:manualLayout>
                  <c:x val="1.4860230257233993E-2"/>
                  <c:y val="0.129924708750449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F5-1E46-8180-BEB35BB597F8}"/>
                </c:ext>
              </c:extLst>
            </c:dLbl>
            <c:dLbl>
              <c:idx val="14"/>
              <c:layout>
                <c:manualLayout>
                  <c:x val="7.0763001224923225E-3"/>
                  <c:y val="0.189939310748714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F5-1E46-8180-BEB35BB597F8}"/>
                </c:ext>
              </c:extLst>
            </c:dLbl>
            <c:dLbl>
              <c:idx val="15"/>
              <c:layout>
                <c:manualLayout>
                  <c:x val="-4.2457800734954556E-3"/>
                  <c:y val="-6.60922824888381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F5-1E46-8180-BEB35BB597F8}"/>
                </c:ext>
              </c:extLst>
            </c:dLbl>
            <c:dLbl>
              <c:idx val="16"/>
              <c:layout>
                <c:manualLayout>
                  <c:x val="2.8305200489968669E-3"/>
                  <c:y val="-9.30938190548781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F5-1E46-8180-BEB35BB597F8}"/>
                </c:ext>
              </c:extLst>
            </c:dLbl>
            <c:dLbl>
              <c:idx val="17"/>
              <c:layout>
                <c:manualLayout>
                  <c:x val="0"/>
                  <c:y val="-8.93290133728427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F5-1E46-8180-BEB35BB597F8}"/>
                </c:ext>
              </c:extLst>
            </c:dLbl>
            <c:numFmt formatCode="&quot;£&quot;#,##0.00_);[Red]\(&quot;£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Flow'!$D$49:$X$49</c:f>
              <c:numCache>
                <c:formatCode>"£"#,##0.00</c:formatCode>
                <c:ptCount val="21"/>
                <c:pt idx="0">
                  <c:v>-543140</c:v>
                </c:pt>
                <c:pt idx="1">
                  <c:v>-1149029.8000000007</c:v>
                </c:pt>
                <c:pt idx="2">
                  <c:v>-1478166.3860000018</c:v>
                </c:pt>
                <c:pt idx="3">
                  <c:v>-1378720.9118460026</c:v>
                </c:pt>
                <c:pt idx="4">
                  <c:v>-605454.51819631271</c:v>
                </c:pt>
                <c:pt idx="5">
                  <c:v>1304929.0852015261</c:v>
                </c:pt>
                <c:pt idx="6">
                  <c:v>5051291.7003180441</c:v>
                </c:pt>
                <c:pt idx="7">
                  <c:v>11752624.361184036</c:v>
                </c:pt>
                <c:pt idx="8">
                  <c:v>23200165.28901846</c:v>
                </c:pt>
                <c:pt idx="9">
                  <c:v>42260790.639119379</c:v>
                </c:pt>
                <c:pt idx="10">
                  <c:v>73522441.815487057</c:v>
                </c:pt>
                <c:pt idx="11">
                  <c:v>124326811.39977506</c:v>
                </c:pt>
                <c:pt idx="12">
                  <c:v>206421642.97441944</c:v>
                </c:pt>
                <c:pt idx="13">
                  <c:v>338604413.29327059</c:v>
                </c:pt>
                <c:pt idx="14">
                  <c:v>550952226.33088565</c:v>
                </c:pt>
                <c:pt idx="15">
                  <c:v>891589646.466465</c:v>
                </c:pt>
                <c:pt idx="16">
                  <c:v>1437517234.4184537</c:v>
                </c:pt>
                <c:pt idx="17">
                  <c:v>2311937207.7221961</c:v>
                </c:pt>
                <c:pt idx="18">
                  <c:v>3711974500.6255469</c:v>
                </c:pt>
                <c:pt idx="19">
                  <c:v>5953030463.2097931</c:v>
                </c:pt>
                <c:pt idx="20">
                  <c:v>9539748783.4354095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F5-1E46-8180-BEB35BB597F8}"/>
            </c:ext>
          </c:extLst>
        </c:ser>
        <c:ser>
          <c:idx val="1"/>
          <c:order val="1"/>
          <c:tx>
            <c:strRef>
              <c:f>'Cash Flow'!$C$50</c:f>
              <c:strCache>
                <c:ptCount val="1"/>
                <c:pt idx="0">
                  <c:v>Discounted Cumulative Cash Flow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5396572608404095E-3"/>
                  <c:y val="7.27304816532908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F5-1E46-8180-BEB35BB597F8}"/>
                </c:ext>
              </c:extLst>
            </c:dLbl>
            <c:dLbl>
              <c:idx val="1"/>
              <c:layout>
                <c:manualLayout>
                  <c:x val="1.4158629043361638E-3"/>
                  <c:y val="6.36793589086183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F5-1E46-8180-BEB35BB597F8}"/>
                </c:ext>
              </c:extLst>
            </c:dLbl>
            <c:dLbl>
              <c:idx val="2"/>
              <c:layout>
                <c:manualLayout>
                  <c:x val="4.2475887130084657E-3"/>
                  <c:y val="6.97549399573083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EF5-1E46-8180-BEB35BB597F8}"/>
                </c:ext>
              </c:extLst>
            </c:dLbl>
            <c:dLbl>
              <c:idx val="3"/>
              <c:layout>
                <c:manualLayout>
                  <c:x val="4.9534100857446988E-3"/>
                  <c:y val="6.18573625055511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EF5-1E46-8180-BEB35BB597F8}"/>
                </c:ext>
              </c:extLst>
            </c:dLbl>
            <c:dLbl>
              <c:idx val="4"/>
              <c:layout>
                <c:manualLayout>
                  <c:x val="-5.1892268101035221E-17"/>
                  <c:y val="0.111242468564602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EF5-1E46-8180-BEB35BB597F8}"/>
                </c:ext>
              </c:extLst>
            </c:dLbl>
            <c:dLbl>
              <c:idx val="5"/>
              <c:layout>
                <c:manualLayout>
                  <c:x val="-6.3686701102431843E-3"/>
                  <c:y val="-3.08597327766220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EF5-1E46-8180-BEB35BB597F8}"/>
                </c:ext>
              </c:extLst>
            </c:dLbl>
            <c:dLbl>
              <c:idx val="6"/>
              <c:layout>
                <c:manualLayout>
                  <c:x val="-7.0763001224924266E-3"/>
                  <c:y val="-2.76348410877467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EF5-1E46-8180-BEB35BB597F8}"/>
                </c:ext>
              </c:extLst>
            </c:dLbl>
            <c:dLbl>
              <c:idx val="7"/>
              <c:layout>
                <c:manualLayout>
                  <c:x val="-4.9534100857446988E-3"/>
                  <c:y val="-2.12358874507936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EF5-1E46-8180-BEB35BB597F8}"/>
                </c:ext>
              </c:extLst>
            </c:dLbl>
            <c:dLbl>
              <c:idx val="8"/>
              <c:layout>
                <c:manualLayout>
                  <c:x val="-4.9534100857446988E-3"/>
                  <c:y val="-1.47143587451231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EF5-1E46-8180-BEB35BB597F8}"/>
                </c:ext>
              </c:extLst>
            </c:dLbl>
            <c:dLbl>
              <c:idx val="9"/>
              <c:layout>
                <c:manualLayout>
                  <c:x val="5.1892268101035221E-17"/>
                  <c:y val="-2.03708090392303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EF5-1E46-8180-BEB35BB597F8}"/>
                </c:ext>
              </c:extLst>
            </c:dLbl>
            <c:dLbl>
              <c:idx val="10"/>
              <c:layout>
                <c:manualLayout>
                  <c:x val="-1.0378453620207044E-16"/>
                  <c:y val="-1.6505316693605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EF5-1E46-8180-BEB35BB597F8}"/>
                </c:ext>
              </c:extLst>
            </c:dLbl>
            <c:dLbl>
              <c:idx val="11"/>
              <c:layout>
                <c:manualLayout>
                  <c:x val="-1.4152600244984853E-3"/>
                  <c:y val="-4.31561523685929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EF5-1E46-8180-BEB35BB597F8}"/>
                </c:ext>
              </c:extLst>
            </c:dLbl>
            <c:dLbl>
              <c:idx val="12"/>
              <c:layout>
                <c:manualLayout>
                  <c:x val="-1.4152600244984853E-3"/>
                  <c:y val="-3.2204410464992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EF5-1E46-8180-BEB35BB597F8}"/>
                </c:ext>
              </c:extLst>
            </c:dLbl>
            <c:dLbl>
              <c:idx val="13"/>
              <c:layout>
                <c:manualLayout>
                  <c:x val="-1.4152600244984853E-3"/>
                  <c:y val="-8.22449526553797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EF5-1E46-8180-BEB35BB597F8}"/>
                </c:ext>
              </c:extLst>
            </c:dLbl>
            <c:dLbl>
              <c:idx val="14"/>
              <c:layout>
                <c:manualLayout>
                  <c:x val="-4.9534100857448029E-3"/>
                  <c:y val="-3.5399631204694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EF5-1E46-8180-BEB35BB597F8}"/>
                </c:ext>
              </c:extLst>
            </c:dLbl>
            <c:dLbl>
              <c:idx val="15"/>
              <c:layout>
                <c:manualLayout>
                  <c:x val="3.5381500612462133E-3"/>
                  <c:y val="0.133556238365704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EF5-1E46-8180-BEB35BB597F8}"/>
                </c:ext>
              </c:extLst>
            </c:dLbl>
            <c:dLbl>
              <c:idx val="16"/>
              <c:layout>
                <c:manualLayout>
                  <c:x val="7.7839301347415657E-3"/>
                  <c:y val="0.138123862106939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EF5-1E46-8180-BEB35BB597F8}"/>
                </c:ext>
              </c:extLst>
            </c:dLbl>
            <c:dLbl>
              <c:idx val="17"/>
              <c:layout>
                <c:manualLayout>
                  <c:x val="1.1322080195987986E-2"/>
                  <c:y val="0.158538447956425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EF5-1E46-8180-BEB35BB597F8}"/>
                </c:ext>
              </c:extLst>
            </c:dLbl>
            <c:dLbl>
              <c:idx val="19"/>
              <c:layout>
                <c:manualLayout>
                  <c:x val="0"/>
                  <c:y val="0.19490822191729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EF5-1E46-8180-BEB35BB597F8}"/>
                </c:ext>
              </c:extLst>
            </c:dLbl>
            <c:numFmt formatCode="&quot;£&quot;#,##0.00_);[Red]\(&quot;£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'Cash Flow'!$D$23:$X$23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'Cash Flow'!$D$50:$X$50</c:f>
              <c:numCache>
                <c:formatCode>"£"#,##0.00</c:formatCode>
                <c:ptCount val="21"/>
                <c:pt idx="0">
                  <c:v>-543140</c:v>
                </c:pt>
                <c:pt idx="1">
                  <c:v>-1093948.9090909096</c:v>
                </c:pt>
                <c:pt idx="2">
                  <c:v>-1365962.6165289269</c:v>
                </c:pt>
                <c:pt idx="3">
                  <c:v>-1291247.7599143521</c:v>
                </c:pt>
                <c:pt idx="4">
                  <c:v>-763096.40846999059</c:v>
                </c:pt>
                <c:pt idx="5">
                  <c:v>423101.50610231142</c:v>
                </c:pt>
                <c:pt idx="6">
                  <c:v>2537825.5348636787</c:v>
                </c:pt>
                <c:pt idx="7">
                  <c:v>5976668.7927516438</c:v>
                </c:pt>
                <c:pt idx="8">
                  <c:v>11317031.120839378</c:v>
                </c:pt>
                <c:pt idx="9">
                  <c:v>19400596.936507385</c:v>
                </c:pt>
                <c:pt idx="10">
                  <c:v>31453316.764042757</c:v>
                </c:pt>
                <c:pt idx="11">
                  <c:v>49259938.370333694</c:v>
                </c:pt>
                <c:pt idx="12">
                  <c:v>75417881.684756637</c:v>
                </c:pt>
                <c:pt idx="13">
                  <c:v>113706521.86104371</c:v>
                </c:pt>
                <c:pt idx="14">
                  <c:v>169624337.81739178</c:v>
                </c:pt>
                <c:pt idx="15">
                  <c:v>251170227.91547287</c:v>
                </c:pt>
                <c:pt idx="16">
                  <c:v>369979977.08546448</c:v>
                </c:pt>
                <c:pt idx="17">
                  <c:v>542979307.18340826</c:v>
                </c:pt>
                <c:pt idx="18">
                  <c:v>794788320.51277626</c:v>
                </c:pt>
                <c:pt idx="19">
                  <c:v>1161218878.2848039</c:v>
                </c:pt>
                <c:pt idx="20">
                  <c:v>1694361702.1038013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EF5-1E46-8180-BEB35BB597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2872208"/>
        <c:axId val="1472873936"/>
      </c:barChart>
      <c:catAx>
        <c:axId val="14728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3936"/>
        <c:crosses val="autoZero"/>
        <c:auto val="1"/>
        <c:lblAlgn val="ctr"/>
        <c:lblOffset val="100"/>
        <c:noMultiLvlLbl val="0"/>
      </c:catAx>
      <c:valAx>
        <c:axId val="1472873936"/>
        <c:scaling>
          <c:orientation val="minMax"/>
          <c:min val="-100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Revenue trend throughout</a:t>
            </a:r>
            <a:r>
              <a:rPr lang="en-GB" sz="1600" baseline="0"/>
              <a:t> the project year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85926623302517E-2"/>
          <c:y val="0.12469944859198076"/>
          <c:w val="0.8538894356955381"/>
          <c:h val="0.83074723728698174"/>
        </c:manualLayout>
      </c:layout>
      <c:lineChart>
        <c:grouping val="standard"/>
        <c:varyColors val="0"/>
        <c:ser>
          <c:idx val="0"/>
          <c:order val="0"/>
          <c:tx>
            <c:strRef>
              <c:f>Revenue!$B$14</c:f>
              <c:strCache>
                <c:ptCount val="1"/>
                <c:pt idx="0">
                  <c:v>Subscription fee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Revenue!$C$12:$W$12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Revenue!$C$14:$W$14</c:f>
              <c:numCache>
                <c:formatCode>_-[$£-809]* #,##0.00_-;\-[$£-809]* #,##0.00_-;_-[$£-809]* "-"??_-;_-@_-</c:formatCode>
                <c:ptCount val="21"/>
                <c:pt idx="0" formatCode="_(&quot;£&quot;* #,##0.00_);_(&quot;£&quot;* \(#,##0.00\);_(&quot;£&quot;* &quot;-&quot;??_);_(@_)">
                  <c:v>0</c:v>
                </c:pt>
                <c:pt idx="1">
                  <c:v>3236400</c:v>
                </c:pt>
                <c:pt idx="2">
                  <c:v>5178240</c:v>
                </c:pt>
                <c:pt idx="3">
                  <c:v>8285184</c:v>
                </c:pt>
                <c:pt idx="4">
                  <c:v>13256294.399999999</c:v>
                </c:pt>
                <c:pt idx="5">
                  <c:v>21210071.039999999</c:v>
                </c:pt>
                <c:pt idx="6">
                  <c:v>33936113.664000005</c:v>
                </c:pt>
                <c:pt idx="7">
                  <c:v>54297781.862399995</c:v>
                </c:pt>
                <c:pt idx="8">
                  <c:v>86876450.97984001</c:v>
                </c:pt>
                <c:pt idx="9">
                  <c:v>139002321.56774402</c:v>
                </c:pt>
                <c:pt idx="10">
                  <c:v>222403714.50839043</c:v>
                </c:pt>
                <c:pt idx="11">
                  <c:v>355845943.2134248</c:v>
                </c:pt>
                <c:pt idx="12">
                  <c:v>569353509.14147961</c:v>
                </c:pt>
                <c:pt idx="13">
                  <c:v>910965614.62636733</c:v>
                </c:pt>
                <c:pt idx="14">
                  <c:v>1457544983.4021883</c:v>
                </c:pt>
                <c:pt idx="15">
                  <c:v>2332071973.443501</c:v>
                </c:pt>
                <c:pt idx="16">
                  <c:v>3731315157.5096011</c:v>
                </c:pt>
                <c:pt idx="17">
                  <c:v>5970104252.0153637</c:v>
                </c:pt>
                <c:pt idx="18">
                  <c:v>9552166803.2245808</c:v>
                </c:pt>
                <c:pt idx="19">
                  <c:v>15283466885.159328</c:v>
                </c:pt>
                <c:pt idx="20">
                  <c:v>24453547016.254929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B-5749-8B78-1BE96F12C2BF}"/>
            </c:ext>
          </c:extLst>
        </c:ser>
        <c:ser>
          <c:idx val="1"/>
          <c:order val="1"/>
          <c:tx>
            <c:strRef>
              <c:f>Revenue!$B$15</c:f>
              <c:strCache>
                <c:ptCount val="1"/>
                <c:pt idx="0">
                  <c:v>Advertisement Incomes</c:v>
                </c:pt>
              </c:strCache>
            </c:strRef>
          </c:tx>
          <c:spPr>
            <a:ln w="22225" cap="rnd">
              <a:solidFill>
                <a:schemeClr val="accent1">
                  <a:tint val="77000"/>
                </a:schemeClr>
              </a:solidFill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Revenue!$C$12:$W$12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Revenue!$C$15:$W$15</c:f>
              <c:numCache>
                <c:formatCode>_-[$£-809]* #,##0.00_-;\-[$£-809]* #,##0.00_-;_-[$£-809]* "-"??_-;_-@_-</c:formatCode>
                <c:ptCount val="21"/>
                <c:pt idx="0" formatCode="_(&quot;£&quot;* #,##0.00_);_(&quot;£&quot;* \(#,##0.00\);_(&quot;£&quot;* &quot;-&quot;??_);_(@_)">
                  <c:v>0</c:v>
                </c:pt>
                <c:pt idx="1">
                  <c:v>137500</c:v>
                </c:pt>
                <c:pt idx="2">
                  <c:v>220000</c:v>
                </c:pt>
                <c:pt idx="3">
                  <c:v>352000</c:v>
                </c:pt>
                <c:pt idx="4">
                  <c:v>563200</c:v>
                </c:pt>
                <c:pt idx="5">
                  <c:v>901120</c:v>
                </c:pt>
                <c:pt idx="6">
                  <c:v>1441792</c:v>
                </c:pt>
                <c:pt idx="7">
                  <c:v>2306867.2000000002</c:v>
                </c:pt>
                <c:pt idx="8">
                  <c:v>3690987.5200000005</c:v>
                </c:pt>
                <c:pt idx="9">
                  <c:v>5905580.0320000015</c:v>
                </c:pt>
                <c:pt idx="10">
                  <c:v>9448928.0512000024</c:v>
                </c:pt>
                <c:pt idx="11">
                  <c:v>15118284.881920006</c:v>
                </c:pt>
                <c:pt idx="12">
                  <c:v>24189255.811072011</c:v>
                </c:pt>
                <c:pt idx="13">
                  <c:v>38702809.297715217</c:v>
                </c:pt>
                <c:pt idx="14">
                  <c:v>61924494.876344353</c:v>
                </c:pt>
                <c:pt idx="15">
                  <c:v>99079191.802150965</c:v>
                </c:pt>
                <c:pt idx="16">
                  <c:v>158526706.88344154</c:v>
                </c:pt>
                <c:pt idx="17">
                  <c:v>253642731.01350647</c:v>
                </c:pt>
                <c:pt idx="18">
                  <c:v>405828369.6216104</c:v>
                </c:pt>
                <c:pt idx="19">
                  <c:v>649325391.39457667</c:v>
                </c:pt>
                <c:pt idx="20">
                  <c:v>1038920626.2313228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B-5749-8B78-1BE96F12C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094015"/>
        <c:axId val="83831439"/>
      </c:lineChart>
      <c:catAx>
        <c:axId val="164094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1439"/>
        <c:crosses val="autoZero"/>
        <c:auto val="1"/>
        <c:lblAlgn val="ctr"/>
        <c:lblOffset val="100"/>
        <c:noMultiLvlLbl val="0"/>
      </c:catAx>
      <c:valAx>
        <c:axId val="83831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£&quot;* #,##0_);_(&quot;£&quot;* \(#,##0\);_(&quot;£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Cost Composition</a:t>
            </a:r>
            <a:r>
              <a:rPr lang="en-GB" baseline="0"/>
              <a:t> in Project Year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74-4447-890D-A20231999B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74-4447-890D-A20231999B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Revenue!$B$14:$B$15</c:f>
              <c:strCache>
                <c:ptCount val="2"/>
                <c:pt idx="0">
                  <c:v>Subscription fee</c:v>
                </c:pt>
                <c:pt idx="1">
                  <c:v>Advertisement Incomes</c:v>
                </c:pt>
              </c:strCache>
            </c:strRef>
          </c:cat>
          <c:val>
            <c:numRef>
              <c:f>Revenue!$M$14:$M$15</c:f>
              <c:numCache>
                <c:formatCode>_-[$£-809]* #,##0.00_-;\-[$£-809]* #,##0.00_-;_-[$£-809]* "-"??_-;_-@_-</c:formatCode>
                <c:ptCount val="2"/>
                <c:pt idx="0">
                  <c:v>222403714.50839043</c:v>
                </c:pt>
                <c:pt idx="1">
                  <c:v>9448928.0512000024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3-8045-8A23-765BA501F5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Components of Annual Expenditure: A Comprehensive Analysis of Costs and Investments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65619330947746E-2"/>
          <c:y val="7.3010659944991257E-2"/>
          <c:w val="0.88035796967493629"/>
          <c:h val="0.80459109242255211"/>
        </c:manualLayout>
      </c:layout>
      <c:lineChart>
        <c:grouping val="standard"/>
        <c:varyColors val="0"/>
        <c:ser>
          <c:idx val="0"/>
          <c:order val="0"/>
          <c:tx>
            <c:strRef>
              <c:f>Cost!$B$39</c:f>
              <c:strCache>
                <c:ptCount val="1"/>
                <c:pt idx="0">
                  <c:v>Software Maintenance &amp; Patching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Cost!$C$30:$W$30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Cost!$C$39:$W$39</c:f>
              <c:numCache>
                <c:formatCode>_("£"* #,##0.00_);_("£"* \(#,##0.00\);_("£"* "-"??_);_(@_)</c:formatCode>
                <c:ptCount val="21"/>
                <c:pt idx="0">
                  <c:v>0</c:v>
                </c:pt>
                <c:pt idx="1">
                  <c:v>45163.8</c:v>
                </c:pt>
                <c:pt idx="2">
                  <c:v>45163.8</c:v>
                </c:pt>
                <c:pt idx="3">
                  <c:v>45163.8</c:v>
                </c:pt>
                <c:pt idx="4">
                  <c:v>45163.8</c:v>
                </c:pt>
                <c:pt idx="5">
                  <c:v>45163.8</c:v>
                </c:pt>
                <c:pt idx="6">
                  <c:v>45163.8</c:v>
                </c:pt>
                <c:pt idx="7">
                  <c:v>45163.8</c:v>
                </c:pt>
                <c:pt idx="8">
                  <c:v>45163.8</c:v>
                </c:pt>
                <c:pt idx="9">
                  <c:v>45163.8</c:v>
                </c:pt>
                <c:pt idx="10">
                  <c:v>45163.8</c:v>
                </c:pt>
                <c:pt idx="11">
                  <c:v>45163.8</c:v>
                </c:pt>
                <c:pt idx="12">
                  <c:v>45163.8</c:v>
                </c:pt>
                <c:pt idx="13">
                  <c:v>45163.8</c:v>
                </c:pt>
                <c:pt idx="14">
                  <c:v>45163.8</c:v>
                </c:pt>
                <c:pt idx="15">
                  <c:v>45163.8</c:v>
                </c:pt>
                <c:pt idx="16">
                  <c:v>45163.8</c:v>
                </c:pt>
                <c:pt idx="17">
                  <c:v>45163.8</c:v>
                </c:pt>
                <c:pt idx="18">
                  <c:v>45163.8</c:v>
                </c:pt>
                <c:pt idx="19">
                  <c:v>45163.8</c:v>
                </c:pt>
                <c:pt idx="20">
                  <c:v>45163.8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1-5840-A9E1-2518BCD6C9DE}"/>
            </c:ext>
          </c:extLst>
        </c:ser>
        <c:ser>
          <c:idx val="1"/>
          <c:order val="1"/>
          <c:tx>
            <c:strRef>
              <c:f>Cost!$B$41</c:f>
              <c:strCache>
                <c:ptCount val="1"/>
                <c:pt idx="0">
                  <c:v>HR Expenses (Tech)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Cost!$C$30:$W$30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Cost!$C$41:$W$41</c:f>
              <c:numCache>
                <c:formatCode>_("£"* #,##0.00_);_("£"* \(#,##0.00\);_("£"* "-"??_);_(@_)</c:formatCode>
                <c:ptCount val="21"/>
                <c:pt idx="0">
                  <c:v>250000</c:v>
                </c:pt>
                <c:pt idx="1">
                  <c:v>250000</c:v>
                </c:pt>
                <c:pt idx="2">
                  <c:v>262500</c:v>
                </c:pt>
                <c:pt idx="3">
                  <c:v>275625</c:v>
                </c:pt>
                <c:pt idx="4">
                  <c:v>289406.25</c:v>
                </c:pt>
                <c:pt idx="5">
                  <c:v>303876.5625</c:v>
                </c:pt>
                <c:pt idx="6">
                  <c:v>319070.390625</c:v>
                </c:pt>
                <c:pt idx="7">
                  <c:v>335023.91015625</c:v>
                </c:pt>
                <c:pt idx="8">
                  <c:v>351775.10566406249</c:v>
                </c:pt>
                <c:pt idx="9">
                  <c:v>369363.86094726564</c:v>
                </c:pt>
                <c:pt idx="10">
                  <c:v>387832.05399462895</c:v>
                </c:pt>
                <c:pt idx="11">
                  <c:v>407223.65669436043</c:v>
                </c:pt>
                <c:pt idx="12">
                  <c:v>427584.83952907845</c:v>
                </c:pt>
                <c:pt idx="13">
                  <c:v>448964.08150553238</c:v>
                </c:pt>
                <c:pt idx="14">
                  <c:v>471412.285580809</c:v>
                </c:pt>
                <c:pt idx="15">
                  <c:v>494982.89985984948</c:v>
                </c:pt>
                <c:pt idx="16">
                  <c:v>519732.04485284199</c:v>
                </c:pt>
                <c:pt idx="17">
                  <c:v>545718.64709548408</c:v>
                </c:pt>
                <c:pt idx="18">
                  <c:v>573004.57945025829</c:v>
                </c:pt>
                <c:pt idx="19">
                  <c:v>601654.80842277128</c:v>
                </c:pt>
                <c:pt idx="20">
                  <c:v>631737.54884390987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1-5840-A9E1-2518BCD6C9DE}"/>
            </c:ext>
          </c:extLst>
        </c:ser>
        <c:ser>
          <c:idx val="2"/>
          <c:order val="2"/>
          <c:tx>
            <c:strRef>
              <c:f>Cost!$B$42</c:f>
              <c:strCache>
                <c:ptCount val="1"/>
                <c:pt idx="0">
                  <c:v>HR Expenses (Others)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Cost!$C$30:$W$30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Cost!$C$42:$W$42</c:f>
              <c:numCache>
                <c:formatCode>_("£"* #,##0.00_);_("£"* \(#,##0.00\);_("£"* "-"??_);_(@_)</c:formatCode>
                <c:ptCount val="21"/>
                <c:pt idx="0">
                  <c:v>0</c:v>
                </c:pt>
                <c:pt idx="1">
                  <c:v>270000</c:v>
                </c:pt>
                <c:pt idx="2">
                  <c:v>270000</c:v>
                </c:pt>
                <c:pt idx="3">
                  <c:v>283500</c:v>
                </c:pt>
                <c:pt idx="4">
                  <c:v>297675</c:v>
                </c:pt>
                <c:pt idx="5">
                  <c:v>312558.75</c:v>
                </c:pt>
                <c:pt idx="6">
                  <c:v>328186.6875</c:v>
                </c:pt>
                <c:pt idx="7">
                  <c:v>344596.02187500003</c:v>
                </c:pt>
                <c:pt idx="8">
                  <c:v>361825.82296875003</c:v>
                </c:pt>
                <c:pt idx="9">
                  <c:v>379917.11411718756</c:v>
                </c:pt>
                <c:pt idx="10">
                  <c:v>398912.96982304694</c:v>
                </c:pt>
                <c:pt idx="11">
                  <c:v>418858.61831419932</c:v>
                </c:pt>
                <c:pt idx="12">
                  <c:v>439801.54922990932</c:v>
                </c:pt>
                <c:pt idx="13">
                  <c:v>461791.62669140479</c:v>
                </c:pt>
                <c:pt idx="14">
                  <c:v>484881.20802597504</c:v>
                </c:pt>
                <c:pt idx="15">
                  <c:v>509125.26842727378</c:v>
                </c:pt>
                <c:pt idx="16">
                  <c:v>534581.5318486375</c:v>
                </c:pt>
                <c:pt idx="17">
                  <c:v>561310.60844106937</c:v>
                </c:pt>
                <c:pt idx="18">
                  <c:v>589376.13886312291</c:v>
                </c:pt>
                <c:pt idx="19">
                  <c:v>618844.94580627908</c:v>
                </c:pt>
                <c:pt idx="20">
                  <c:v>649787.19309659302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1-5840-A9E1-2518BCD6C9DE}"/>
            </c:ext>
          </c:extLst>
        </c:ser>
        <c:ser>
          <c:idx val="3"/>
          <c:order val="3"/>
          <c:tx>
            <c:strRef>
              <c:f>Cost!$B$43</c:f>
              <c:strCache>
                <c:ptCount val="1"/>
                <c:pt idx="0">
                  <c:v>Marketing Expenses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Cost!$C$30:$W$30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Cost!$C$43:$W$43</c:f>
              <c:numCache>
                <c:formatCode>_("£"* #,##0.00_);_("£"* \(#,##0.00\);_("£"* "-"??_);_(@_)</c:formatCode>
                <c:ptCount val="21"/>
                <c:pt idx="0">
                  <c:v>0</c:v>
                </c:pt>
                <c:pt idx="1">
                  <c:v>404868</c:v>
                </c:pt>
                <c:pt idx="2">
                  <c:v>404868</c:v>
                </c:pt>
                <c:pt idx="3">
                  <c:v>404868</c:v>
                </c:pt>
                <c:pt idx="4">
                  <c:v>431859.20000000001</c:v>
                </c:pt>
                <c:pt idx="5">
                  <c:v>431859.20000000001</c:v>
                </c:pt>
                <c:pt idx="6">
                  <c:v>431859.20000000001</c:v>
                </c:pt>
                <c:pt idx="7">
                  <c:v>431859.20000000001</c:v>
                </c:pt>
                <c:pt idx="8">
                  <c:v>431859.20000000001</c:v>
                </c:pt>
                <c:pt idx="9">
                  <c:v>431859.20000000001</c:v>
                </c:pt>
                <c:pt idx="10">
                  <c:v>431859.20000000001</c:v>
                </c:pt>
                <c:pt idx="11">
                  <c:v>431859.20000000001</c:v>
                </c:pt>
                <c:pt idx="12">
                  <c:v>431859.20000000001</c:v>
                </c:pt>
                <c:pt idx="13">
                  <c:v>431859.20000000001</c:v>
                </c:pt>
                <c:pt idx="14">
                  <c:v>431859.20000000001</c:v>
                </c:pt>
                <c:pt idx="15">
                  <c:v>431859.20000000001</c:v>
                </c:pt>
                <c:pt idx="16">
                  <c:v>431859.20000000001</c:v>
                </c:pt>
                <c:pt idx="17">
                  <c:v>431859.20000000001</c:v>
                </c:pt>
                <c:pt idx="18">
                  <c:v>431859.20000000001</c:v>
                </c:pt>
                <c:pt idx="19">
                  <c:v>431859.20000000001</c:v>
                </c:pt>
                <c:pt idx="20">
                  <c:v>431859.20000000001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1-5840-A9E1-2518BCD6C9DE}"/>
            </c:ext>
          </c:extLst>
        </c:ser>
        <c:ser>
          <c:idx val="4"/>
          <c:order val="4"/>
          <c:tx>
            <c:strRef>
              <c:f>Cost!$B$44</c:f>
              <c:strCache>
                <c:ptCount val="1"/>
                <c:pt idx="0">
                  <c:v>Insurance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Cost!$C$30:$W$30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Cost!$C$44:$W$44</c:f>
              <c:numCache>
                <c:formatCode>_("£"* #,##0.00_);_("£"* \(#,##0.00\);_("£"* "-"??_);_(@_)</c:formatCode>
                <c:ptCount val="21"/>
                <c:pt idx="0">
                  <c:v>240</c:v>
                </c:pt>
                <c:pt idx="1">
                  <c:v>660</c:v>
                </c:pt>
                <c:pt idx="2">
                  <c:v>660</c:v>
                </c:pt>
                <c:pt idx="3">
                  <c:v>660</c:v>
                </c:pt>
                <c:pt idx="4">
                  <c:v>660</c:v>
                </c:pt>
                <c:pt idx="5">
                  <c:v>660</c:v>
                </c:pt>
                <c:pt idx="6">
                  <c:v>660</c:v>
                </c:pt>
                <c:pt idx="7">
                  <c:v>660</c:v>
                </c:pt>
                <c:pt idx="8">
                  <c:v>660</c:v>
                </c:pt>
                <c:pt idx="9">
                  <c:v>660</c:v>
                </c:pt>
                <c:pt idx="10">
                  <c:v>660</c:v>
                </c:pt>
                <c:pt idx="11">
                  <c:v>660</c:v>
                </c:pt>
                <c:pt idx="12">
                  <c:v>660</c:v>
                </c:pt>
                <c:pt idx="13">
                  <c:v>660</c:v>
                </c:pt>
                <c:pt idx="14">
                  <c:v>660</c:v>
                </c:pt>
                <c:pt idx="15">
                  <c:v>660</c:v>
                </c:pt>
                <c:pt idx="16">
                  <c:v>660</c:v>
                </c:pt>
                <c:pt idx="17">
                  <c:v>660</c:v>
                </c:pt>
                <c:pt idx="18">
                  <c:v>660</c:v>
                </c:pt>
                <c:pt idx="19">
                  <c:v>660</c:v>
                </c:pt>
                <c:pt idx="20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1-5840-A9E1-2518BCD6C9DE}"/>
            </c:ext>
          </c:extLst>
        </c:ser>
        <c:ser>
          <c:idx val="6"/>
          <c:order val="5"/>
          <c:tx>
            <c:strRef>
              <c:f>Cost!$B$46</c:f>
              <c:strCache>
                <c:ptCount val="1"/>
                <c:pt idx="0">
                  <c:v>Rent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Cost!$C$30:$W$30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Cost!$C$46:$W$46</c:f>
              <c:numCache>
                <c:formatCode>_("£"* #,##0.00_);_("£"* \(#,##0.00\);_("£"* "-"??_);_(@_)</c:formatCode>
                <c:ptCount val="21"/>
                <c:pt idx="0">
                  <c:v>24000</c:v>
                </c:pt>
                <c:pt idx="1">
                  <c:v>66726</c:v>
                </c:pt>
                <c:pt idx="2">
                  <c:v>67459.98599999999</c:v>
                </c:pt>
                <c:pt idx="3">
                  <c:v>68202.045845999979</c:v>
                </c:pt>
                <c:pt idx="4">
                  <c:v>68952.268350305967</c:v>
                </c:pt>
                <c:pt idx="5">
                  <c:v>69710.743302159332</c:v>
                </c:pt>
                <c:pt idx="6">
                  <c:v>70477.561478483083</c:v>
                </c:pt>
                <c:pt idx="7">
                  <c:v>71252.814654746384</c:v>
                </c:pt>
                <c:pt idx="8">
                  <c:v>72036.595615948594</c:v>
                </c:pt>
                <c:pt idx="9">
                  <c:v>72828.998167724028</c:v>
                </c:pt>
                <c:pt idx="10">
                  <c:v>73630.117147568992</c:v>
                </c:pt>
                <c:pt idx="11">
                  <c:v>74440.048436192243</c:v>
                </c:pt>
                <c:pt idx="12">
                  <c:v>75258.888968990344</c:v>
                </c:pt>
                <c:pt idx="13">
                  <c:v>76086.736747649236</c:v>
                </c:pt>
                <c:pt idx="14">
                  <c:v>76923.690851873369</c:v>
                </c:pt>
                <c:pt idx="15">
                  <c:v>77769.851451243972</c:v>
                </c:pt>
                <c:pt idx="16">
                  <c:v>78625.319817207652</c:v>
                </c:pt>
                <c:pt idx="17">
                  <c:v>79490.198335196925</c:v>
                </c:pt>
                <c:pt idx="18">
                  <c:v>80364.590516884084</c:v>
                </c:pt>
                <c:pt idx="19">
                  <c:v>81248.601012569794</c:v>
                </c:pt>
                <c:pt idx="20">
                  <c:v>82142.335623708059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51-5840-A9E1-2518BCD6C9DE}"/>
            </c:ext>
          </c:extLst>
        </c:ser>
        <c:ser>
          <c:idx val="8"/>
          <c:order val="6"/>
          <c:tx>
            <c:strRef>
              <c:f>Cost!$B$47</c:f>
              <c:strCache>
                <c:ptCount val="1"/>
                <c:pt idx="0">
                  <c:v>Artist Royalty Fee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_(&quot;£&quot;* #,##0_);_(&quot;£&quot;* \(#,##0\);_(&quot;£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Cost!$C$30:$W$30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Cost!$C$47:$W$47</c:f>
              <c:numCache>
                <c:formatCode>_("£"* #,##0.00_);_("£"* \(#,##0.00\);_("£"* "-"??_);_(@_)</c:formatCode>
                <c:ptCount val="21"/>
                <c:pt idx="0">
                  <c:v>0</c:v>
                </c:pt>
                <c:pt idx="1">
                  <c:v>2883500.0000000005</c:v>
                </c:pt>
                <c:pt idx="2">
                  <c:v>4613600.0000000009</c:v>
                </c:pt>
                <c:pt idx="3">
                  <c:v>7381760.0000000009</c:v>
                </c:pt>
                <c:pt idx="4">
                  <c:v>11810816.000000002</c:v>
                </c:pt>
                <c:pt idx="5">
                  <c:v>18897305.600000001</c:v>
                </c:pt>
                <c:pt idx="6">
                  <c:v>30235688.960000005</c:v>
                </c:pt>
                <c:pt idx="7">
                  <c:v>48377102.33600001</c:v>
                </c:pt>
                <c:pt idx="8">
                  <c:v>77403363.737600029</c:v>
                </c:pt>
                <c:pt idx="9">
                  <c:v>123845381.98016004</c:v>
                </c:pt>
                <c:pt idx="10">
                  <c:v>198152611.1682561</c:v>
                </c:pt>
                <c:pt idx="11">
                  <c:v>317044177.86920977</c:v>
                </c:pt>
                <c:pt idx="12">
                  <c:v>507270684.59073561</c:v>
                </c:pt>
                <c:pt idx="13">
                  <c:v>811633095.34517705</c:v>
                </c:pt>
                <c:pt idx="14">
                  <c:v>1298612952.5522833</c:v>
                </c:pt>
                <c:pt idx="15">
                  <c:v>2077780724.0836535</c:v>
                </c:pt>
                <c:pt idx="16">
                  <c:v>3324449158.5338454</c:v>
                </c:pt>
                <c:pt idx="17">
                  <c:v>5319118653.6541529</c:v>
                </c:pt>
                <c:pt idx="18">
                  <c:v>8510589845.8466454</c:v>
                </c:pt>
                <c:pt idx="19">
                  <c:v>13616943753.354633</c:v>
                </c:pt>
                <c:pt idx="20">
                  <c:v>21787110005.367416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51-5840-A9E1-2518BCD6C9DE}"/>
            </c:ext>
          </c:extLst>
        </c:ser>
        <c:ser>
          <c:idx val="5"/>
          <c:order val="7"/>
          <c:tx>
            <c:strRef>
              <c:f>Cost!$B$33</c:f>
              <c:strCache>
                <c:ptCount val="1"/>
                <c:pt idx="0">
                  <c:v>AWS Cloud Services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Cost!$C$33:$W$33</c:f>
              <c:numCache>
                <c:formatCode>_("£"* #,##0.00_);_("£"* \(#,##0.00\);_("£"* "-"??_);_(@_)</c:formatCode>
                <c:ptCount val="21"/>
                <c:pt idx="0">
                  <c:v>38400</c:v>
                </c:pt>
                <c:pt idx="1">
                  <c:v>38400</c:v>
                </c:pt>
                <c:pt idx="2">
                  <c:v>38400</c:v>
                </c:pt>
                <c:pt idx="3">
                  <c:v>38400</c:v>
                </c:pt>
                <c:pt idx="4">
                  <c:v>38400</c:v>
                </c:pt>
                <c:pt idx="5">
                  <c:v>38400</c:v>
                </c:pt>
                <c:pt idx="6">
                  <c:v>38400</c:v>
                </c:pt>
                <c:pt idx="7">
                  <c:v>38400</c:v>
                </c:pt>
                <c:pt idx="8">
                  <c:v>38400</c:v>
                </c:pt>
                <c:pt idx="9">
                  <c:v>38400</c:v>
                </c:pt>
                <c:pt idx="10">
                  <c:v>38400</c:v>
                </c:pt>
                <c:pt idx="11">
                  <c:v>38400</c:v>
                </c:pt>
                <c:pt idx="12">
                  <c:v>38400</c:v>
                </c:pt>
                <c:pt idx="13">
                  <c:v>38400</c:v>
                </c:pt>
                <c:pt idx="14">
                  <c:v>38400</c:v>
                </c:pt>
                <c:pt idx="15">
                  <c:v>38400</c:v>
                </c:pt>
                <c:pt idx="16">
                  <c:v>38400</c:v>
                </c:pt>
                <c:pt idx="17">
                  <c:v>38400</c:v>
                </c:pt>
                <c:pt idx="18">
                  <c:v>38400</c:v>
                </c:pt>
                <c:pt idx="19">
                  <c:v>38400</c:v>
                </c:pt>
                <c:pt idx="20">
                  <c:v>38400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D-E14D-9131-168B06119D4B}"/>
            </c:ext>
          </c:extLst>
        </c:ser>
        <c:ser>
          <c:idx val="7"/>
          <c:order val="8"/>
          <c:tx>
            <c:strRef>
              <c:f>Cost!$B$40</c:f>
              <c:strCache>
                <c:ptCount val="1"/>
                <c:pt idx="0">
                  <c:v>Stripe fee (third party payment)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Cost!$C$40:$W$40</c:f>
              <c:numCache>
                <c:formatCode>_("£"* #,##0.00_);_("£"* \(#,##0.00\);_("£"* "-"??_);_(@_)</c:formatCode>
                <c:ptCount val="21"/>
                <c:pt idx="0">
                  <c:v>0</c:v>
                </c:pt>
                <c:pt idx="1">
                  <c:v>15453</c:v>
                </c:pt>
                <c:pt idx="2">
                  <c:v>24724.799999999999</c:v>
                </c:pt>
                <c:pt idx="3">
                  <c:v>39559.68</c:v>
                </c:pt>
                <c:pt idx="4">
                  <c:v>63295.487999999998</c:v>
                </c:pt>
                <c:pt idx="5">
                  <c:v>101272.78080000001</c:v>
                </c:pt>
                <c:pt idx="6">
                  <c:v>162036.44928</c:v>
                </c:pt>
                <c:pt idx="7">
                  <c:v>259258.31884800002</c:v>
                </c:pt>
                <c:pt idx="8">
                  <c:v>414813.31015680009</c:v>
                </c:pt>
                <c:pt idx="9">
                  <c:v>663701.29625088011</c:v>
                </c:pt>
                <c:pt idx="10">
                  <c:v>1061922.0740014084</c:v>
                </c:pt>
                <c:pt idx="11">
                  <c:v>1699075.3184022536</c:v>
                </c:pt>
                <c:pt idx="12">
                  <c:v>2718520.5094436053</c:v>
                </c:pt>
                <c:pt idx="13">
                  <c:v>4349632.8151097689</c:v>
                </c:pt>
                <c:pt idx="14">
                  <c:v>6959412.5041756313</c:v>
                </c:pt>
                <c:pt idx="15">
                  <c:v>11135060.00668101</c:v>
                </c:pt>
                <c:pt idx="16">
                  <c:v>17816096.010689616</c:v>
                </c:pt>
                <c:pt idx="17">
                  <c:v>28505753.617103387</c:v>
                </c:pt>
                <c:pt idx="18">
                  <c:v>45609205.787365422</c:v>
                </c:pt>
                <c:pt idx="19">
                  <c:v>72974729.259784669</c:v>
                </c:pt>
                <c:pt idx="20">
                  <c:v>116759566.8156555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D-E14D-9131-168B06119D4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7917184"/>
        <c:axId val="1505250112"/>
      </c:lineChart>
      <c:catAx>
        <c:axId val="15279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0112"/>
        <c:crosses val="autoZero"/>
        <c:auto val="1"/>
        <c:lblAlgn val="ctr"/>
        <c:lblOffset val="100"/>
        <c:noMultiLvlLbl val="0"/>
      </c:catAx>
      <c:valAx>
        <c:axId val="1505250112"/>
        <c:scaling>
          <c:orientation val="minMax"/>
          <c:max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_);_(&quot;£&quot;* \(#,##0\);_(&quot;£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17184"/>
        <c:crosses val="autoZero"/>
        <c:crossBetween val="between"/>
        <c:majorUnit val="100000000"/>
        <c:minorUnit val="200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75846349108579"/>
          <c:y val="0.91351248750958136"/>
          <c:w val="0.73841804569487468"/>
          <c:h val="8.4966699489620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Cost</a:t>
            </a:r>
            <a:r>
              <a:rPr lang="en-GB" sz="1800" b="1" baseline="0"/>
              <a:t> Composition in initial project year (Year 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D10-0944-91E9-95294BB4B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D10-0944-91E9-95294BB4B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D10-0944-91E9-95294BB4B8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3C-9442-9B68-1CB87B6047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3C-9442-9B68-1CB87B6047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D10-0944-91E9-95294BB4B8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3C-9442-9B68-1CB87B6047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0D10-0944-91E9-95294BB4B8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0D10-0944-91E9-95294BB4B86D}"/>
                </c:ext>
              </c:extLst>
            </c:dLbl>
            <c:dLbl>
              <c:idx val="2"/>
              <c:layout>
                <c:manualLayout>
                  <c:x val="-6.7588636567136956E-2"/>
                  <c:y val="4.90709048965881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D10-0944-91E9-95294BB4B8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0D10-0944-91E9-95294BB4B8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Cost!$C$55:$C$61</c:f>
              <c:numCache>
                <c:formatCode>_("£"* #,##0.00_);_("£"* \(#,##0.00\);_("£"* "-"??_);_(@_)</c:formatCode>
                <c:ptCount val="7"/>
                <c:pt idx="0">
                  <c:v>260900</c:v>
                </c:pt>
                <c:pt idx="1">
                  <c:v>250000</c:v>
                </c:pt>
                <c:pt idx="2">
                  <c:v>0</c:v>
                </c:pt>
                <c:pt idx="3">
                  <c:v>240</c:v>
                </c:pt>
                <c:pt idx="4">
                  <c:v>8000</c:v>
                </c:pt>
                <c:pt idx="5">
                  <c:v>24000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0-0944-91E9-95294BB4B86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Cost!$D$53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0-0944-91E9-95294BB4B86D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Cost!$E$53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0-0944-91E9-95294BB4B86D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Cost!$F$53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0-0944-91E9-95294BB4B86D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Cost!$G$53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0-0944-91E9-95294BB4B86D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Cost!$H$53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10-0944-91E9-95294BB4B86D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Cost!$I$53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10-0944-91E9-95294BB4B86D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Cost!$J$53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10-0944-91E9-95294BB4B86D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Cost!$K$53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0-0944-91E9-95294BB4B86D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Cost!$L$53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10-0944-91E9-95294BB4B86D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Cost!$M$53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10-0944-91E9-95294BB4B86D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Cost!$N$53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10-0944-91E9-95294BB4B86D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Cost!$O$53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10-0944-91E9-95294BB4B86D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Cost!$P$53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10-0944-91E9-95294BB4B86D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Cost!$Q$53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10-0944-91E9-95294BB4B86D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Cost!$R$53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10-0944-91E9-95294BB4B86D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Cost!$S$53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10-0944-91E9-95294BB4B86D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Cost!$T$53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10-0944-91E9-95294BB4B86D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Cost!$U$53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D10-0944-91E9-95294BB4B86D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Cost!$V$53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10-0944-91E9-95294BB4B86D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83C-9442-9B68-1CB87B604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Cost!$B$55:$B$61</c:f>
              <c:strCache>
                <c:ptCount val="7"/>
                <c:pt idx="0">
                  <c:v>App Development Fees</c:v>
                </c:pt>
                <c:pt idx="1">
                  <c:v>HR Expenses</c:v>
                </c:pt>
                <c:pt idx="2">
                  <c:v>Marketing Expenses</c:v>
                </c:pt>
                <c:pt idx="3">
                  <c:v>Insurance</c:v>
                </c:pt>
                <c:pt idx="4">
                  <c:v>HR Tech Supplies</c:v>
                </c:pt>
                <c:pt idx="5">
                  <c:v>Rent</c:v>
                </c:pt>
                <c:pt idx="6">
                  <c:v>Artist Royalty Fee</c:v>
                </c:pt>
              </c:strCache>
            </c:strRef>
          </c:cat>
          <c:val>
            <c:numRef>
              <c:f>Cost!$W$53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D10-0944-91E9-95294BB4B86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80</xdr:row>
      <xdr:rowOff>0</xdr:rowOff>
    </xdr:from>
    <xdr:to>
      <xdr:col>19</xdr:col>
      <xdr:colOff>361705</xdr:colOff>
      <xdr:row>100</xdr:row>
      <xdr:rowOff>137895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0ABEE-0BBA-8347-BEA3-A0654B48F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3879</xdr:colOff>
      <xdr:row>87</xdr:row>
      <xdr:rowOff>33328</xdr:rowOff>
    </xdr:from>
    <xdr:to>
      <xdr:col>15</xdr:col>
      <xdr:colOff>1179286</xdr:colOff>
      <xdr:row>107</xdr:row>
      <xdr:rowOff>42898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DEE12-06E5-2A01-1C0D-426FE95E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10303</xdr:colOff>
      <xdr:row>65</xdr:row>
      <xdr:rowOff>21189</xdr:rowOff>
    </xdr:from>
    <xdr:to>
      <xdr:col>8</xdr:col>
      <xdr:colOff>1003299</xdr:colOff>
      <xdr:row>85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C0DD8-5D8C-239B-5C2C-6AC0E5C15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799254</xdr:colOff>
      <xdr:row>65</xdr:row>
      <xdr:rowOff>33866</xdr:rowOff>
    </xdr:from>
    <xdr:to>
      <xdr:col>16</xdr:col>
      <xdr:colOff>20320</xdr:colOff>
      <xdr:row>83</xdr:row>
      <xdr:rowOff>20320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CCC0C-993C-CB0F-D8D4-3A9F1A73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15</xdr:col>
      <xdr:colOff>1122414</xdr:colOff>
      <xdr:row>130</xdr:row>
      <xdr:rowOff>33253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323917-F48A-004E-B9AE-DB955C18E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25400</xdr:rowOff>
    </xdr:from>
    <xdr:to>
      <xdr:col>10</xdr:col>
      <xdr:colOff>1104900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894D3-D12F-11F7-5F02-CA83A079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21</xdr:row>
      <xdr:rowOff>0</xdr:rowOff>
    </xdr:from>
    <xdr:to>
      <xdr:col>16</xdr:col>
      <xdr:colOff>736600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C6940-8171-1AB7-9F5A-CDC0D3E3D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56590</xdr:colOff>
      <xdr:row>64</xdr:row>
      <xdr:rowOff>148029</xdr:rowOff>
    </xdr:from>
    <xdr:to>
      <xdr:col>11</xdr:col>
      <xdr:colOff>112965</xdr:colOff>
      <xdr:row>98</xdr:row>
      <xdr:rowOff>114499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AB39D-E191-5543-8EA6-7A941695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6046</xdr:colOff>
      <xdr:row>65</xdr:row>
      <xdr:rowOff>46566</xdr:rowOff>
    </xdr:from>
    <xdr:to>
      <xdr:col>17</xdr:col>
      <xdr:colOff>1412118</xdr:colOff>
      <xdr:row>94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69B82-5804-77AC-CB9C-E3E2834E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796650</xdr:colOff>
      <xdr:row>110</xdr:row>
      <xdr:rowOff>14252</xdr:rowOff>
    </xdr:from>
    <xdr:to>
      <xdr:col>6</xdr:col>
      <xdr:colOff>1292679</xdr:colOff>
      <xdr:row>139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D90D3C-6129-4BB1-8615-1788C612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816429</xdr:colOff>
      <xdr:row>18</xdr:row>
      <xdr:rowOff>7710</xdr:rowOff>
    </xdr:from>
    <xdr:to>
      <xdr:col>10</xdr:col>
      <xdr:colOff>552686</xdr:colOff>
      <xdr:row>38</xdr:row>
      <xdr:rowOff>84819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67406-FEFA-1549-ADA5-09FB56F59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628043</xdr:colOff>
      <xdr:row>44</xdr:row>
      <xdr:rowOff>33260</xdr:rowOff>
    </xdr:from>
    <xdr:to>
      <xdr:col>10</xdr:col>
      <xdr:colOff>108403</xdr:colOff>
      <xdr:row>68</xdr:row>
      <xdr:rowOff>21921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17141-9594-F75D-8042-9D790A784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32</xdr:row>
      <xdr:rowOff>120650</xdr:rowOff>
    </xdr:from>
    <xdr:to>
      <xdr:col>7</xdr:col>
      <xdr:colOff>660400</xdr:colOff>
      <xdr:row>53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4E8E3-3386-6844-8DE9-B701B313B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215202</xdr:colOff>
      <xdr:row>1</xdr:row>
      <xdr:rowOff>287867</xdr:rowOff>
    </xdr:from>
    <xdr:to>
      <xdr:col>12</xdr:col>
      <xdr:colOff>530328</xdr:colOff>
      <xdr:row>32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D47EE-D1F3-04CA-7437-6A8B9DF3F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197314</xdr:colOff>
      <xdr:row>32</xdr:row>
      <xdr:rowOff>185761</xdr:rowOff>
    </xdr:from>
    <xdr:to>
      <xdr:col>12</xdr:col>
      <xdr:colOff>515470</xdr:colOff>
      <xdr:row>53</xdr:row>
      <xdr:rowOff>14941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8E6AD-AEB5-9849-5107-B995809A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510553</xdr:colOff>
      <xdr:row>18</xdr:row>
      <xdr:rowOff>159311</xdr:rowOff>
    </xdr:from>
    <xdr:to>
      <xdr:col>15</xdr:col>
      <xdr:colOff>792480</xdr:colOff>
      <xdr:row>34</xdr:row>
      <xdr:rowOff>40778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B48F2-C8E9-5C91-2AC1-D9617E35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36800</xdr:colOff>
      <xdr:row>63</xdr:row>
      <xdr:rowOff>134797</xdr:rowOff>
    </xdr:from>
    <xdr:to>
      <xdr:col>7</xdr:col>
      <xdr:colOff>242172</xdr:colOff>
      <xdr:row>92</xdr:row>
      <xdr:rowOff>38869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61A3C9-9831-18B0-150D-E56026170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777" y="13395960"/>
          <a:ext cx="5846535" cy="5899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-statista-com.manchester.idm.oclc.org/statistics/245137/spotifys-cost-of-goods-sold/" TargetMode="External"/><Relationship Id="rId13" Type="http://schemas.openxmlformats.org/officeDocument/2006/relationships/hyperlink" Target="https://www-statista-com.manchester.idm.oclc.org/forecasts/456558/digital-music-users-in-the-world-forecast" TargetMode="External"/><Relationship Id="rId18" Type="http://schemas.openxmlformats.org/officeDocument/2006/relationships/hyperlink" Target="https://www-statista-com.manchester.idm.oclc.org/outlook/dmo/digital-media/digital-music/music-streaming-advertising/worldwide" TargetMode="External"/><Relationship Id="rId3" Type="http://schemas.openxmlformats.org/officeDocument/2006/relationships/hyperlink" Target="https://www-statista-com.manchester.idm.oclc.org/statistics/272305/global-revenue-of-the-music-industry/" TargetMode="External"/><Relationship Id="rId21" Type="http://schemas.openxmlformats.org/officeDocument/2006/relationships/hyperlink" Target="https://www-statista-com.manchester.idm.oclc.org/statistics/813824/spotify-gross-profit-segment/" TargetMode="External"/><Relationship Id="rId7" Type="http://schemas.openxmlformats.org/officeDocument/2006/relationships/hyperlink" Target="https://www-statista-com.manchester.idm.oclc.org/statistics/289658/youtube-global-net-advertising-revenues/" TargetMode="External"/><Relationship Id="rId12" Type="http://schemas.openxmlformats.org/officeDocument/2006/relationships/hyperlink" Target="https://www-statista-com.manchester.idm.oclc.org/forecasts/456497/digital-media-users-in-the-world-forecast" TargetMode="External"/><Relationship Id="rId17" Type="http://schemas.openxmlformats.org/officeDocument/2006/relationships/hyperlink" Target="https://www-statista-com.manchester.idm.oclc.org/study/108987/audio-advertising-in-the-united-states/" TargetMode="External"/><Relationship Id="rId2" Type="http://schemas.openxmlformats.org/officeDocument/2006/relationships/hyperlink" Target="https://www-statista-com.manchester.idm.oclc.org/statistics/813713/spotify-revenue/" TargetMode="External"/><Relationship Id="rId16" Type="http://schemas.openxmlformats.org/officeDocument/2006/relationships/hyperlink" Target="https://www-statista-com.manchester.idm.oclc.org/topics/6408/music-streaming/" TargetMode="External"/><Relationship Id="rId20" Type="http://schemas.openxmlformats.org/officeDocument/2006/relationships/hyperlink" Target="https://www-marketresearch-com.manchester.idm.oclc.org/academic/Product/15932888" TargetMode="External"/><Relationship Id="rId1" Type="http://schemas.openxmlformats.org/officeDocument/2006/relationships/hyperlink" Target="https://www-statista-com.manchester.idm.oclc.org/forecasts/456524/digital-music-revenue-in-the-world-forecast" TargetMode="External"/><Relationship Id="rId6" Type="http://schemas.openxmlformats.org/officeDocument/2006/relationships/hyperlink" Target="https://www-statista-com.manchester.idm.oclc.org/statistics/587216/music-streaming-revenue/" TargetMode="External"/><Relationship Id="rId11" Type="http://schemas.openxmlformats.org/officeDocument/2006/relationships/hyperlink" Target="https://www-statista-com.manchester.idm.oclc.org/statistics/245137/spotifys-cost-of-goods-sold/" TargetMode="External"/><Relationship Id="rId5" Type="http://schemas.openxmlformats.org/officeDocument/2006/relationships/hyperlink" Target="https://www-statista-com.manchester.idm.oclc.org/statistics/537066/growth-music-streaming-revenue/" TargetMode="External"/><Relationship Id="rId15" Type="http://schemas.openxmlformats.org/officeDocument/2006/relationships/hyperlink" Target="https://www-statista-com.manchester.idm.oclc.org/study/44526/digital-media-report/" TargetMode="External"/><Relationship Id="rId23" Type="http://schemas.openxmlformats.org/officeDocument/2006/relationships/drawing" Target="../drawings/drawing9.xml"/><Relationship Id="rId10" Type="http://schemas.openxmlformats.org/officeDocument/2006/relationships/hyperlink" Target="https://www-statista-com.manchester.idm.oclc.org/statistics/813757/spotify-sales-marketing-costs/" TargetMode="External"/><Relationship Id="rId19" Type="http://schemas.openxmlformats.org/officeDocument/2006/relationships/hyperlink" Target="https://www-statista-com.manchester.idm.oclc.org/outlook/dmo/digital-advertising/in-app-advertising/worldwide" TargetMode="External"/><Relationship Id="rId4" Type="http://schemas.openxmlformats.org/officeDocument/2006/relationships/hyperlink" Target="https://www-statista-com.manchester.idm.oclc.org/statistics/272520/market-share-of-the-largest-music-publishers-worldwide/" TargetMode="External"/><Relationship Id="rId9" Type="http://schemas.openxmlformats.org/officeDocument/2006/relationships/hyperlink" Target="https://www-statista-com.manchester.idm.oclc.org/statistics/813751/spotify-research-development-costs/" TargetMode="External"/><Relationship Id="rId14" Type="http://schemas.openxmlformats.org/officeDocument/2006/relationships/hyperlink" Target="https://www-statista-com.manchester.idm.oclc.org/statistics/1339576/most-well-known-digital-music-brands-in-the-uk/" TargetMode="External"/><Relationship Id="rId22" Type="http://schemas.openxmlformats.org/officeDocument/2006/relationships/hyperlink" Target="https://www-marketresearch-com.manchester.idm.oclc.org/academic/Product/159328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236939/mobile-advertising-revenue-in-the-uk/" TargetMode="External"/><Relationship Id="rId2" Type="http://schemas.openxmlformats.org/officeDocument/2006/relationships/hyperlink" Target="https://www.businessofapps.com/data/spotify-statistics/" TargetMode="External"/><Relationship Id="rId1" Type="http://schemas.openxmlformats.org/officeDocument/2006/relationships/hyperlink" Target="https://www.demandsage.com/apple-music-statistics/" TargetMode="External"/><Relationship Id="rId5" Type="http://schemas.openxmlformats.org/officeDocument/2006/relationships/hyperlink" Target="https://www-statista-com.manchester.idm.oclc.org/statistics/1285405/revenues-digital-ad-major-internet-companies/" TargetMode="External"/><Relationship Id="rId4" Type="http://schemas.openxmlformats.org/officeDocument/2006/relationships/hyperlink" Target="https://www-statista-com.manchester.idm.oclc.org/forecasts/456558/digital-music-users-in-the-world-forecas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perian.co.uk/blogs/latest-thinking/small-business/how-to-get-the-best-from-your-marketing-budget/" TargetMode="External"/><Relationship Id="rId13" Type="http://schemas.openxmlformats.org/officeDocument/2006/relationships/hyperlink" Target="https://www.statista.com/statistics/1025118/rental-value-growth-of-commercial-real-estae-in-the-uk/" TargetMode="External"/><Relationship Id="rId3" Type="http://schemas.openxmlformats.org/officeDocument/2006/relationships/hyperlink" Target="https://www.glassdoor.co.uk/Salaries/general-administrator-salary-SRCH_KO0,21.htm" TargetMode="External"/><Relationship Id="rId7" Type="http://schemas.openxmlformats.org/officeDocument/2006/relationships/hyperlink" Target="https://www-statista-com.manchester.idm.oclc.org/statistics/303817/mobile-internet-advertising-revenue-worldwide/" TargetMode="External"/><Relationship Id="rId12" Type="http://schemas.openxmlformats.org/officeDocument/2006/relationships/hyperlink" Target="https://rubberdesk.co.uk/research/flexible-office-space-costs-in-uk" TargetMode="External"/><Relationship Id="rId2" Type="http://schemas.openxmlformats.org/officeDocument/2006/relationships/hyperlink" Target="https://www.velvetech.com/blog/mobile-app-development-team-structure/" TargetMode="External"/><Relationship Id="rId1" Type="http://schemas.openxmlformats.org/officeDocument/2006/relationships/hyperlink" Target="https://www.cwjobs.co.uk/salary-checker/average-tech-salary" TargetMode="External"/><Relationship Id="rId6" Type="http://schemas.openxmlformats.org/officeDocument/2006/relationships/hyperlink" Target="https://www.reed.co.uk/average-salary/average-marketing-and-media-salary" TargetMode="External"/><Relationship Id="rId11" Type="http://schemas.openxmlformats.org/officeDocument/2006/relationships/hyperlink" Target="https://www.cyberpowersystem.co.uk/category/gaming-pcs/" TargetMode="External"/><Relationship Id="rId5" Type="http://schemas.openxmlformats.org/officeDocument/2006/relationships/hyperlink" Target="https://uk.indeed.com/career/accountant/salaries" TargetMode="External"/><Relationship Id="rId15" Type="http://schemas.openxmlformats.org/officeDocument/2006/relationships/hyperlink" Target="https://imaginovation.net/blog/importance-mobile-app-maintenance-cost/" TargetMode="External"/><Relationship Id="rId10" Type="http://schemas.openxmlformats.org/officeDocument/2006/relationships/hyperlink" Target="https://www.nimblefins.co.uk/business-insurance/employers-liability-insurance-uk/average-cost-employers-liability-insurance-uk" TargetMode="External"/><Relationship Id="rId4" Type="http://schemas.openxmlformats.org/officeDocument/2006/relationships/hyperlink" Target="https://www.glassdoor.co.uk/Salaries/public-relations-salary-SRCH_KO0,16.htm" TargetMode="External"/><Relationship Id="rId9" Type="http://schemas.openxmlformats.org/officeDocument/2006/relationships/hyperlink" Target="https://www.moonworkers.co.uk/blog/what-type-of-business-insurance-do-i-need-and-how-much-does-it-cost" TargetMode="External"/><Relationship Id="rId14" Type="http://schemas.openxmlformats.org/officeDocument/2006/relationships/hyperlink" Target="https://cleartax.in/s/computer-laptop-printer-depreciation-rat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D1FE-AF60-B843-895D-4AC5BCA76597}">
  <sheetPr>
    <tabColor rgb="FFFFFF00"/>
  </sheetPr>
  <dimension ref="B2:AC77"/>
  <sheetViews>
    <sheetView tabSelected="1" topLeftCell="B1" zoomScale="125" zoomScaleNormal="110" workbookViewId="0">
      <selection activeCell="B9" sqref="B9"/>
    </sheetView>
  </sheetViews>
  <sheetFormatPr baseColWidth="10" defaultRowHeight="16" x14ac:dyDescent="0.2"/>
  <cols>
    <col min="1" max="1" width="5.33203125" customWidth="1"/>
    <col min="3" max="3" width="26.5" customWidth="1"/>
    <col min="4" max="4" width="17.6640625" customWidth="1"/>
    <col min="5" max="5" width="91.6640625" bestFit="1" customWidth="1"/>
    <col min="7" max="7" width="11" customWidth="1"/>
    <col min="8" max="8" width="29.6640625" bestFit="1" customWidth="1"/>
    <col min="9" max="9" width="14.33203125" customWidth="1"/>
    <col min="10" max="10" width="15.83203125" customWidth="1"/>
    <col min="11" max="11" width="16.33203125" customWidth="1"/>
    <col min="12" max="12" width="15.5" customWidth="1"/>
    <col min="13" max="13" width="17.33203125" customWidth="1"/>
    <col min="14" max="14" width="15.6640625" customWidth="1"/>
    <col min="15" max="15" width="18" customWidth="1"/>
    <col min="16" max="16" width="16.6640625" customWidth="1"/>
    <col min="17" max="17" width="17.33203125" customWidth="1"/>
    <col min="18" max="18" width="16.6640625" customWidth="1"/>
    <col min="19" max="19" width="19" customWidth="1"/>
    <col min="20" max="20" width="16.6640625" customWidth="1"/>
    <col min="21" max="21" width="17.5" customWidth="1"/>
    <col min="22" max="22" width="16.6640625" customWidth="1"/>
    <col min="23" max="23" width="18.5" customWidth="1"/>
    <col min="24" max="24" width="19" customWidth="1"/>
    <col min="25" max="26" width="19.6640625" customWidth="1"/>
    <col min="27" max="27" width="18.6640625" customWidth="1"/>
    <col min="28" max="28" width="20" customWidth="1"/>
    <col min="29" max="29" width="20.33203125" customWidth="1"/>
  </cols>
  <sheetData>
    <row r="2" spans="2:5" ht="26" x14ac:dyDescent="0.3">
      <c r="B2" s="162" t="s">
        <v>184</v>
      </c>
      <c r="C2" s="162"/>
      <c r="D2" s="162"/>
      <c r="E2" s="162"/>
    </row>
    <row r="3" spans="2:5" ht="26" x14ac:dyDescent="0.3">
      <c r="B3" s="1"/>
    </row>
    <row r="4" spans="2:5" ht="24" x14ac:dyDescent="0.3">
      <c r="B4" s="178" t="s">
        <v>354</v>
      </c>
      <c r="C4" s="179"/>
      <c r="D4" s="179"/>
      <c r="E4" s="180"/>
    </row>
    <row r="5" spans="2:5" x14ac:dyDescent="0.2">
      <c r="B5" s="168" t="s">
        <v>357</v>
      </c>
      <c r="C5" s="169"/>
      <c r="D5" s="169"/>
      <c r="E5" s="170"/>
    </row>
    <row r="6" spans="2:5" x14ac:dyDescent="0.2">
      <c r="B6" s="171" t="s">
        <v>15</v>
      </c>
      <c r="C6" s="172"/>
      <c r="D6" s="172"/>
      <c r="E6" s="173"/>
    </row>
    <row r="7" spans="2:5" x14ac:dyDescent="0.2">
      <c r="B7" s="171" t="s">
        <v>16</v>
      </c>
      <c r="C7" s="172"/>
      <c r="D7" s="172"/>
      <c r="E7" s="173"/>
    </row>
    <row r="8" spans="2:5" x14ac:dyDescent="0.2">
      <c r="B8" s="174" t="s">
        <v>17</v>
      </c>
      <c r="C8" s="175"/>
      <c r="D8" s="175"/>
      <c r="E8" s="176"/>
    </row>
    <row r="10" spans="2:5" ht="24" x14ac:dyDescent="0.3">
      <c r="B10" s="167" t="s">
        <v>0</v>
      </c>
      <c r="C10" s="167"/>
      <c r="D10" s="167"/>
      <c r="E10" s="167"/>
    </row>
    <row r="11" spans="2:5" x14ac:dyDescent="0.2">
      <c r="B11" s="163" t="s">
        <v>18</v>
      </c>
      <c r="C11" s="163"/>
      <c r="D11" s="163"/>
      <c r="E11" s="163"/>
    </row>
    <row r="12" spans="2:5" x14ac:dyDescent="0.2">
      <c r="B12" s="28"/>
      <c r="C12" s="25"/>
      <c r="D12" s="25"/>
      <c r="E12" s="29"/>
    </row>
    <row r="13" spans="2:5" x14ac:dyDescent="0.2">
      <c r="B13" s="164" t="s">
        <v>1</v>
      </c>
      <c r="C13" s="164"/>
      <c r="D13" s="27" t="s">
        <v>13</v>
      </c>
      <c r="E13" s="27" t="s">
        <v>98</v>
      </c>
    </row>
    <row r="14" spans="2:5" x14ac:dyDescent="0.2">
      <c r="B14" s="165" t="s">
        <v>192</v>
      </c>
      <c r="C14" s="166"/>
      <c r="D14" s="161">
        <f>Cost!C8</f>
        <v>55000</v>
      </c>
      <c r="E14" s="26" t="s">
        <v>244</v>
      </c>
    </row>
    <row r="15" spans="2:5" x14ac:dyDescent="0.2">
      <c r="B15" s="165" t="s">
        <v>189</v>
      </c>
      <c r="C15" s="166"/>
      <c r="D15" s="161">
        <f>Cost!C9</f>
        <v>3200</v>
      </c>
      <c r="E15" s="26" t="s">
        <v>248</v>
      </c>
    </row>
    <row r="16" spans="2:5" x14ac:dyDescent="0.2">
      <c r="B16" s="165" t="s">
        <v>190</v>
      </c>
      <c r="C16" s="166"/>
      <c r="D16" s="161">
        <f>Cost!C10</f>
        <v>55000</v>
      </c>
      <c r="E16" s="26" t="s">
        <v>244</v>
      </c>
    </row>
    <row r="17" spans="2:5" x14ac:dyDescent="0.2">
      <c r="B17" s="165" t="s">
        <v>193</v>
      </c>
      <c r="C17" s="166"/>
      <c r="D17" s="161">
        <f>Cost!C11</f>
        <v>55000</v>
      </c>
      <c r="E17" s="26" t="s">
        <v>244</v>
      </c>
    </row>
    <row r="18" spans="2:5" x14ac:dyDescent="0.2">
      <c r="B18" s="165" t="s">
        <v>195</v>
      </c>
      <c r="C18" s="166"/>
      <c r="D18" s="161">
        <f>Cost!C12</f>
        <v>2500</v>
      </c>
      <c r="E18" s="26" t="s">
        <v>249</v>
      </c>
    </row>
    <row r="19" spans="2:5" x14ac:dyDescent="0.2">
      <c r="B19" s="165" t="s">
        <v>196</v>
      </c>
      <c r="C19" s="166"/>
      <c r="D19" s="161">
        <f>Cost!C13</f>
        <v>55000</v>
      </c>
      <c r="E19" s="26" t="s">
        <v>244</v>
      </c>
    </row>
    <row r="20" spans="2:5" x14ac:dyDescent="0.2">
      <c r="B20" s="165" t="s">
        <v>197</v>
      </c>
      <c r="C20" s="166"/>
      <c r="D20" s="161">
        <f>Cost!C14</f>
        <v>119</v>
      </c>
      <c r="E20" s="26" t="s">
        <v>58</v>
      </c>
    </row>
    <row r="21" spans="2:5" x14ac:dyDescent="0.2">
      <c r="B21" s="165" t="s">
        <v>187</v>
      </c>
      <c r="C21" s="166"/>
      <c r="D21" s="161">
        <f>Cost!C15</f>
        <v>45163.8</v>
      </c>
      <c r="E21" s="26" t="s">
        <v>245</v>
      </c>
    </row>
    <row r="22" spans="2:5" x14ac:dyDescent="0.2">
      <c r="B22" s="165" t="s">
        <v>198</v>
      </c>
      <c r="C22" s="166"/>
      <c r="D22" s="161">
        <f>Cost!C16</f>
        <v>0.5151</v>
      </c>
      <c r="E22" s="26" t="s">
        <v>250</v>
      </c>
    </row>
    <row r="23" spans="2:5" x14ac:dyDescent="0.2">
      <c r="B23" s="165" t="s">
        <v>85</v>
      </c>
      <c r="C23" s="166"/>
      <c r="D23" s="161">
        <f>Cost!C17</f>
        <v>250000</v>
      </c>
      <c r="E23" s="26" t="s">
        <v>246</v>
      </c>
    </row>
    <row r="24" spans="2:5" x14ac:dyDescent="0.2">
      <c r="B24" s="165" t="s">
        <v>240</v>
      </c>
      <c r="C24" s="166"/>
      <c r="D24" s="161">
        <f>Cost!C18</f>
        <v>270000</v>
      </c>
      <c r="E24" s="26" t="s">
        <v>247</v>
      </c>
    </row>
    <row r="25" spans="2:5" x14ac:dyDescent="0.2">
      <c r="B25" s="165" t="s">
        <v>74</v>
      </c>
      <c r="C25" s="166"/>
      <c r="D25" s="161">
        <f>Cost!C19</f>
        <v>404868</v>
      </c>
      <c r="E25" s="26" t="s">
        <v>27</v>
      </c>
    </row>
    <row r="26" spans="2:5" x14ac:dyDescent="0.2">
      <c r="B26" s="165" t="s">
        <v>73</v>
      </c>
      <c r="C26" s="166"/>
      <c r="D26" s="161">
        <f>Cost!C20</f>
        <v>431859.20000000001</v>
      </c>
      <c r="E26" s="26" t="s">
        <v>27</v>
      </c>
    </row>
    <row r="27" spans="2:5" x14ac:dyDescent="0.2">
      <c r="B27" s="165" t="s">
        <v>26</v>
      </c>
      <c r="C27" s="166"/>
      <c r="D27" s="161">
        <f>Cost!C21</f>
        <v>60</v>
      </c>
      <c r="E27" s="26" t="s">
        <v>86</v>
      </c>
    </row>
    <row r="28" spans="2:5" x14ac:dyDescent="0.2">
      <c r="B28" s="165" t="s">
        <v>241</v>
      </c>
      <c r="C28" s="166"/>
      <c r="D28" s="161">
        <f>Cost!C22</f>
        <v>14300</v>
      </c>
      <c r="E28" s="26" t="s">
        <v>75</v>
      </c>
    </row>
    <row r="29" spans="2:5" x14ac:dyDescent="0.2">
      <c r="B29" s="165" t="s">
        <v>2</v>
      </c>
      <c r="C29" s="166"/>
      <c r="D29" s="161">
        <f>Cost!C23</f>
        <v>6000</v>
      </c>
      <c r="E29" s="26" t="s">
        <v>110</v>
      </c>
    </row>
    <row r="30" spans="2:5" x14ac:dyDescent="0.2">
      <c r="B30" s="165" t="s">
        <v>53</v>
      </c>
      <c r="C30" s="166"/>
      <c r="D30" s="161">
        <f>Cost!C24</f>
        <v>0.4</v>
      </c>
      <c r="E30" s="26" t="s">
        <v>28</v>
      </c>
    </row>
    <row r="31" spans="2:5" x14ac:dyDescent="0.2">
      <c r="B31" s="165" t="s">
        <v>111</v>
      </c>
      <c r="C31" s="166"/>
      <c r="D31" s="161">
        <f>Cost!C25</f>
        <v>57.670000000000009</v>
      </c>
      <c r="E31" s="26" t="s">
        <v>181</v>
      </c>
    </row>
    <row r="32" spans="2:5" x14ac:dyDescent="0.2">
      <c r="B32" s="181" t="s">
        <v>185</v>
      </c>
      <c r="C32" s="182"/>
      <c r="D32" s="182"/>
      <c r="E32" s="183"/>
    </row>
    <row r="33" spans="2:5" x14ac:dyDescent="0.2">
      <c r="B33" s="164" t="s">
        <v>3</v>
      </c>
      <c r="C33" s="164"/>
      <c r="D33" s="27" t="s">
        <v>13</v>
      </c>
      <c r="E33" s="27" t="s">
        <v>14</v>
      </c>
    </row>
    <row r="34" spans="2:5" x14ac:dyDescent="0.2">
      <c r="B34" s="177" t="s">
        <v>4</v>
      </c>
      <c r="C34" s="177"/>
      <c r="D34" s="26">
        <f>8.99*12</f>
        <v>107.88</v>
      </c>
      <c r="E34" s="26" t="s">
        <v>25</v>
      </c>
    </row>
    <row r="35" spans="2:5" x14ac:dyDescent="0.2">
      <c r="B35" s="177" t="s">
        <v>32</v>
      </c>
      <c r="C35" s="177"/>
      <c r="D35" s="26">
        <v>2.75</v>
      </c>
      <c r="E35" s="26" t="s">
        <v>39</v>
      </c>
    </row>
    <row r="36" spans="2:5" x14ac:dyDescent="0.2">
      <c r="B36" s="181" t="s">
        <v>186</v>
      </c>
      <c r="C36" s="182"/>
      <c r="D36" s="182"/>
      <c r="E36" s="183"/>
    </row>
    <row r="38" spans="2:5" ht="24" x14ac:dyDescent="0.3">
      <c r="B38" s="167" t="s">
        <v>353</v>
      </c>
      <c r="C38" s="167"/>
      <c r="D38" s="167"/>
      <c r="E38" s="167"/>
    </row>
    <row r="39" spans="2:5" x14ac:dyDescent="0.2">
      <c r="B39" s="164" t="s">
        <v>8</v>
      </c>
      <c r="C39" s="164"/>
      <c r="D39" s="27" t="s">
        <v>13</v>
      </c>
      <c r="E39" s="27" t="s">
        <v>98</v>
      </c>
    </row>
    <row r="40" spans="2:5" x14ac:dyDescent="0.2">
      <c r="B40" s="177" t="s">
        <v>9</v>
      </c>
      <c r="C40" s="177"/>
      <c r="D40" s="156">
        <v>3</v>
      </c>
      <c r="E40" s="156" t="s">
        <v>126</v>
      </c>
    </row>
    <row r="41" spans="2:5" x14ac:dyDescent="0.2">
      <c r="B41" s="177" t="s">
        <v>10</v>
      </c>
      <c r="C41" s="177"/>
      <c r="D41" s="156">
        <v>3</v>
      </c>
      <c r="E41" s="156" t="s">
        <v>126</v>
      </c>
    </row>
    <row r="42" spans="2:5" x14ac:dyDescent="0.2">
      <c r="B42" s="177" t="s">
        <v>131</v>
      </c>
      <c r="C42" s="177"/>
      <c r="D42" s="158">
        <f>Indicators!C9</f>
        <v>1689.378027490377</v>
      </c>
      <c r="E42" s="156" t="s">
        <v>132</v>
      </c>
    </row>
    <row r="43" spans="2:5" x14ac:dyDescent="0.2">
      <c r="B43" s="177" t="s">
        <v>11</v>
      </c>
      <c r="C43" s="177"/>
      <c r="D43" s="158">
        <f>Indicators!C10</f>
        <v>7699.5423882301475</v>
      </c>
      <c r="E43" s="156" t="s">
        <v>132</v>
      </c>
    </row>
    <row r="44" spans="2:5" x14ac:dyDescent="0.2">
      <c r="B44" s="177" t="s">
        <v>95</v>
      </c>
      <c r="C44" s="177"/>
      <c r="D44" s="157">
        <f>Indicators!C11</f>
        <v>1694361702.1038013</v>
      </c>
      <c r="E44" s="156" t="s">
        <v>125</v>
      </c>
    </row>
    <row r="45" spans="2:5" x14ac:dyDescent="0.2">
      <c r="B45" s="177" t="s">
        <v>12</v>
      </c>
      <c r="C45" s="177"/>
      <c r="D45" s="158">
        <f>Indicators!C12</f>
        <v>0.83903264227443786</v>
      </c>
      <c r="E45" s="156" t="s">
        <v>127</v>
      </c>
    </row>
    <row r="46" spans="2:5" x14ac:dyDescent="0.2">
      <c r="B46" s="181" t="s">
        <v>355</v>
      </c>
      <c r="C46" s="182"/>
      <c r="D46" s="182"/>
      <c r="E46" s="183"/>
    </row>
    <row r="49" spans="7:29" x14ac:dyDescent="0.2">
      <c r="H49" s="111" t="s">
        <v>89</v>
      </c>
      <c r="I49" s="107">
        <v>2024</v>
      </c>
      <c r="J49" s="107">
        <v>2025</v>
      </c>
      <c r="K49" s="107">
        <v>2026</v>
      </c>
      <c r="L49" s="107">
        <v>2027</v>
      </c>
      <c r="M49" s="107">
        <v>2028</v>
      </c>
      <c r="N49" s="107">
        <v>2029</v>
      </c>
      <c r="O49" s="107">
        <v>2030</v>
      </c>
      <c r="P49" s="107">
        <v>2031</v>
      </c>
      <c r="Q49" s="107">
        <v>2032</v>
      </c>
      <c r="R49" s="107">
        <v>2033</v>
      </c>
      <c r="S49" s="107">
        <v>2034</v>
      </c>
      <c r="T49" s="107">
        <v>2035</v>
      </c>
      <c r="U49" s="107">
        <v>2036</v>
      </c>
      <c r="V49" s="107">
        <v>2037</v>
      </c>
      <c r="W49" s="107">
        <v>2038</v>
      </c>
      <c r="X49" s="107">
        <v>2039</v>
      </c>
      <c r="Y49" s="107">
        <v>2040</v>
      </c>
      <c r="Z49" s="107">
        <v>2041</v>
      </c>
      <c r="AA49" s="107">
        <v>2042</v>
      </c>
      <c r="AB49" s="107">
        <v>2043</v>
      </c>
      <c r="AC49" s="107">
        <v>2044</v>
      </c>
    </row>
    <row r="50" spans="7:29" x14ac:dyDescent="0.2">
      <c r="H50" s="112" t="s">
        <v>46</v>
      </c>
      <c r="I50" s="31">
        <v>0</v>
      </c>
      <c r="J50" s="31">
        <v>1</v>
      </c>
      <c r="K50" s="31">
        <v>2</v>
      </c>
      <c r="L50" s="31">
        <v>3</v>
      </c>
      <c r="M50" s="31">
        <v>4</v>
      </c>
      <c r="N50" s="31">
        <v>5</v>
      </c>
      <c r="O50" s="31">
        <v>6</v>
      </c>
      <c r="P50" s="31">
        <v>7</v>
      </c>
      <c r="Q50" s="31">
        <v>8</v>
      </c>
      <c r="R50" s="31">
        <v>9</v>
      </c>
      <c r="S50" s="31">
        <v>10</v>
      </c>
      <c r="T50" s="31">
        <v>11</v>
      </c>
      <c r="U50" s="31">
        <v>12</v>
      </c>
      <c r="V50" s="31">
        <v>13</v>
      </c>
      <c r="W50" s="31">
        <v>14</v>
      </c>
      <c r="X50" s="31">
        <v>15</v>
      </c>
      <c r="Y50" s="31">
        <v>16</v>
      </c>
      <c r="Z50" s="31">
        <v>17</v>
      </c>
      <c r="AA50" s="31">
        <v>18</v>
      </c>
      <c r="AB50" s="31">
        <v>19</v>
      </c>
      <c r="AC50" s="31">
        <v>20</v>
      </c>
    </row>
    <row r="51" spans="7:29" x14ac:dyDescent="0.2">
      <c r="H51" s="113" t="s">
        <v>90</v>
      </c>
      <c r="I51" s="109">
        <f>'Cash Flow'!D24</f>
        <v>0</v>
      </c>
      <c r="J51" s="109">
        <f>'Cash Flow'!E24</f>
        <v>50000</v>
      </c>
      <c r="K51" s="109">
        <f>'Cash Flow'!F24</f>
        <v>80000</v>
      </c>
      <c r="L51" s="109">
        <f>'Cash Flow'!G24</f>
        <v>128000</v>
      </c>
      <c r="M51" s="109">
        <f>'Cash Flow'!H24</f>
        <v>204800</v>
      </c>
      <c r="N51" s="109">
        <f>'Cash Flow'!I24</f>
        <v>327680</v>
      </c>
      <c r="O51" s="109">
        <f>'Cash Flow'!J24</f>
        <v>524288</v>
      </c>
      <c r="P51" s="109">
        <f>'Cash Flow'!K24</f>
        <v>838860.80000000005</v>
      </c>
      <c r="Q51" s="109">
        <f>'Cash Flow'!L24</f>
        <v>1342177.2800000003</v>
      </c>
      <c r="R51" s="109">
        <f>'Cash Flow'!M24</f>
        <v>2147483.6480000005</v>
      </c>
      <c r="S51" s="109">
        <f>'Cash Flow'!N24</f>
        <v>3435973.8368000011</v>
      </c>
      <c r="T51" s="109">
        <f>'Cash Flow'!O24</f>
        <v>5497558.1388800023</v>
      </c>
      <c r="U51" s="109">
        <f>'Cash Flow'!P24</f>
        <v>8796093.0222080033</v>
      </c>
      <c r="V51" s="109">
        <f>'Cash Flow'!Q24</f>
        <v>14073748.835532807</v>
      </c>
      <c r="W51" s="109">
        <f>'Cash Flow'!R24</f>
        <v>22517998.136852492</v>
      </c>
      <c r="X51" s="109">
        <f>'Cash Flow'!S24</f>
        <v>36028797.018963985</v>
      </c>
      <c r="Y51" s="109">
        <f>'Cash Flow'!T24</f>
        <v>57646075.230342381</v>
      </c>
      <c r="Z51" s="109">
        <f>'Cash Flow'!U24</f>
        <v>92233720.368547812</v>
      </c>
      <c r="AA51" s="109">
        <f>'Cash Flow'!V24</f>
        <v>147573952.5896765</v>
      </c>
      <c r="AB51" s="109">
        <f>'Cash Flow'!W24</f>
        <v>236118324.14348242</v>
      </c>
      <c r="AC51" s="109">
        <f>'Cash Flow'!X24</f>
        <v>377789318.62957191</v>
      </c>
    </row>
    <row r="52" spans="7:29" x14ac:dyDescent="0.2">
      <c r="G52" s="114" t="s">
        <v>281</v>
      </c>
      <c r="H52" s="41" t="s">
        <v>4</v>
      </c>
      <c r="I52" s="43">
        <f>'Cash Flow'!D25</f>
        <v>0</v>
      </c>
      <c r="J52" s="43">
        <f>'Cash Flow'!E25</f>
        <v>3236400</v>
      </c>
      <c r="K52" s="43">
        <f>'Cash Flow'!F25</f>
        <v>5178240</v>
      </c>
      <c r="L52" s="43">
        <f>'Cash Flow'!G25</f>
        <v>8285184</v>
      </c>
      <c r="M52" s="43">
        <f>'Cash Flow'!H25</f>
        <v>13256294.399999999</v>
      </c>
      <c r="N52" s="43">
        <f>'Cash Flow'!I25</f>
        <v>21210071.039999999</v>
      </c>
      <c r="O52" s="43">
        <f>'Cash Flow'!J25</f>
        <v>33936113.664000005</v>
      </c>
      <c r="P52" s="43">
        <f>'Cash Flow'!K25</f>
        <v>54297781.862399995</v>
      </c>
      <c r="Q52" s="43">
        <f>'Cash Flow'!L25</f>
        <v>86876450.97984001</v>
      </c>
      <c r="R52" s="43">
        <f>'Cash Flow'!M25</f>
        <v>139002321.56774402</v>
      </c>
      <c r="S52" s="43">
        <f>'Cash Flow'!N25</f>
        <v>222403714.50839043</v>
      </c>
      <c r="T52" s="43">
        <f>'Cash Flow'!O25</f>
        <v>355845943.2134248</v>
      </c>
      <c r="U52" s="43">
        <f>'Cash Flow'!P25</f>
        <v>569353509.14147961</v>
      </c>
      <c r="V52" s="43">
        <f>'Cash Flow'!Q25</f>
        <v>910965614.62636733</v>
      </c>
      <c r="W52" s="43">
        <f>'Cash Flow'!R25</f>
        <v>1457544983.4021883</v>
      </c>
      <c r="X52" s="43">
        <f>'Cash Flow'!S25</f>
        <v>2332071973.443501</v>
      </c>
      <c r="Y52" s="43">
        <f>'Cash Flow'!T25</f>
        <v>3731315157.5096011</v>
      </c>
      <c r="Z52" s="43">
        <f>'Cash Flow'!U25</f>
        <v>5970104252.0153637</v>
      </c>
      <c r="AA52" s="43">
        <f>'Cash Flow'!V25</f>
        <v>9552166803.2245808</v>
      </c>
      <c r="AB52" s="43">
        <f>'Cash Flow'!W25</f>
        <v>15283466885.159328</v>
      </c>
      <c r="AC52" s="43">
        <f>'Cash Flow'!X25</f>
        <v>24453547016.254929</v>
      </c>
    </row>
    <row r="53" spans="7:29" x14ac:dyDescent="0.2">
      <c r="G53" s="47" t="s">
        <v>352</v>
      </c>
      <c r="H53" s="41" t="s">
        <v>32</v>
      </c>
      <c r="I53" s="43">
        <f>'Cash Flow'!D26</f>
        <v>0</v>
      </c>
      <c r="J53" s="43">
        <f>'Cash Flow'!E26</f>
        <v>137500</v>
      </c>
      <c r="K53" s="43">
        <f>'Cash Flow'!F26</f>
        <v>220000</v>
      </c>
      <c r="L53" s="43">
        <f>'Cash Flow'!G26</f>
        <v>352000</v>
      </c>
      <c r="M53" s="43">
        <f>'Cash Flow'!H26</f>
        <v>563200</v>
      </c>
      <c r="N53" s="43">
        <f>'Cash Flow'!I26</f>
        <v>901120</v>
      </c>
      <c r="O53" s="43">
        <f>'Cash Flow'!J26</f>
        <v>1441792</v>
      </c>
      <c r="P53" s="43">
        <f>'Cash Flow'!K26</f>
        <v>2306867.2000000002</v>
      </c>
      <c r="Q53" s="43">
        <f>'Cash Flow'!L26</f>
        <v>3690987.5200000005</v>
      </c>
      <c r="R53" s="43">
        <f>'Cash Flow'!M26</f>
        <v>5905580.0320000015</v>
      </c>
      <c r="S53" s="43">
        <f>'Cash Flow'!N26</f>
        <v>9448928.0512000024</v>
      </c>
      <c r="T53" s="43">
        <f>'Cash Flow'!O26</f>
        <v>15118284.881920006</v>
      </c>
      <c r="U53" s="43">
        <f>'Cash Flow'!P26</f>
        <v>24189255.811072011</v>
      </c>
      <c r="V53" s="43">
        <f>'Cash Flow'!Q26</f>
        <v>38702809.297715217</v>
      </c>
      <c r="W53" s="43">
        <f>'Cash Flow'!R26</f>
        <v>61924494.876344353</v>
      </c>
      <c r="X53" s="43">
        <f>'Cash Flow'!S26</f>
        <v>99079191.802150965</v>
      </c>
      <c r="Y53" s="43">
        <f>'Cash Flow'!T26</f>
        <v>158526706.88344154</v>
      </c>
      <c r="Z53" s="43">
        <f>'Cash Flow'!U26</f>
        <v>253642731.01350647</v>
      </c>
      <c r="AA53" s="43">
        <f>'Cash Flow'!V26</f>
        <v>405828369.6216104</v>
      </c>
      <c r="AB53" s="43">
        <f>'Cash Flow'!W26</f>
        <v>649325391.39457667</v>
      </c>
      <c r="AC53" s="43">
        <f>'Cash Flow'!X26</f>
        <v>1038920626.2313228</v>
      </c>
    </row>
    <row r="54" spans="7:29" x14ac:dyDescent="0.2">
      <c r="H54" s="93" t="s">
        <v>21</v>
      </c>
      <c r="I54" s="123">
        <f>'Cash Flow'!D27</f>
        <v>0</v>
      </c>
      <c r="J54" s="123">
        <f>'Cash Flow'!E27</f>
        <v>3373900</v>
      </c>
      <c r="K54" s="123">
        <f>'Cash Flow'!F27</f>
        <v>5398240</v>
      </c>
      <c r="L54" s="123">
        <f>'Cash Flow'!G27</f>
        <v>8637184</v>
      </c>
      <c r="M54" s="123">
        <f>'Cash Flow'!H27</f>
        <v>13819494.399999999</v>
      </c>
      <c r="N54" s="123">
        <f>'Cash Flow'!I27</f>
        <v>22111191.039999999</v>
      </c>
      <c r="O54" s="123">
        <f>'Cash Flow'!J27</f>
        <v>35377905.664000005</v>
      </c>
      <c r="P54" s="123">
        <f>'Cash Flow'!K27</f>
        <v>56604649.062399998</v>
      </c>
      <c r="Q54" s="123">
        <f>'Cash Flow'!L27</f>
        <v>90567438.499840006</v>
      </c>
      <c r="R54" s="123">
        <f>'Cash Flow'!M27</f>
        <v>144907901.59974402</v>
      </c>
      <c r="S54" s="123">
        <f>'Cash Flow'!N27</f>
        <v>231852642.55959043</v>
      </c>
      <c r="T54" s="123">
        <f>'Cash Flow'!O27</f>
        <v>370964228.09534478</v>
      </c>
      <c r="U54" s="123">
        <f>'Cash Flow'!P27</f>
        <v>593542764.9525516</v>
      </c>
      <c r="V54" s="123">
        <f>'Cash Flow'!Q27</f>
        <v>949668423.92408252</v>
      </c>
      <c r="W54" s="123">
        <f>'Cash Flow'!R27</f>
        <v>1519469478.2785327</v>
      </c>
      <c r="X54" s="123">
        <f>'Cash Flow'!S27</f>
        <v>2431151165.2456522</v>
      </c>
      <c r="Y54" s="123">
        <f>'Cash Flow'!T27</f>
        <v>3889841864.3930426</v>
      </c>
      <c r="Z54" s="123">
        <f>'Cash Flow'!U27</f>
        <v>6223746983.0288706</v>
      </c>
      <c r="AA54" s="123">
        <f>'Cash Flow'!V27</f>
        <v>9957995172.8461914</v>
      </c>
      <c r="AB54" s="123">
        <f>'Cash Flow'!W27</f>
        <v>15932792276.553905</v>
      </c>
      <c r="AC54" s="123">
        <f>'Cash Flow'!X27</f>
        <v>25492467642.486252</v>
      </c>
    </row>
    <row r="55" spans="7:29" x14ac:dyDescent="0.2">
      <c r="G55" s="115" t="s">
        <v>282</v>
      </c>
      <c r="H55" s="30" t="s">
        <v>199</v>
      </c>
      <c r="I55" s="105">
        <f>'Cash Flow'!D28</f>
        <v>-55000</v>
      </c>
      <c r="J55" s="43">
        <f>'Cash Flow'!E28</f>
        <v>0</v>
      </c>
      <c r="K55" s="43">
        <f>'Cash Flow'!F28</f>
        <v>0</v>
      </c>
      <c r="L55" s="43">
        <f>'Cash Flow'!G28</f>
        <v>0</v>
      </c>
      <c r="M55" s="43">
        <f>'Cash Flow'!H28</f>
        <v>0</v>
      </c>
      <c r="N55" s="43">
        <f>'Cash Flow'!I28</f>
        <v>0</v>
      </c>
      <c r="O55" s="43">
        <f>'Cash Flow'!J28</f>
        <v>0</v>
      </c>
      <c r="P55" s="43">
        <f>'Cash Flow'!K28</f>
        <v>0</v>
      </c>
      <c r="Q55" s="43">
        <f>'Cash Flow'!L28</f>
        <v>0</v>
      </c>
      <c r="R55" s="43">
        <f>'Cash Flow'!M28</f>
        <v>0</v>
      </c>
      <c r="S55" s="43">
        <f>'Cash Flow'!N28</f>
        <v>0</v>
      </c>
      <c r="T55" s="43">
        <f>'Cash Flow'!O28</f>
        <v>0</v>
      </c>
      <c r="U55" s="43">
        <f>'Cash Flow'!P28</f>
        <v>0</v>
      </c>
      <c r="V55" s="43">
        <f>'Cash Flow'!Q28</f>
        <v>0</v>
      </c>
      <c r="W55" s="43">
        <f>'Cash Flow'!R28</f>
        <v>0</v>
      </c>
      <c r="X55" s="43">
        <f>'Cash Flow'!S28</f>
        <v>0</v>
      </c>
      <c r="Y55" s="43">
        <f>'Cash Flow'!T28</f>
        <v>0</v>
      </c>
      <c r="Z55" s="43">
        <f>'Cash Flow'!U28</f>
        <v>0</v>
      </c>
      <c r="AA55" s="43">
        <f>'Cash Flow'!V28</f>
        <v>0</v>
      </c>
      <c r="AB55" s="43">
        <f>'Cash Flow'!W28</f>
        <v>0</v>
      </c>
      <c r="AC55" s="43">
        <f>'Cash Flow'!X28</f>
        <v>0</v>
      </c>
    </row>
    <row r="56" spans="7:29" x14ac:dyDescent="0.2">
      <c r="G56" s="47" t="s">
        <v>351</v>
      </c>
      <c r="H56" s="30" t="s">
        <v>189</v>
      </c>
      <c r="I56" s="105">
        <f>'Cash Flow'!D29</f>
        <v>-38400</v>
      </c>
      <c r="J56" s="105">
        <f>'Cash Flow'!E29</f>
        <v>-38400</v>
      </c>
      <c r="K56" s="105">
        <f>'Cash Flow'!F29</f>
        <v>-38400</v>
      </c>
      <c r="L56" s="105">
        <f>'Cash Flow'!G29</f>
        <v>-38400</v>
      </c>
      <c r="M56" s="105">
        <f>'Cash Flow'!H29</f>
        <v>-38400</v>
      </c>
      <c r="N56" s="105">
        <f>'Cash Flow'!I29</f>
        <v>-38400</v>
      </c>
      <c r="O56" s="105">
        <f>'Cash Flow'!J29</f>
        <v>-38400</v>
      </c>
      <c r="P56" s="105">
        <f>'Cash Flow'!K29</f>
        <v>-38400</v>
      </c>
      <c r="Q56" s="105">
        <f>'Cash Flow'!L29</f>
        <v>-38400</v>
      </c>
      <c r="R56" s="105">
        <f>'Cash Flow'!M29</f>
        <v>-38400</v>
      </c>
      <c r="S56" s="105">
        <f>'Cash Flow'!N29</f>
        <v>-38400</v>
      </c>
      <c r="T56" s="105">
        <f>'Cash Flow'!O29</f>
        <v>-38400</v>
      </c>
      <c r="U56" s="105">
        <f>'Cash Flow'!P29</f>
        <v>-38400</v>
      </c>
      <c r="V56" s="105">
        <f>'Cash Flow'!Q29</f>
        <v>-38400</v>
      </c>
      <c r="W56" s="105">
        <f>'Cash Flow'!R29</f>
        <v>-38400</v>
      </c>
      <c r="X56" s="105">
        <f>'Cash Flow'!S29</f>
        <v>-38400</v>
      </c>
      <c r="Y56" s="105">
        <f>'Cash Flow'!T29</f>
        <v>-38400</v>
      </c>
      <c r="Z56" s="105">
        <f>'Cash Flow'!U29</f>
        <v>-38400</v>
      </c>
      <c r="AA56" s="105">
        <f>'Cash Flow'!V29</f>
        <v>-38400</v>
      </c>
      <c r="AB56" s="105">
        <f>'Cash Flow'!W29</f>
        <v>-38400</v>
      </c>
      <c r="AC56" s="105">
        <f>'Cash Flow'!X29</f>
        <v>-38400</v>
      </c>
    </row>
    <row r="57" spans="7:29" x14ac:dyDescent="0.2">
      <c r="H57" s="30" t="s">
        <v>190</v>
      </c>
      <c r="I57" s="105">
        <f>'Cash Flow'!D30</f>
        <v>-55000</v>
      </c>
      <c r="J57" s="43">
        <f>'Cash Flow'!E30</f>
        <v>0</v>
      </c>
      <c r="K57" s="43">
        <f>'Cash Flow'!F30</f>
        <v>0</v>
      </c>
      <c r="L57" s="43">
        <f>'Cash Flow'!G30</f>
        <v>0</v>
      </c>
      <c r="M57" s="43">
        <f>'Cash Flow'!H30</f>
        <v>0</v>
      </c>
      <c r="N57" s="43">
        <f>'Cash Flow'!I30</f>
        <v>0</v>
      </c>
      <c r="O57" s="43">
        <f>'Cash Flow'!J30</f>
        <v>0</v>
      </c>
      <c r="P57" s="43">
        <f>'Cash Flow'!K30</f>
        <v>0</v>
      </c>
      <c r="Q57" s="43">
        <f>'Cash Flow'!L30</f>
        <v>0</v>
      </c>
      <c r="R57" s="43">
        <f>'Cash Flow'!M30</f>
        <v>0</v>
      </c>
      <c r="S57" s="43">
        <f>'Cash Flow'!N30</f>
        <v>0</v>
      </c>
      <c r="T57" s="43">
        <f>'Cash Flow'!O30</f>
        <v>0</v>
      </c>
      <c r="U57" s="43">
        <f>'Cash Flow'!P30</f>
        <v>0</v>
      </c>
      <c r="V57" s="43">
        <f>'Cash Flow'!Q30</f>
        <v>0</v>
      </c>
      <c r="W57" s="43">
        <f>'Cash Flow'!R30</f>
        <v>0</v>
      </c>
      <c r="X57" s="43">
        <f>'Cash Flow'!S30</f>
        <v>0</v>
      </c>
      <c r="Y57" s="43">
        <f>'Cash Flow'!T30</f>
        <v>0</v>
      </c>
      <c r="Z57" s="43">
        <f>'Cash Flow'!U30</f>
        <v>0</v>
      </c>
      <c r="AA57" s="43">
        <f>'Cash Flow'!V30</f>
        <v>0</v>
      </c>
      <c r="AB57" s="43">
        <f>'Cash Flow'!W30</f>
        <v>0</v>
      </c>
      <c r="AC57" s="43">
        <f>'Cash Flow'!X30</f>
        <v>0</v>
      </c>
    </row>
    <row r="58" spans="7:29" x14ac:dyDescent="0.2">
      <c r="H58" s="30" t="s">
        <v>193</v>
      </c>
      <c r="I58" s="105">
        <f>'Cash Flow'!D31</f>
        <v>-55000</v>
      </c>
      <c r="J58" s="43">
        <f>'Cash Flow'!E31</f>
        <v>0</v>
      </c>
      <c r="K58" s="43">
        <f>'Cash Flow'!F31</f>
        <v>0</v>
      </c>
      <c r="L58" s="43">
        <f>'Cash Flow'!G31</f>
        <v>0</v>
      </c>
      <c r="M58" s="43">
        <f>'Cash Flow'!H31</f>
        <v>0</v>
      </c>
      <c r="N58" s="43">
        <f>'Cash Flow'!I31</f>
        <v>0</v>
      </c>
      <c r="O58" s="43">
        <f>'Cash Flow'!J31</f>
        <v>0</v>
      </c>
      <c r="P58" s="43">
        <f>'Cash Flow'!K31</f>
        <v>0</v>
      </c>
      <c r="Q58" s="43">
        <f>'Cash Flow'!L31</f>
        <v>0</v>
      </c>
      <c r="R58" s="43">
        <f>'Cash Flow'!M31</f>
        <v>0</v>
      </c>
      <c r="S58" s="43">
        <f>'Cash Flow'!N31</f>
        <v>0</v>
      </c>
      <c r="T58" s="43">
        <f>'Cash Flow'!O31</f>
        <v>0</v>
      </c>
      <c r="U58" s="43">
        <f>'Cash Flow'!P31</f>
        <v>0</v>
      </c>
      <c r="V58" s="43">
        <f>'Cash Flow'!Q31</f>
        <v>0</v>
      </c>
      <c r="W58" s="43">
        <f>'Cash Flow'!R31</f>
        <v>0</v>
      </c>
      <c r="X58" s="43">
        <f>'Cash Flow'!S31</f>
        <v>0</v>
      </c>
      <c r="Y58" s="43">
        <f>'Cash Flow'!T31</f>
        <v>0</v>
      </c>
      <c r="Z58" s="43">
        <f>'Cash Flow'!U31</f>
        <v>0</v>
      </c>
      <c r="AA58" s="43">
        <f>'Cash Flow'!V31</f>
        <v>0</v>
      </c>
      <c r="AB58" s="43">
        <f>'Cash Flow'!W31</f>
        <v>0</v>
      </c>
      <c r="AC58" s="43">
        <f>'Cash Flow'!X31</f>
        <v>0</v>
      </c>
    </row>
    <row r="59" spans="7:29" x14ac:dyDescent="0.2">
      <c r="H59" s="30" t="s">
        <v>195</v>
      </c>
      <c r="I59" s="105">
        <f>'Cash Flow'!D32</f>
        <v>-2500</v>
      </c>
      <c r="J59" s="43">
        <f>'Cash Flow'!E32</f>
        <v>0</v>
      </c>
      <c r="K59" s="43">
        <f>'Cash Flow'!F32</f>
        <v>0</v>
      </c>
      <c r="L59" s="43">
        <f>'Cash Flow'!G32</f>
        <v>0</v>
      </c>
      <c r="M59" s="43">
        <f>'Cash Flow'!H32</f>
        <v>0</v>
      </c>
      <c r="N59" s="43">
        <f>'Cash Flow'!I32</f>
        <v>0</v>
      </c>
      <c r="O59" s="43">
        <f>'Cash Flow'!J32</f>
        <v>0</v>
      </c>
      <c r="P59" s="43">
        <f>'Cash Flow'!K32</f>
        <v>0</v>
      </c>
      <c r="Q59" s="43">
        <f>'Cash Flow'!L32</f>
        <v>0</v>
      </c>
      <c r="R59" s="43">
        <f>'Cash Flow'!M32</f>
        <v>0</v>
      </c>
      <c r="S59" s="43">
        <f>'Cash Flow'!N32</f>
        <v>0</v>
      </c>
      <c r="T59" s="43">
        <f>'Cash Flow'!O32</f>
        <v>0</v>
      </c>
      <c r="U59" s="43">
        <f>'Cash Flow'!P32</f>
        <v>0</v>
      </c>
      <c r="V59" s="43">
        <f>'Cash Flow'!Q32</f>
        <v>0</v>
      </c>
      <c r="W59" s="43">
        <f>'Cash Flow'!R32</f>
        <v>0</v>
      </c>
      <c r="X59" s="43">
        <f>'Cash Flow'!S32</f>
        <v>0</v>
      </c>
      <c r="Y59" s="43">
        <f>'Cash Flow'!T32</f>
        <v>0</v>
      </c>
      <c r="Z59" s="43">
        <f>'Cash Flow'!U32</f>
        <v>0</v>
      </c>
      <c r="AA59" s="43">
        <f>'Cash Flow'!V32</f>
        <v>0</v>
      </c>
      <c r="AB59" s="43">
        <f>'Cash Flow'!W32</f>
        <v>0</v>
      </c>
      <c r="AC59" s="43">
        <f>'Cash Flow'!X32</f>
        <v>0</v>
      </c>
    </row>
    <row r="60" spans="7:29" x14ac:dyDescent="0.2">
      <c r="H60" s="30" t="s">
        <v>196</v>
      </c>
      <c r="I60" s="105">
        <f>'Cash Flow'!D33</f>
        <v>-55000</v>
      </c>
      <c r="J60" s="43">
        <f>'Cash Flow'!E33</f>
        <v>0</v>
      </c>
      <c r="K60" s="43">
        <f>'Cash Flow'!F33</f>
        <v>0</v>
      </c>
      <c r="L60" s="43">
        <f>'Cash Flow'!G33</f>
        <v>0</v>
      </c>
      <c r="M60" s="43">
        <f>'Cash Flow'!H33</f>
        <v>0</v>
      </c>
      <c r="N60" s="43">
        <f>'Cash Flow'!I33</f>
        <v>0</v>
      </c>
      <c r="O60" s="43">
        <f>'Cash Flow'!J33</f>
        <v>0</v>
      </c>
      <c r="P60" s="43">
        <f>'Cash Flow'!K33</f>
        <v>0</v>
      </c>
      <c r="Q60" s="43">
        <f>'Cash Flow'!L33</f>
        <v>0</v>
      </c>
      <c r="R60" s="43">
        <f>'Cash Flow'!M33</f>
        <v>0</v>
      </c>
      <c r="S60" s="43">
        <f>'Cash Flow'!N33</f>
        <v>0</v>
      </c>
      <c r="T60" s="43">
        <f>'Cash Flow'!O33</f>
        <v>0</v>
      </c>
      <c r="U60" s="43">
        <f>'Cash Flow'!P33</f>
        <v>0</v>
      </c>
      <c r="V60" s="43">
        <f>'Cash Flow'!Q33</f>
        <v>0</v>
      </c>
      <c r="W60" s="43">
        <f>'Cash Flow'!R33</f>
        <v>0</v>
      </c>
      <c r="X60" s="43">
        <f>'Cash Flow'!S33</f>
        <v>0</v>
      </c>
      <c r="Y60" s="43">
        <f>'Cash Flow'!T33</f>
        <v>0</v>
      </c>
      <c r="Z60" s="43">
        <f>'Cash Flow'!U33</f>
        <v>0</v>
      </c>
      <c r="AA60" s="43">
        <f>'Cash Flow'!V33</f>
        <v>0</v>
      </c>
      <c r="AB60" s="43">
        <f>'Cash Flow'!W33</f>
        <v>0</v>
      </c>
      <c r="AC60" s="43">
        <f>'Cash Flow'!X33</f>
        <v>0</v>
      </c>
    </row>
    <row r="61" spans="7:29" x14ac:dyDescent="0.2">
      <c r="H61" s="30" t="s">
        <v>197</v>
      </c>
      <c r="I61" s="43">
        <f>'Cash Flow'!D34</f>
        <v>0</v>
      </c>
      <c r="J61" s="105">
        <f>'Cash Flow'!E34</f>
        <v>-119</v>
      </c>
      <c r="K61" s="43">
        <f>'Cash Flow'!F34</f>
        <v>0</v>
      </c>
      <c r="L61" s="43">
        <f>'Cash Flow'!G34</f>
        <v>0</v>
      </c>
      <c r="M61" s="43">
        <f>'Cash Flow'!H34</f>
        <v>0</v>
      </c>
      <c r="N61" s="43">
        <f>'Cash Flow'!I34</f>
        <v>0</v>
      </c>
      <c r="O61" s="43">
        <f>'Cash Flow'!J34</f>
        <v>0</v>
      </c>
      <c r="P61" s="43">
        <f>'Cash Flow'!K34</f>
        <v>0</v>
      </c>
      <c r="Q61" s="43">
        <f>'Cash Flow'!L34</f>
        <v>0</v>
      </c>
      <c r="R61" s="43">
        <f>'Cash Flow'!M34</f>
        <v>0</v>
      </c>
      <c r="S61" s="43">
        <f>'Cash Flow'!N34</f>
        <v>0</v>
      </c>
      <c r="T61" s="43">
        <f>'Cash Flow'!O34</f>
        <v>0</v>
      </c>
      <c r="U61" s="43">
        <f>'Cash Flow'!P34</f>
        <v>0</v>
      </c>
      <c r="V61" s="43">
        <f>'Cash Flow'!Q34</f>
        <v>0</v>
      </c>
      <c r="W61" s="43">
        <f>'Cash Flow'!R34</f>
        <v>0</v>
      </c>
      <c r="X61" s="43">
        <f>'Cash Flow'!S34</f>
        <v>0</v>
      </c>
      <c r="Y61" s="43">
        <f>'Cash Flow'!T34</f>
        <v>0</v>
      </c>
      <c r="Z61" s="43">
        <f>'Cash Flow'!U34</f>
        <v>0</v>
      </c>
      <c r="AA61" s="43">
        <f>'Cash Flow'!V34</f>
        <v>0</v>
      </c>
      <c r="AB61" s="43">
        <f>'Cash Flow'!W34</f>
        <v>0</v>
      </c>
      <c r="AC61" s="43">
        <f>'Cash Flow'!X34</f>
        <v>0</v>
      </c>
    </row>
    <row r="62" spans="7:29" x14ac:dyDescent="0.2">
      <c r="H62" s="30" t="s">
        <v>187</v>
      </c>
      <c r="I62" s="43">
        <f>'Cash Flow'!D35</f>
        <v>0</v>
      </c>
      <c r="J62" s="105">
        <f>'Cash Flow'!E35</f>
        <v>-45163.8</v>
      </c>
      <c r="K62" s="105">
        <f>'Cash Flow'!F35</f>
        <v>-45163.8</v>
      </c>
      <c r="L62" s="105">
        <f>'Cash Flow'!G35</f>
        <v>-45163.8</v>
      </c>
      <c r="M62" s="105">
        <f>'Cash Flow'!H35</f>
        <v>-45163.8</v>
      </c>
      <c r="N62" s="105">
        <f>'Cash Flow'!I35</f>
        <v>-45163.8</v>
      </c>
      <c r="O62" s="105">
        <f>'Cash Flow'!J35</f>
        <v>-45163.8</v>
      </c>
      <c r="P62" s="105">
        <f>'Cash Flow'!K35</f>
        <v>-45163.8</v>
      </c>
      <c r="Q62" s="105">
        <f>'Cash Flow'!L35</f>
        <v>-45163.8</v>
      </c>
      <c r="R62" s="105">
        <f>'Cash Flow'!M35</f>
        <v>-45163.8</v>
      </c>
      <c r="S62" s="105">
        <f>'Cash Flow'!N35</f>
        <v>-45163.8</v>
      </c>
      <c r="T62" s="105">
        <f>'Cash Flow'!O35</f>
        <v>-45163.8</v>
      </c>
      <c r="U62" s="105">
        <f>'Cash Flow'!P35</f>
        <v>-45163.8</v>
      </c>
      <c r="V62" s="105">
        <f>'Cash Flow'!Q35</f>
        <v>-45163.8</v>
      </c>
      <c r="W62" s="105">
        <f>'Cash Flow'!R35</f>
        <v>-45163.8</v>
      </c>
      <c r="X62" s="105">
        <f>'Cash Flow'!S35</f>
        <v>-45163.8</v>
      </c>
      <c r="Y62" s="105">
        <f>'Cash Flow'!T35</f>
        <v>-45163.8</v>
      </c>
      <c r="Z62" s="105">
        <f>'Cash Flow'!U35</f>
        <v>-45163.8</v>
      </c>
      <c r="AA62" s="105">
        <f>'Cash Flow'!V35</f>
        <v>-45163.8</v>
      </c>
      <c r="AB62" s="105">
        <f>'Cash Flow'!W35</f>
        <v>-45163.8</v>
      </c>
      <c r="AC62" s="105">
        <f>'Cash Flow'!X35</f>
        <v>-45163.8</v>
      </c>
    </row>
    <row r="63" spans="7:29" x14ac:dyDescent="0.2">
      <c r="H63" s="30" t="s">
        <v>198</v>
      </c>
      <c r="I63" s="43">
        <f>'Cash Flow'!D36</f>
        <v>0</v>
      </c>
      <c r="J63" s="105">
        <f>'Cash Flow'!E36</f>
        <v>-15453</v>
      </c>
      <c r="K63" s="105">
        <f>'Cash Flow'!F36</f>
        <v>-24724.799999999999</v>
      </c>
      <c r="L63" s="105">
        <f>'Cash Flow'!G36</f>
        <v>-39559.68</v>
      </c>
      <c r="M63" s="105">
        <f>'Cash Flow'!H36</f>
        <v>-63295.487999999998</v>
      </c>
      <c r="N63" s="105">
        <f>'Cash Flow'!I36</f>
        <v>-101272.78080000001</v>
      </c>
      <c r="O63" s="105">
        <f>'Cash Flow'!J36</f>
        <v>-162036.44928</v>
      </c>
      <c r="P63" s="105">
        <f>'Cash Flow'!K36</f>
        <v>-259258.31884800002</v>
      </c>
      <c r="Q63" s="105">
        <f>'Cash Flow'!L36</f>
        <v>-414813.31015680009</v>
      </c>
      <c r="R63" s="105">
        <f>'Cash Flow'!M36</f>
        <v>-663701.29625088011</v>
      </c>
      <c r="S63" s="105">
        <f>'Cash Flow'!N36</f>
        <v>-1061922.0740014084</v>
      </c>
      <c r="T63" s="105">
        <f>'Cash Flow'!O36</f>
        <v>-1699075.3184022536</v>
      </c>
      <c r="U63" s="105">
        <f>'Cash Flow'!P36</f>
        <v>-2718520.5094436053</v>
      </c>
      <c r="V63" s="105">
        <f>'Cash Flow'!Q36</f>
        <v>-4349632.8151097689</v>
      </c>
      <c r="W63" s="105">
        <f>'Cash Flow'!R36</f>
        <v>-6959412.5041756313</v>
      </c>
      <c r="X63" s="105">
        <f>'Cash Flow'!S36</f>
        <v>-11135060.00668101</v>
      </c>
      <c r="Y63" s="105">
        <f>'Cash Flow'!T36</f>
        <v>-17816096.010689616</v>
      </c>
      <c r="Z63" s="105">
        <f>'Cash Flow'!U36</f>
        <v>-28505753.617103387</v>
      </c>
      <c r="AA63" s="105">
        <f>'Cash Flow'!V36</f>
        <v>-45609205.787365422</v>
      </c>
      <c r="AB63" s="105">
        <f>'Cash Flow'!W36</f>
        <v>-72974729.259784669</v>
      </c>
      <c r="AC63" s="105">
        <f>'Cash Flow'!X36</f>
        <v>-116759566.8156555</v>
      </c>
    </row>
    <row r="64" spans="7:29" x14ac:dyDescent="0.2">
      <c r="H64" s="30" t="s">
        <v>85</v>
      </c>
      <c r="I64" s="105">
        <f>'Cash Flow'!D37</f>
        <v>-250000</v>
      </c>
      <c r="J64" s="105">
        <f>'Cash Flow'!E37</f>
        <v>-250000</v>
      </c>
      <c r="K64" s="105">
        <f>'Cash Flow'!F37</f>
        <v>-262500</v>
      </c>
      <c r="L64" s="105">
        <f>'Cash Flow'!G37</f>
        <v>-275625</v>
      </c>
      <c r="M64" s="105">
        <f>'Cash Flow'!H37</f>
        <v>-289406.25</v>
      </c>
      <c r="N64" s="105">
        <f>'Cash Flow'!I37</f>
        <v>-303876.5625</v>
      </c>
      <c r="O64" s="105">
        <f>'Cash Flow'!J37</f>
        <v>-319070.390625</v>
      </c>
      <c r="P64" s="105">
        <f>'Cash Flow'!K37</f>
        <v>-335023.91015625</v>
      </c>
      <c r="Q64" s="105">
        <f>'Cash Flow'!L37</f>
        <v>-351775.10566406249</v>
      </c>
      <c r="R64" s="105">
        <f>'Cash Flow'!M37</f>
        <v>-369363.86094726564</v>
      </c>
      <c r="S64" s="105">
        <f>'Cash Flow'!N37</f>
        <v>-387832.05399462895</v>
      </c>
      <c r="T64" s="105">
        <f>'Cash Flow'!O37</f>
        <v>-407223.65669436043</v>
      </c>
      <c r="U64" s="105">
        <f>'Cash Flow'!P37</f>
        <v>-427584.83952907845</v>
      </c>
      <c r="V64" s="105">
        <f>'Cash Flow'!Q37</f>
        <v>-448964.08150553238</v>
      </c>
      <c r="W64" s="105">
        <f>'Cash Flow'!R37</f>
        <v>-471412.285580809</v>
      </c>
      <c r="X64" s="105">
        <f>'Cash Flow'!S37</f>
        <v>-494982.89985984948</v>
      </c>
      <c r="Y64" s="105">
        <f>'Cash Flow'!T37</f>
        <v>-519732.04485284199</v>
      </c>
      <c r="Z64" s="105">
        <f>'Cash Flow'!U37</f>
        <v>-545718.64709548408</v>
      </c>
      <c r="AA64" s="105">
        <f>'Cash Flow'!V37</f>
        <v>-573004.57945025829</v>
      </c>
      <c r="AB64" s="105">
        <f>'Cash Flow'!W37</f>
        <v>-601654.80842277128</v>
      </c>
      <c r="AC64" s="105">
        <f>'Cash Flow'!X37</f>
        <v>-631737.54884390987</v>
      </c>
    </row>
    <row r="65" spans="7:29" x14ac:dyDescent="0.2">
      <c r="H65" s="30" t="s">
        <v>87</v>
      </c>
      <c r="I65" s="43">
        <f>'Cash Flow'!D38</f>
        <v>0</v>
      </c>
      <c r="J65" s="105">
        <f>'Cash Flow'!E38</f>
        <v>-270000</v>
      </c>
      <c r="K65" s="105">
        <f>'Cash Flow'!F38</f>
        <v>-270000</v>
      </c>
      <c r="L65" s="105">
        <f>'Cash Flow'!G38</f>
        <v>-283500</v>
      </c>
      <c r="M65" s="105">
        <f>'Cash Flow'!H38</f>
        <v>-297675</v>
      </c>
      <c r="N65" s="105">
        <f>'Cash Flow'!I38</f>
        <v>-312558.75</v>
      </c>
      <c r="O65" s="105">
        <f>'Cash Flow'!J38</f>
        <v>-328186.6875</v>
      </c>
      <c r="P65" s="105">
        <f>'Cash Flow'!K38</f>
        <v>-344596.02187500003</v>
      </c>
      <c r="Q65" s="105">
        <f>'Cash Flow'!L38</f>
        <v>-361825.82296875003</v>
      </c>
      <c r="R65" s="105">
        <f>'Cash Flow'!M38</f>
        <v>-379917.11411718756</v>
      </c>
      <c r="S65" s="105">
        <f>'Cash Flow'!N38</f>
        <v>-398912.96982304694</v>
      </c>
      <c r="T65" s="105">
        <f>'Cash Flow'!O38</f>
        <v>-418858.61831419932</v>
      </c>
      <c r="U65" s="105">
        <f>'Cash Flow'!P38</f>
        <v>-439801.54922990932</v>
      </c>
      <c r="V65" s="105">
        <f>'Cash Flow'!Q38</f>
        <v>-461791.62669140479</v>
      </c>
      <c r="W65" s="105">
        <f>'Cash Flow'!R38</f>
        <v>-484881.20802597504</v>
      </c>
      <c r="X65" s="105">
        <f>'Cash Flow'!S38</f>
        <v>-509125.26842727378</v>
      </c>
      <c r="Y65" s="105">
        <f>'Cash Flow'!T38</f>
        <v>-534581.5318486375</v>
      </c>
      <c r="Z65" s="105">
        <f>'Cash Flow'!U38</f>
        <v>-561310.60844106937</v>
      </c>
      <c r="AA65" s="105">
        <f>'Cash Flow'!V38</f>
        <v>-589376.13886312291</v>
      </c>
      <c r="AB65" s="105">
        <f>'Cash Flow'!W38</f>
        <v>-618844.94580627908</v>
      </c>
      <c r="AC65" s="105">
        <f>'Cash Flow'!X38</f>
        <v>-649787.19309659302</v>
      </c>
    </row>
    <row r="66" spans="7:29" x14ac:dyDescent="0.2">
      <c r="H66" s="30" t="s">
        <v>51</v>
      </c>
      <c r="I66" s="43">
        <f>'Cash Flow'!D39</f>
        <v>0</v>
      </c>
      <c r="J66" s="105">
        <f>'Cash Flow'!E39</f>
        <v>-404868</v>
      </c>
      <c r="K66" s="105">
        <f>'Cash Flow'!F39</f>
        <v>-404868</v>
      </c>
      <c r="L66" s="105">
        <f>'Cash Flow'!G39</f>
        <v>-404868</v>
      </c>
      <c r="M66" s="105">
        <f>'Cash Flow'!H39</f>
        <v>-431859.20000000001</v>
      </c>
      <c r="N66" s="105">
        <f>'Cash Flow'!I39</f>
        <v>-431859.20000000001</v>
      </c>
      <c r="O66" s="105">
        <f>'Cash Flow'!J39</f>
        <v>-431859.20000000001</v>
      </c>
      <c r="P66" s="105">
        <f>'Cash Flow'!K39</f>
        <v>-431859.20000000001</v>
      </c>
      <c r="Q66" s="105">
        <f>'Cash Flow'!L39</f>
        <v>-431859.20000000001</v>
      </c>
      <c r="R66" s="105">
        <f>'Cash Flow'!M39</f>
        <v>-431859.20000000001</v>
      </c>
      <c r="S66" s="105">
        <f>'Cash Flow'!N39</f>
        <v>-431859.20000000001</v>
      </c>
      <c r="T66" s="105">
        <f>'Cash Flow'!O39</f>
        <v>-431859.20000000001</v>
      </c>
      <c r="U66" s="105">
        <f>'Cash Flow'!P39</f>
        <v>-431859.20000000001</v>
      </c>
      <c r="V66" s="105">
        <f>'Cash Flow'!Q39</f>
        <v>-431859.20000000001</v>
      </c>
      <c r="W66" s="105">
        <f>'Cash Flow'!R39</f>
        <v>-431859.20000000001</v>
      </c>
      <c r="X66" s="105">
        <f>'Cash Flow'!S39</f>
        <v>-431859.20000000001</v>
      </c>
      <c r="Y66" s="105">
        <f>'Cash Flow'!T39</f>
        <v>-431859.20000000001</v>
      </c>
      <c r="Z66" s="105">
        <f>'Cash Flow'!U39</f>
        <v>-431859.20000000001</v>
      </c>
      <c r="AA66" s="105">
        <f>'Cash Flow'!V39</f>
        <v>-431859.20000000001</v>
      </c>
      <c r="AB66" s="105">
        <f>'Cash Flow'!W39</f>
        <v>-431859.20000000001</v>
      </c>
      <c r="AC66" s="105">
        <f>'Cash Flow'!X39</f>
        <v>-431859.20000000001</v>
      </c>
    </row>
    <row r="67" spans="7:29" x14ac:dyDescent="0.2">
      <c r="H67" s="30" t="s">
        <v>26</v>
      </c>
      <c r="I67" s="105">
        <f>'Cash Flow'!D40</f>
        <v>-240</v>
      </c>
      <c r="J67" s="105">
        <f>'Cash Flow'!E40</f>
        <v>-660</v>
      </c>
      <c r="K67" s="105">
        <f>'Cash Flow'!F40</f>
        <v>-660</v>
      </c>
      <c r="L67" s="105">
        <f>'Cash Flow'!G40</f>
        <v>-660</v>
      </c>
      <c r="M67" s="105">
        <f>'Cash Flow'!H40</f>
        <v>-660</v>
      </c>
      <c r="N67" s="105">
        <f>'Cash Flow'!I40</f>
        <v>-660</v>
      </c>
      <c r="O67" s="105">
        <f>'Cash Flow'!J40</f>
        <v>-660</v>
      </c>
      <c r="P67" s="105">
        <f>'Cash Flow'!K40</f>
        <v>-660</v>
      </c>
      <c r="Q67" s="105">
        <f>'Cash Flow'!L40</f>
        <v>-660</v>
      </c>
      <c r="R67" s="105">
        <f>'Cash Flow'!M40</f>
        <v>-660</v>
      </c>
      <c r="S67" s="105">
        <f>'Cash Flow'!N40</f>
        <v>-660</v>
      </c>
      <c r="T67" s="105">
        <f>'Cash Flow'!O40</f>
        <v>-660</v>
      </c>
      <c r="U67" s="105">
        <f>'Cash Flow'!P40</f>
        <v>-660</v>
      </c>
      <c r="V67" s="105">
        <f>'Cash Flow'!Q40</f>
        <v>-660</v>
      </c>
      <c r="W67" s="105">
        <f>'Cash Flow'!R40</f>
        <v>-660</v>
      </c>
      <c r="X67" s="105">
        <f>'Cash Flow'!S40</f>
        <v>-660</v>
      </c>
      <c r="Y67" s="105">
        <f>'Cash Flow'!T40</f>
        <v>-660</v>
      </c>
      <c r="Z67" s="105">
        <f>'Cash Flow'!U40</f>
        <v>-660</v>
      </c>
      <c r="AA67" s="105">
        <f>'Cash Flow'!V40</f>
        <v>-660</v>
      </c>
      <c r="AB67" s="105">
        <f>'Cash Flow'!W40</f>
        <v>-660</v>
      </c>
      <c r="AC67" s="105">
        <f>'Cash Flow'!X40</f>
        <v>-660</v>
      </c>
    </row>
    <row r="68" spans="7:29" x14ac:dyDescent="0.2">
      <c r="H68" s="30" t="s">
        <v>241</v>
      </c>
      <c r="I68" s="105">
        <f>'Cash Flow'!D41</f>
        <v>-8000</v>
      </c>
      <c r="J68" s="105">
        <f>'Cash Flow'!E41</f>
        <v>-4900</v>
      </c>
      <c r="K68" s="43">
        <f>'Cash Flow'!F41</f>
        <v>0</v>
      </c>
      <c r="L68" s="43">
        <f>'Cash Flow'!G41</f>
        <v>0</v>
      </c>
      <c r="M68" s="43">
        <f>'Cash Flow'!H41</f>
        <v>0</v>
      </c>
      <c r="N68" s="43">
        <f>'Cash Flow'!I41</f>
        <v>0</v>
      </c>
      <c r="O68" s="43">
        <f>'Cash Flow'!J41</f>
        <v>0</v>
      </c>
      <c r="P68" s="43">
        <f>'Cash Flow'!K41</f>
        <v>0</v>
      </c>
      <c r="Q68" s="43">
        <f>'Cash Flow'!L41</f>
        <v>0</v>
      </c>
      <c r="R68" s="43">
        <f>'Cash Flow'!M41</f>
        <v>0</v>
      </c>
      <c r="S68" s="43">
        <f>'Cash Flow'!N41</f>
        <v>0</v>
      </c>
      <c r="T68" s="43">
        <f>'Cash Flow'!O41</f>
        <v>0</v>
      </c>
      <c r="U68" s="43">
        <f>'Cash Flow'!P41</f>
        <v>0</v>
      </c>
      <c r="V68" s="43">
        <f>'Cash Flow'!Q41</f>
        <v>0</v>
      </c>
      <c r="W68" s="43">
        <f>'Cash Flow'!R41</f>
        <v>0</v>
      </c>
      <c r="X68" s="43">
        <f>'Cash Flow'!S41</f>
        <v>0</v>
      </c>
      <c r="Y68" s="43">
        <f>'Cash Flow'!T41</f>
        <v>0</v>
      </c>
      <c r="Z68" s="43">
        <f>'Cash Flow'!U41</f>
        <v>0</v>
      </c>
      <c r="AA68" s="43">
        <f>'Cash Flow'!V41</f>
        <v>0</v>
      </c>
      <c r="AB68" s="43">
        <f>'Cash Flow'!W41</f>
        <v>0</v>
      </c>
      <c r="AC68" s="43">
        <f>'Cash Flow'!X41</f>
        <v>0</v>
      </c>
    </row>
    <row r="69" spans="7:29" x14ac:dyDescent="0.2">
      <c r="H69" s="30" t="s">
        <v>2</v>
      </c>
      <c r="I69" s="105">
        <f>'Cash Flow'!D42</f>
        <v>-24000</v>
      </c>
      <c r="J69" s="105">
        <f>'Cash Flow'!E42</f>
        <v>-66726</v>
      </c>
      <c r="K69" s="105">
        <f>'Cash Flow'!F42</f>
        <v>-67459.98599999999</v>
      </c>
      <c r="L69" s="105">
        <f>'Cash Flow'!G42</f>
        <v>-68202.045845999979</v>
      </c>
      <c r="M69" s="105">
        <f>'Cash Flow'!H42</f>
        <v>-68952.268350305967</v>
      </c>
      <c r="N69" s="105">
        <f>'Cash Flow'!I42</f>
        <v>-69710.743302159332</v>
      </c>
      <c r="O69" s="105">
        <f>'Cash Flow'!J42</f>
        <v>-70477.561478483083</v>
      </c>
      <c r="P69" s="105">
        <f>'Cash Flow'!K42</f>
        <v>-71252.814654746384</v>
      </c>
      <c r="Q69" s="105">
        <f>'Cash Flow'!L42</f>
        <v>-72036.595615948594</v>
      </c>
      <c r="R69" s="105">
        <f>'Cash Flow'!M42</f>
        <v>-72828.998167724028</v>
      </c>
      <c r="S69" s="105">
        <f>'Cash Flow'!N42</f>
        <v>-73630.117147568992</v>
      </c>
      <c r="T69" s="105">
        <f>'Cash Flow'!O42</f>
        <v>-74440.048436192243</v>
      </c>
      <c r="U69" s="105">
        <f>'Cash Flow'!P42</f>
        <v>-75258.888968990344</v>
      </c>
      <c r="V69" s="105">
        <f>'Cash Flow'!Q42</f>
        <v>-76086.736747649236</v>
      </c>
      <c r="W69" s="105">
        <f>'Cash Flow'!R42</f>
        <v>-76923.690851873369</v>
      </c>
      <c r="X69" s="105">
        <f>'Cash Flow'!S42</f>
        <v>-77769.851451243972</v>
      </c>
      <c r="Y69" s="105">
        <f>'Cash Flow'!T42</f>
        <v>-78625.319817207652</v>
      </c>
      <c r="Z69" s="105">
        <f>'Cash Flow'!U42</f>
        <v>-79490.198335196925</v>
      </c>
      <c r="AA69" s="105">
        <f>'Cash Flow'!V42</f>
        <v>-80364.590516884084</v>
      </c>
      <c r="AB69" s="105">
        <f>'Cash Flow'!W42</f>
        <v>-81248.601012569794</v>
      </c>
      <c r="AC69" s="105">
        <f>'Cash Flow'!X42</f>
        <v>-82142.335623708059</v>
      </c>
    </row>
    <row r="70" spans="7:29" x14ac:dyDescent="0.2">
      <c r="H70" s="30" t="s">
        <v>118</v>
      </c>
      <c r="I70" s="43">
        <f>'Cash Flow'!D43</f>
        <v>0</v>
      </c>
      <c r="J70" s="105">
        <f>'Cash Flow'!E43</f>
        <v>-2883500.0000000005</v>
      </c>
      <c r="K70" s="105">
        <f>'Cash Flow'!F43</f>
        <v>-4613600.0000000009</v>
      </c>
      <c r="L70" s="105">
        <f>'Cash Flow'!G43</f>
        <v>-7381760.0000000009</v>
      </c>
      <c r="M70" s="105">
        <f>'Cash Flow'!H43</f>
        <v>-11810816.000000002</v>
      </c>
      <c r="N70" s="105">
        <f>'Cash Flow'!I43</f>
        <v>-18897305.600000001</v>
      </c>
      <c r="O70" s="105">
        <f>'Cash Flow'!J43</f>
        <v>-30235688.960000005</v>
      </c>
      <c r="P70" s="105">
        <f>'Cash Flow'!K43</f>
        <v>-48377102.33600001</v>
      </c>
      <c r="Q70" s="105">
        <f>'Cash Flow'!L43</f>
        <v>-77403363.737600029</v>
      </c>
      <c r="R70" s="105">
        <f>'Cash Flow'!M43</f>
        <v>-123845381.98016004</v>
      </c>
      <c r="S70" s="105">
        <f>'Cash Flow'!N43</f>
        <v>-198152611.1682561</v>
      </c>
      <c r="T70" s="105">
        <f>'Cash Flow'!O43</f>
        <v>-317044177.86920977</v>
      </c>
      <c r="U70" s="105">
        <f>'Cash Flow'!P43</f>
        <v>-507270684.59073561</v>
      </c>
      <c r="V70" s="105">
        <f>'Cash Flow'!Q43</f>
        <v>-811633095.34517705</v>
      </c>
      <c r="W70" s="105">
        <f>'Cash Flow'!R43</f>
        <v>-1298612952.5522833</v>
      </c>
      <c r="X70" s="105">
        <f>'Cash Flow'!S43</f>
        <v>-2077780724.0836535</v>
      </c>
      <c r="Y70" s="105">
        <f>'Cash Flow'!T43</f>
        <v>-3324449158.5338454</v>
      </c>
      <c r="Z70" s="105">
        <f>'Cash Flow'!U43</f>
        <v>-5319118653.6541529</v>
      </c>
      <c r="AA70" s="105">
        <f>'Cash Flow'!V43</f>
        <v>-8510589845.8466454</v>
      </c>
      <c r="AB70" s="105">
        <f>'Cash Flow'!W43</f>
        <v>-13616943753.354633</v>
      </c>
      <c r="AC70" s="105">
        <f>'Cash Flow'!X43</f>
        <v>-21787110005.367416</v>
      </c>
    </row>
    <row r="71" spans="7:29" x14ac:dyDescent="0.2">
      <c r="G71" s="2"/>
      <c r="H71" s="34" t="s">
        <v>23</v>
      </c>
      <c r="I71" s="122">
        <f>'Cash Flow'!D44</f>
        <v>-543140</v>
      </c>
      <c r="J71" s="122">
        <f>'Cash Flow'!E44</f>
        <v>-3979789.8000000007</v>
      </c>
      <c r="K71" s="122">
        <f>'Cash Flow'!F44</f>
        <v>-5727376.5860000011</v>
      </c>
      <c r="L71" s="122">
        <f>'Cash Flow'!G44</f>
        <v>-8537738.5258460008</v>
      </c>
      <c r="M71" s="122">
        <f>'Cash Flow'!H44</f>
        <v>-13046228.006350309</v>
      </c>
      <c r="N71" s="122">
        <f>'Cash Flow'!I44</f>
        <v>-20200807.43660216</v>
      </c>
      <c r="O71" s="122">
        <f>'Cash Flow'!J44</f>
        <v>-31631543.048883487</v>
      </c>
      <c r="P71" s="122">
        <f>'Cash Flow'!K44</f>
        <v>-49903316.401534006</v>
      </c>
      <c r="Q71" s="122">
        <f>'Cash Flow'!L44</f>
        <v>-79119897.572005585</v>
      </c>
      <c r="R71" s="122">
        <f>'Cash Flow'!M44</f>
        <v>-125847276.2496431</v>
      </c>
      <c r="S71" s="122">
        <f>'Cash Flow'!N44</f>
        <v>-200590991.38322276</v>
      </c>
      <c r="T71" s="122">
        <f>'Cash Flow'!O44</f>
        <v>-320159858.51105678</v>
      </c>
      <c r="U71" s="122">
        <f>'Cash Flow'!P44</f>
        <v>-511447933.37790722</v>
      </c>
      <c r="V71" s="122">
        <f>'Cash Flow'!Q44</f>
        <v>-817485653.6052314</v>
      </c>
      <c r="W71" s="122">
        <f>'Cash Flow'!R44</f>
        <v>-1307121665.2409177</v>
      </c>
      <c r="X71" s="122">
        <f>'Cash Flow'!S44</f>
        <v>-2090513745.1100729</v>
      </c>
      <c r="Y71" s="122">
        <f>'Cash Flow'!T44</f>
        <v>-3343914276.4410539</v>
      </c>
      <c r="Z71" s="122">
        <f>'Cash Flow'!U44</f>
        <v>-5349327009.7251282</v>
      </c>
      <c r="AA71" s="122">
        <f>'Cash Flow'!V44</f>
        <v>-8557957879.9428406</v>
      </c>
      <c r="AB71" s="122">
        <f>'Cash Flow'!W44</f>
        <v>-13691736313.96966</v>
      </c>
      <c r="AC71" s="122">
        <f>'Cash Flow'!X44</f>
        <v>-21905749322.260635</v>
      </c>
    </row>
    <row r="72" spans="7:29" x14ac:dyDescent="0.2">
      <c r="H72" s="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7:29" x14ac:dyDescent="0.2">
      <c r="H73" s="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7:29" x14ac:dyDescent="0.2">
      <c r="H74" s="36" t="s">
        <v>91</v>
      </c>
      <c r="I74" s="105">
        <f>'Cash Flow'!D47</f>
        <v>-543140</v>
      </c>
      <c r="J74" s="105">
        <f>'Cash Flow'!E47</f>
        <v>-605889.80000000075</v>
      </c>
      <c r="K74" s="105">
        <f>'Cash Flow'!F47</f>
        <v>-329136.58600000106</v>
      </c>
      <c r="L74" s="43">
        <f>'Cash Flow'!G47</f>
        <v>99445.474153999239</v>
      </c>
      <c r="M74" s="43">
        <f>'Cash Flow'!H47</f>
        <v>773266.39364968985</v>
      </c>
      <c r="N74" s="43">
        <f>'Cash Flow'!I47</f>
        <v>1910383.6033978388</v>
      </c>
      <c r="O74" s="43">
        <f>'Cash Flow'!J47</f>
        <v>3746362.615116518</v>
      </c>
      <c r="P74" s="43">
        <f>'Cash Flow'!K47</f>
        <v>6701332.6608659923</v>
      </c>
      <c r="Q74" s="43">
        <f>'Cash Flow'!L47</f>
        <v>11447540.927834421</v>
      </c>
      <c r="R74" s="43">
        <f>'Cash Flow'!M47</f>
        <v>19060625.35010092</v>
      </c>
      <c r="S74" s="43">
        <f>'Cash Flow'!N47</f>
        <v>31261651.17636767</v>
      </c>
      <c r="T74" s="43">
        <f>'Cash Flow'!O47</f>
        <v>50804369.584288001</v>
      </c>
      <c r="U74" s="43">
        <f>'Cash Flow'!P47</f>
        <v>82094831.574644387</v>
      </c>
      <c r="V74" s="43">
        <f>'Cash Flow'!Q47</f>
        <v>132182770.31885111</v>
      </c>
      <c r="W74" s="43">
        <f>'Cash Flow'!R47</f>
        <v>212347813.03761506</v>
      </c>
      <c r="X74" s="43">
        <f>'Cash Flow'!S47</f>
        <v>340637420.13557935</v>
      </c>
      <c r="Y74" s="43">
        <f>'Cash Flow'!T47</f>
        <v>545927587.9519887</v>
      </c>
      <c r="Z74" s="43">
        <f>'Cash Flow'!U47</f>
        <v>874419973.30374241</v>
      </c>
      <c r="AA74" s="43">
        <f>'Cash Flow'!V47</f>
        <v>1400037292.9033508</v>
      </c>
      <c r="AB74" s="43">
        <f>'Cash Flow'!W47</f>
        <v>2241055962.5842457</v>
      </c>
      <c r="AC74" s="43">
        <f>'Cash Flow'!X47</f>
        <v>3586718320.2256165</v>
      </c>
    </row>
    <row r="75" spans="7:29" x14ac:dyDescent="0.2">
      <c r="H75" s="36" t="s">
        <v>92</v>
      </c>
      <c r="I75" s="106">
        <f>'Cash Flow'!D48</f>
        <v>-543140</v>
      </c>
      <c r="J75" s="106">
        <f>'Cash Flow'!E48</f>
        <v>-550808.90909090976</v>
      </c>
      <c r="K75" s="106">
        <f>'Cash Flow'!F48</f>
        <v>-272013.70743801736</v>
      </c>
      <c r="L75" s="104">
        <f>'Cash Flow'!G48</f>
        <v>74714.856614574906</v>
      </c>
      <c r="M75" s="104">
        <f>'Cash Flow'!H48</f>
        <v>528151.3514443615</v>
      </c>
      <c r="N75" s="104">
        <f>'Cash Flow'!I48</f>
        <v>1186197.914572302</v>
      </c>
      <c r="O75" s="104">
        <f>'Cash Flow'!J48</f>
        <v>2114724.0287613673</v>
      </c>
      <c r="P75" s="104">
        <f>'Cash Flow'!K48</f>
        <v>3438843.2578879655</v>
      </c>
      <c r="Q75" s="104">
        <f>'Cash Flow'!L48</f>
        <v>5340362.3280877341</v>
      </c>
      <c r="R75" s="104">
        <f>'Cash Flow'!M48</f>
        <v>8083565.8156680064</v>
      </c>
      <c r="S75" s="104">
        <f>'Cash Flow'!N48</f>
        <v>12052719.827535374</v>
      </c>
      <c r="T75" s="104">
        <f>'Cash Flow'!O48</f>
        <v>17806621.606290936</v>
      </c>
      <c r="U75" s="104">
        <f>'Cash Flow'!P48</f>
        <v>26157943.314422939</v>
      </c>
      <c r="V75" s="104">
        <f>'Cash Flow'!Q48</f>
        <v>38288640.17628707</v>
      </c>
      <c r="W75" s="104">
        <f>'Cash Flow'!R48</f>
        <v>55917815.956348084</v>
      </c>
      <c r="X75" s="104">
        <f>'Cash Flow'!S48</f>
        <v>81545890.098081067</v>
      </c>
      <c r="Y75" s="104">
        <f>'Cash Flow'!T48</f>
        <v>118809749.16999161</v>
      </c>
      <c r="Z75" s="104">
        <f>'Cash Flow'!U48</f>
        <v>172999330.09794384</v>
      </c>
      <c r="AA75" s="104">
        <f>'Cash Flow'!V48</f>
        <v>251809013.329368</v>
      </c>
      <c r="AB75" s="104">
        <f>'Cash Flow'!W48</f>
        <v>366430557.77202755</v>
      </c>
      <c r="AC75" s="104">
        <f>'Cash Flow'!X48</f>
        <v>533142823.81899732</v>
      </c>
    </row>
    <row r="76" spans="7:29" x14ac:dyDescent="0.2">
      <c r="H76" s="36" t="s">
        <v>93</v>
      </c>
      <c r="I76" s="105">
        <f>'Cash Flow'!D49</f>
        <v>-543140</v>
      </c>
      <c r="J76" s="105">
        <f>'Cash Flow'!E49</f>
        <v>-1149029.8000000007</v>
      </c>
      <c r="K76" s="105">
        <f>'Cash Flow'!F49</f>
        <v>-1478166.3860000018</v>
      </c>
      <c r="L76" s="105">
        <f>'Cash Flow'!G49</f>
        <v>-1378720.9118460026</v>
      </c>
      <c r="M76" s="105">
        <f>'Cash Flow'!H49</f>
        <v>-605454.51819631271</v>
      </c>
      <c r="N76" s="43">
        <f>'Cash Flow'!I49</f>
        <v>1304929.0852015261</v>
      </c>
      <c r="O76" s="43">
        <f>'Cash Flow'!J49</f>
        <v>5051291.7003180441</v>
      </c>
      <c r="P76" s="43">
        <f>'Cash Flow'!K49</f>
        <v>11752624.361184036</v>
      </c>
      <c r="Q76" s="43">
        <f>'Cash Flow'!L49</f>
        <v>23200165.28901846</v>
      </c>
      <c r="R76" s="43">
        <f>'Cash Flow'!M49</f>
        <v>42260790.639119379</v>
      </c>
      <c r="S76" s="43">
        <f>'Cash Flow'!N49</f>
        <v>73522441.815487057</v>
      </c>
      <c r="T76" s="43">
        <f>'Cash Flow'!O49</f>
        <v>124326811.39977506</v>
      </c>
      <c r="U76" s="43">
        <f>'Cash Flow'!P49</f>
        <v>206421642.97441944</v>
      </c>
      <c r="V76" s="43">
        <f>'Cash Flow'!Q49</f>
        <v>338604413.29327059</v>
      </c>
      <c r="W76" s="43">
        <f>'Cash Flow'!R49</f>
        <v>550952226.33088565</v>
      </c>
      <c r="X76" s="43">
        <f>'Cash Flow'!S49</f>
        <v>891589646.466465</v>
      </c>
      <c r="Y76" s="43">
        <f>'Cash Flow'!T49</f>
        <v>1437517234.4184537</v>
      </c>
      <c r="Z76" s="43">
        <f>'Cash Flow'!U49</f>
        <v>2311937207.7221961</v>
      </c>
      <c r="AA76" s="43">
        <f>'Cash Flow'!V49</f>
        <v>3711974500.6255469</v>
      </c>
      <c r="AB76" s="43">
        <f>'Cash Flow'!W49</f>
        <v>5953030463.2097931</v>
      </c>
      <c r="AC76" s="43">
        <f>'Cash Flow'!X49</f>
        <v>9539748783.4354095</v>
      </c>
    </row>
    <row r="77" spans="7:29" x14ac:dyDescent="0.2">
      <c r="H77" s="36" t="s">
        <v>289</v>
      </c>
      <c r="I77" s="105">
        <f>'Cash Flow'!D50</f>
        <v>-543140</v>
      </c>
      <c r="J77" s="105">
        <f>'Cash Flow'!E50</f>
        <v>-1093948.9090909096</v>
      </c>
      <c r="K77" s="105">
        <f>'Cash Flow'!F50</f>
        <v>-1365962.6165289269</v>
      </c>
      <c r="L77" s="105">
        <f>'Cash Flow'!G50</f>
        <v>-1291247.7599143521</v>
      </c>
      <c r="M77" s="105">
        <f>'Cash Flow'!H50</f>
        <v>-763096.40846999059</v>
      </c>
      <c r="N77" s="43">
        <f>'Cash Flow'!I50</f>
        <v>423101.50610231142</v>
      </c>
      <c r="O77" s="43">
        <f>'Cash Flow'!J50</f>
        <v>2537825.5348636787</v>
      </c>
      <c r="P77" s="43">
        <f>'Cash Flow'!K50</f>
        <v>5976668.7927516438</v>
      </c>
      <c r="Q77" s="43">
        <f>'Cash Flow'!L50</f>
        <v>11317031.120839378</v>
      </c>
      <c r="R77" s="43">
        <f>'Cash Flow'!M50</f>
        <v>19400596.936507385</v>
      </c>
      <c r="S77" s="43">
        <f>'Cash Flow'!N50</f>
        <v>31453316.764042757</v>
      </c>
      <c r="T77" s="43">
        <f>'Cash Flow'!O50</f>
        <v>49259938.370333694</v>
      </c>
      <c r="U77" s="43">
        <f>'Cash Flow'!P50</f>
        <v>75417881.684756637</v>
      </c>
      <c r="V77" s="43">
        <f>'Cash Flow'!Q50</f>
        <v>113706521.86104371</v>
      </c>
      <c r="W77" s="43">
        <f>'Cash Flow'!R50</f>
        <v>169624337.81739178</v>
      </c>
      <c r="X77" s="43">
        <f>'Cash Flow'!S50</f>
        <v>251170227.91547287</v>
      </c>
      <c r="Y77" s="43">
        <f>'Cash Flow'!T50</f>
        <v>369979977.08546448</v>
      </c>
      <c r="Z77" s="43">
        <f>'Cash Flow'!U50</f>
        <v>542979307.18340826</v>
      </c>
      <c r="AA77" s="43">
        <f>'Cash Flow'!V50</f>
        <v>794788320.51277626</v>
      </c>
      <c r="AB77" s="43">
        <f>'Cash Flow'!W50</f>
        <v>1161218878.2848039</v>
      </c>
      <c r="AC77" s="43">
        <f>'Cash Flow'!X50</f>
        <v>1694361702.1038013</v>
      </c>
    </row>
  </sheetData>
  <mergeCells count="41">
    <mergeCell ref="B46:E46"/>
    <mergeCell ref="B22:C22"/>
    <mergeCell ref="B21:C21"/>
    <mergeCell ref="B31:C31"/>
    <mergeCell ref="B30:C30"/>
    <mergeCell ref="B29:C29"/>
    <mergeCell ref="B28:C28"/>
    <mergeCell ref="B27:C27"/>
    <mergeCell ref="B26:C26"/>
    <mergeCell ref="B25:C25"/>
    <mergeCell ref="B24:C24"/>
    <mergeCell ref="B23:C23"/>
    <mergeCell ref="B45:C45"/>
    <mergeCell ref="B44:C44"/>
    <mergeCell ref="B42:C42"/>
    <mergeCell ref="B41:C41"/>
    <mergeCell ref="B40:C40"/>
    <mergeCell ref="B38:E38"/>
    <mergeCell ref="B4:E4"/>
    <mergeCell ref="B39:C39"/>
    <mergeCell ref="B43:C43"/>
    <mergeCell ref="B20:C20"/>
    <mergeCell ref="B19:C19"/>
    <mergeCell ref="B18:C18"/>
    <mergeCell ref="B17:C17"/>
    <mergeCell ref="B16:C16"/>
    <mergeCell ref="B15:C15"/>
    <mergeCell ref="B36:E36"/>
    <mergeCell ref="B32:E32"/>
    <mergeCell ref="B33:C33"/>
    <mergeCell ref="B35:C35"/>
    <mergeCell ref="B34:C34"/>
    <mergeCell ref="B2:E2"/>
    <mergeCell ref="B11:E11"/>
    <mergeCell ref="B13:C13"/>
    <mergeCell ref="B14:C14"/>
    <mergeCell ref="B10:E10"/>
    <mergeCell ref="B5:E5"/>
    <mergeCell ref="B6:E6"/>
    <mergeCell ref="B7:E7"/>
    <mergeCell ref="B8:E8"/>
  </mergeCells>
  <hyperlinks>
    <hyperlink ref="G56" location="Cost!A1" display="Cost!B2" xr:uid="{B6DE726A-2D9D-3A41-91F3-B35D2528EEDA}"/>
    <hyperlink ref="G53" location="Revenue!B2" display="Revenue!B2" xr:uid="{65ECC44B-9EBA-AA45-AA1C-F7BE391D62F5}"/>
    <hyperlink ref="B32:E32" location="Revenue!B2" display="(detailed assumptions in &quot;Revenue&quot; spreadsheet)" xr:uid="{D455D358-03DC-AA4A-9829-C9E6AF4BBAA6}"/>
    <hyperlink ref="B36:E36" location="Cost!B2" display="(detailed assumptions in &quot;Cost&quot; spreadsheet)" xr:uid="{96933964-E1D0-FE45-875C-61E3CFAE8017}"/>
    <hyperlink ref="B46:E46" location="Indicators!B2" display="(more in &quot;Indicators&quot; spreadsheet)" xr:uid="{31CA7230-5504-EE48-87EA-35867F5BB14A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48BB-F512-D340-9A36-990E253E77E7}">
  <sheetPr>
    <tabColor theme="7" tint="0.59999389629810485"/>
  </sheetPr>
  <dimension ref="A2:E18"/>
  <sheetViews>
    <sheetView topLeftCell="B1" zoomScale="125" workbookViewId="0">
      <selection activeCell="E12" sqref="E12"/>
    </sheetView>
  </sheetViews>
  <sheetFormatPr baseColWidth="10" defaultRowHeight="16" x14ac:dyDescent="0.2"/>
  <cols>
    <col min="2" max="2" width="41.5" customWidth="1"/>
    <col min="3" max="3" width="18.6640625" customWidth="1"/>
    <col min="4" max="4" width="17.1640625" customWidth="1"/>
    <col min="5" max="5" width="11.6640625" customWidth="1"/>
  </cols>
  <sheetData>
    <row r="2" spans="1:5" ht="26" customHeight="1" x14ac:dyDescent="0.2">
      <c r="B2" s="243" t="s">
        <v>147</v>
      </c>
      <c r="C2" s="244"/>
      <c r="D2" s="244"/>
    </row>
    <row r="3" spans="1:5" ht="26" customHeight="1" x14ac:dyDescent="0.2">
      <c r="B3" s="243"/>
      <c r="C3" s="244"/>
      <c r="D3" s="244"/>
    </row>
    <row r="5" spans="1:5" x14ac:dyDescent="0.2">
      <c r="B5" s="155" t="s">
        <v>321</v>
      </c>
    </row>
    <row r="8" spans="1:5" x14ac:dyDescent="0.2">
      <c r="B8" s="35" t="s">
        <v>148</v>
      </c>
      <c r="C8" s="35" t="s">
        <v>155</v>
      </c>
      <c r="D8" s="35" t="s">
        <v>156</v>
      </c>
      <c r="E8" s="35" t="s">
        <v>157</v>
      </c>
    </row>
    <row r="9" spans="1:5" x14ac:dyDescent="0.2">
      <c r="A9" t="s">
        <v>320</v>
      </c>
      <c r="B9" s="30" t="s">
        <v>149</v>
      </c>
      <c r="C9" s="42">
        <v>45383</v>
      </c>
      <c r="D9">
        <v>365</v>
      </c>
      <c r="E9" s="42">
        <f>C9+D9</f>
        <v>45748</v>
      </c>
    </row>
    <row r="10" spans="1:5" x14ac:dyDescent="0.2">
      <c r="B10" s="30" t="s">
        <v>151</v>
      </c>
      <c r="C10" s="42">
        <v>45383</v>
      </c>
      <c r="D10">
        <v>90</v>
      </c>
      <c r="E10" s="42">
        <f>C10+D10</f>
        <v>45473</v>
      </c>
    </row>
    <row r="11" spans="1:5" x14ac:dyDescent="0.2">
      <c r="B11" s="30" t="s">
        <v>152</v>
      </c>
      <c r="C11" s="42">
        <v>45658</v>
      </c>
      <c r="D11">
        <v>90</v>
      </c>
      <c r="E11" s="42">
        <f t="shared" ref="E11:E17" si="0">C11+D11</f>
        <v>45748</v>
      </c>
    </row>
    <row r="12" spans="1:5" x14ac:dyDescent="0.2">
      <c r="B12" s="30" t="s">
        <v>316</v>
      </c>
      <c r="C12" s="42">
        <v>45383</v>
      </c>
      <c r="D12">
        <v>90</v>
      </c>
      <c r="E12" s="42">
        <f t="shared" si="0"/>
        <v>45473</v>
      </c>
    </row>
    <row r="13" spans="1:5" x14ac:dyDescent="0.2">
      <c r="B13" s="30" t="s">
        <v>315</v>
      </c>
      <c r="C13" s="42">
        <v>45413</v>
      </c>
      <c r="D13">
        <v>365</v>
      </c>
      <c r="E13" s="42">
        <f t="shared" si="0"/>
        <v>45778</v>
      </c>
    </row>
    <row r="14" spans="1:5" x14ac:dyDescent="0.2">
      <c r="B14" s="30" t="s">
        <v>150</v>
      </c>
      <c r="C14" s="42">
        <v>45383</v>
      </c>
      <c r="D14">
        <v>90</v>
      </c>
      <c r="E14" s="42">
        <f t="shared" si="0"/>
        <v>45473</v>
      </c>
    </row>
    <row r="15" spans="1:5" x14ac:dyDescent="0.2">
      <c r="B15" s="30" t="s">
        <v>317</v>
      </c>
      <c r="C15" s="42">
        <v>45658</v>
      </c>
      <c r="D15">
        <v>90</v>
      </c>
      <c r="E15" s="42">
        <f t="shared" si="0"/>
        <v>45748</v>
      </c>
    </row>
    <row r="16" spans="1:5" x14ac:dyDescent="0.2">
      <c r="B16" s="30" t="s">
        <v>153</v>
      </c>
      <c r="C16" s="42">
        <v>45383</v>
      </c>
      <c r="D16">
        <v>5</v>
      </c>
      <c r="E16" s="42">
        <f t="shared" si="0"/>
        <v>45388</v>
      </c>
    </row>
    <row r="17" spans="2:5" x14ac:dyDescent="0.2">
      <c r="B17" s="30" t="s">
        <v>318</v>
      </c>
      <c r="C17" s="42">
        <v>45658</v>
      </c>
      <c r="D17">
        <v>120</v>
      </c>
      <c r="E17" s="42">
        <f t="shared" si="0"/>
        <v>45778</v>
      </c>
    </row>
    <row r="18" spans="2:5" x14ac:dyDescent="0.2">
      <c r="B18" s="30" t="s">
        <v>154</v>
      </c>
      <c r="C18" s="42">
        <v>45658</v>
      </c>
      <c r="D18">
        <v>90</v>
      </c>
      <c r="E18" s="42">
        <f>C18+D18</f>
        <v>45748</v>
      </c>
    </row>
  </sheetData>
  <mergeCells count="1">
    <mergeCell ref="B2:D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4F2C-B6A0-DC46-ABC9-EBC8D3151BE2}">
  <sheetPr>
    <tabColor theme="0" tint="-0.249977111117893"/>
  </sheetPr>
  <dimension ref="B2:G42"/>
  <sheetViews>
    <sheetView zoomScale="111" workbookViewId="0">
      <selection activeCell="B6" sqref="B6:D6"/>
    </sheetView>
  </sheetViews>
  <sheetFormatPr baseColWidth="10" defaultRowHeight="16" x14ac:dyDescent="0.2"/>
  <sheetData>
    <row r="2" spans="2:7" x14ac:dyDescent="0.2">
      <c r="B2" s="245" t="s">
        <v>0</v>
      </c>
      <c r="C2" s="246"/>
      <c r="D2" s="246"/>
      <c r="E2" s="246"/>
      <c r="F2" s="246"/>
      <c r="G2" s="246"/>
    </row>
    <row r="3" spans="2:7" x14ac:dyDescent="0.2">
      <c r="B3" s="247"/>
      <c r="C3" s="248"/>
      <c r="D3" s="248"/>
      <c r="E3" s="248"/>
      <c r="F3" s="248"/>
      <c r="G3" s="248"/>
    </row>
    <row r="6" spans="2:7" ht="19" x14ac:dyDescent="0.25">
      <c r="B6" s="249" t="s">
        <v>307</v>
      </c>
      <c r="C6" s="249"/>
      <c r="D6" s="249"/>
    </row>
    <row r="8" spans="2:7" x14ac:dyDescent="0.2">
      <c r="B8" t="s">
        <v>178</v>
      </c>
    </row>
    <row r="9" spans="2:7" x14ac:dyDescent="0.2">
      <c r="B9" t="s">
        <v>177</v>
      </c>
    </row>
    <row r="10" spans="2:7" x14ac:dyDescent="0.2">
      <c r="B10" t="s">
        <v>297</v>
      </c>
    </row>
    <row r="11" spans="2:7" x14ac:dyDescent="0.2">
      <c r="B11" t="s">
        <v>298</v>
      </c>
    </row>
    <row r="12" spans="2:7" x14ac:dyDescent="0.2">
      <c r="B12" t="s">
        <v>299</v>
      </c>
    </row>
    <row r="13" spans="2:7" x14ac:dyDescent="0.2">
      <c r="B13" t="s">
        <v>300</v>
      </c>
    </row>
    <row r="14" spans="2:7" x14ac:dyDescent="0.2">
      <c r="B14" t="s">
        <v>301</v>
      </c>
    </row>
    <row r="15" spans="2:7" x14ac:dyDescent="0.2">
      <c r="B15" t="s">
        <v>302</v>
      </c>
    </row>
    <row r="16" spans="2:7" x14ac:dyDescent="0.2">
      <c r="B16" t="s">
        <v>303</v>
      </c>
    </row>
    <row r="17" spans="2:4" x14ac:dyDescent="0.2">
      <c r="B17" t="s">
        <v>304</v>
      </c>
    </row>
    <row r="18" spans="2:4" x14ac:dyDescent="0.2">
      <c r="B18" t="s">
        <v>305</v>
      </c>
    </row>
    <row r="19" spans="2:4" x14ac:dyDescent="0.2">
      <c r="B19" t="s">
        <v>306</v>
      </c>
    </row>
    <row r="20" spans="2:4" x14ac:dyDescent="0.2">
      <c r="B20" t="s">
        <v>122</v>
      </c>
    </row>
    <row r="21" spans="2:4" x14ac:dyDescent="0.2">
      <c r="B21" t="s">
        <v>6</v>
      </c>
    </row>
    <row r="22" spans="2:4" x14ac:dyDescent="0.2">
      <c r="B22" t="s">
        <v>84</v>
      </c>
    </row>
    <row r="23" spans="2:4" x14ac:dyDescent="0.2">
      <c r="B23" t="s">
        <v>83</v>
      </c>
    </row>
    <row r="24" spans="2:4" x14ac:dyDescent="0.2">
      <c r="B24" t="s">
        <v>124</v>
      </c>
    </row>
    <row r="25" spans="2:4" x14ac:dyDescent="0.2">
      <c r="B25" t="s">
        <v>308</v>
      </c>
    </row>
    <row r="26" spans="2:4" x14ac:dyDescent="0.2">
      <c r="B26" t="s">
        <v>309</v>
      </c>
    </row>
    <row r="27" spans="2:4" x14ac:dyDescent="0.2">
      <c r="B27" t="s">
        <v>256</v>
      </c>
    </row>
    <row r="28" spans="2:4" x14ac:dyDescent="0.2">
      <c r="B28" t="s">
        <v>117</v>
      </c>
    </row>
    <row r="31" spans="2:4" ht="19" x14ac:dyDescent="0.25">
      <c r="B31" s="249" t="s">
        <v>296</v>
      </c>
      <c r="C31" s="249"/>
      <c r="D31" s="249"/>
    </row>
    <row r="33" spans="2:4" x14ac:dyDescent="0.2">
      <c r="B33" s="51" t="s">
        <v>178</v>
      </c>
    </row>
    <row r="34" spans="2:4" x14ac:dyDescent="0.2">
      <c r="B34" s="51" t="s">
        <v>310</v>
      </c>
    </row>
    <row r="35" spans="2:4" x14ac:dyDescent="0.2">
      <c r="B35" t="s">
        <v>45</v>
      </c>
    </row>
    <row r="38" spans="2:4" ht="19" x14ac:dyDescent="0.25">
      <c r="B38" s="249" t="s">
        <v>311</v>
      </c>
      <c r="C38" s="249"/>
      <c r="D38" s="249"/>
    </row>
    <row r="39" spans="2:4" ht="19" x14ac:dyDescent="0.25">
      <c r="B39" s="150"/>
      <c r="C39" s="150"/>
      <c r="D39" s="150"/>
    </row>
    <row r="40" spans="2:4" x14ac:dyDescent="0.2">
      <c r="B40" t="s">
        <v>24</v>
      </c>
    </row>
    <row r="41" spans="2:4" x14ac:dyDescent="0.2">
      <c r="B41" t="s">
        <v>5</v>
      </c>
    </row>
    <row r="42" spans="2:4" x14ac:dyDescent="0.2">
      <c r="B42" t="s">
        <v>7</v>
      </c>
    </row>
  </sheetData>
  <mergeCells count="4">
    <mergeCell ref="B2:G3"/>
    <mergeCell ref="B6:D6"/>
    <mergeCell ref="B31:D31"/>
    <mergeCell ref="B38:D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C5B2-3193-C245-BC11-D17D7A7B3A43}">
  <sheetPr>
    <tabColor theme="2" tint="-0.499984740745262"/>
  </sheetPr>
  <dimension ref="B2:F111"/>
  <sheetViews>
    <sheetView zoomScale="86" workbookViewId="0">
      <selection activeCell="M27" sqref="M27"/>
    </sheetView>
  </sheetViews>
  <sheetFormatPr baseColWidth="10" defaultRowHeight="16" x14ac:dyDescent="0.2"/>
  <cols>
    <col min="3" max="3" width="19.83203125" customWidth="1"/>
  </cols>
  <sheetData>
    <row r="2" spans="2:6" ht="16" customHeight="1" x14ac:dyDescent="0.2">
      <c r="B2" s="250" t="s">
        <v>158</v>
      </c>
      <c r="C2" s="250"/>
      <c r="D2" s="250"/>
      <c r="E2" s="250"/>
      <c r="F2" s="250"/>
    </row>
    <row r="3" spans="2:6" ht="16" customHeight="1" x14ac:dyDescent="0.2">
      <c r="B3" s="250"/>
      <c r="C3" s="250"/>
      <c r="D3" s="250"/>
      <c r="E3" s="250"/>
      <c r="F3" s="250"/>
    </row>
    <row r="6" spans="2:6" ht="19" x14ac:dyDescent="0.25">
      <c r="B6" s="249" t="s">
        <v>322</v>
      </c>
      <c r="C6" s="249"/>
      <c r="D6" s="249"/>
    </row>
    <row r="8" spans="2:6" x14ac:dyDescent="0.2">
      <c r="B8" s="4" t="s">
        <v>323</v>
      </c>
    </row>
    <row r="9" spans="2:6" x14ac:dyDescent="0.2">
      <c r="B9" s="4" t="s">
        <v>324</v>
      </c>
    </row>
    <row r="10" spans="2:6" x14ac:dyDescent="0.2">
      <c r="B10" s="4" t="s">
        <v>325</v>
      </c>
    </row>
    <row r="11" spans="2:6" x14ac:dyDescent="0.2">
      <c r="B11" s="4" t="s">
        <v>326</v>
      </c>
    </row>
    <row r="12" spans="2:6" x14ac:dyDescent="0.2">
      <c r="B12" s="4" t="s">
        <v>327</v>
      </c>
    </row>
    <row r="13" spans="2:6" x14ac:dyDescent="0.2">
      <c r="B13" s="4" t="s">
        <v>328</v>
      </c>
    </row>
    <row r="14" spans="2:6" x14ac:dyDescent="0.2">
      <c r="B14" s="4" t="s">
        <v>329</v>
      </c>
    </row>
    <row r="17" spans="2:4" ht="19" x14ac:dyDescent="0.25">
      <c r="B17" s="249" t="s">
        <v>330</v>
      </c>
      <c r="C17" s="249"/>
      <c r="D17" s="249"/>
    </row>
    <row r="19" spans="2:4" x14ac:dyDescent="0.2">
      <c r="B19" s="4" t="s">
        <v>331</v>
      </c>
    </row>
    <row r="20" spans="2:4" x14ac:dyDescent="0.2">
      <c r="B20" s="4" t="s">
        <v>332</v>
      </c>
    </row>
    <row r="21" spans="2:4" x14ac:dyDescent="0.2">
      <c r="B21" s="4" t="s">
        <v>333</v>
      </c>
    </row>
    <row r="22" spans="2:4" x14ac:dyDescent="0.2">
      <c r="B22" s="4" t="s">
        <v>334</v>
      </c>
    </row>
    <row r="25" spans="2:4" ht="19" x14ac:dyDescent="0.25">
      <c r="B25" s="249" t="s">
        <v>335</v>
      </c>
      <c r="C25" s="249"/>
      <c r="D25" s="249"/>
    </row>
    <row r="27" spans="2:4" x14ac:dyDescent="0.2">
      <c r="B27" s="4" t="s">
        <v>336</v>
      </c>
    </row>
    <row r="28" spans="2:4" x14ac:dyDescent="0.2">
      <c r="B28" s="4" t="s">
        <v>337</v>
      </c>
    </row>
    <row r="29" spans="2:4" x14ac:dyDescent="0.2">
      <c r="B29" s="4" t="s">
        <v>338</v>
      </c>
    </row>
    <row r="30" spans="2:4" x14ac:dyDescent="0.2">
      <c r="B30" s="4" t="s">
        <v>339</v>
      </c>
    </row>
    <row r="31" spans="2:4" x14ac:dyDescent="0.2">
      <c r="B31" s="4" t="s">
        <v>340</v>
      </c>
    </row>
    <row r="34" spans="2:4" ht="19" x14ac:dyDescent="0.25">
      <c r="B34" s="249" t="s">
        <v>341</v>
      </c>
      <c r="C34" s="249"/>
      <c r="D34" s="249"/>
    </row>
    <row r="36" spans="2:4" x14ac:dyDescent="0.2">
      <c r="B36" s="4" t="s">
        <v>342</v>
      </c>
    </row>
    <row r="37" spans="2:4" x14ac:dyDescent="0.2">
      <c r="B37" s="4" t="s">
        <v>343</v>
      </c>
    </row>
    <row r="38" spans="2:4" x14ac:dyDescent="0.2">
      <c r="B38" s="4" t="s">
        <v>344</v>
      </c>
    </row>
    <row r="39" spans="2:4" x14ac:dyDescent="0.2">
      <c r="B39" s="4" t="s">
        <v>345</v>
      </c>
    </row>
    <row r="42" spans="2:4" ht="19" x14ac:dyDescent="0.25">
      <c r="B42" s="249" t="s">
        <v>346</v>
      </c>
      <c r="C42" s="249"/>
      <c r="D42" s="249"/>
    </row>
    <row r="44" spans="2:4" x14ac:dyDescent="0.2">
      <c r="B44" s="4" t="s">
        <v>347</v>
      </c>
    </row>
    <row r="45" spans="2:4" x14ac:dyDescent="0.2">
      <c r="B45" s="4" t="s">
        <v>348</v>
      </c>
    </row>
    <row r="48" spans="2:4" ht="19" x14ac:dyDescent="0.25">
      <c r="B48" s="249" t="s">
        <v>159</v>
      </c>
      <c r="C48" s="249"/>
      <c r="D48" s="249"/>
    </row>
    <row r="49" spans="2:4" ht="19" x14ac:dyDescent="0.25">
      <c r="B49" s="40"/>
      <c r="C49" s="40"/>
    </row>
    <row r="50" spans="2:4" x14ac:dyDescent="0.2">
      <c r="B50" t="s">
        <v>160</v>
      </c>
    </row>
    <row r="51" spans="2:4" x14ac:dyDescent="0.2">
      <c r="B51" t="s">
        <v>173</v>
      </c>
    </row>
    <row r="52" spans="2:4" x14ac:dyDescent="0.2">
      <c r="B52" t="s">
        <v>174</v>
      </c>
    </row>
    <row r="53" spans="2:4" x14ac:dyDescent="0.2">
      <c r="B53" t="s">
        <v>179</v>
      </c>
    </row>
    <row r="56" spans="2:4" ht="19" x14ac:dyDescent="0.25">
      <c r="B56" s="249" t="s">
        <v>161</v>
      </c>
      <c r="C56" s="249"/>
      <c r="D56" s="249"/>
    </row>
    <row r="58" spans="2:4" x14ac:dyDescent="0.2">
      <c r="B58" t="s">
        <v>349</v>
      </c>
    </row>
    <row r="59" spans="2:4" x14ac:dyDescent="0.2">
      <c r="B59" t="s">
        <v>350</v>
      </c>
    </row>
    <row r="61" spans="2:4" x14ac:dyDescent="0.2">
      <c r="B61" t="s">
        <v>31</v>
      </c>
    </row>
    <row r="62" spans="2:4" x14ac:dyDescent="0.2">
      <c r="B62" t="s">
        <v>180</v>
      </c>
    </row>
    <row r="96" spans="2:4" ht="19" x14ac:dyDescent="0.25">
      <c r="B96" s="249" t="s">
        <v>165</v>
      </c>
      <c r="C96" s="249"/>
      <c r="D96" s="249"/>
    </row>
    <row r="97" spans="2:4" ht="19" x14ac:dyDescent="0.25">
      <c r="B97" s="40"/>
      <c r="C97" s="40"/>
    </row>
    <row r="98" spans="2:4" x14ac:dyDescent="0.2">
      <c r="B98" t="s">
        <v>166</v>
      </c>
    </row>
    <row r="99" spans="2:4" x14ac:dyDescent="0.2">
      <c r="B99" t="s">
        <v>167</v>
      </c>
    </row>
    <row r="100" spans="2:4" x14ac:dyDescent="0.2">
      <c r="B100" t="s">
        <v>169</v>
      </c>
    </row>
    <row r="101" spans="2:4" x14ac:dyDescent="0.2">
      <c r="B101" t="s">
        <v>170</v>
      </c>
    </row>
    <row r="102" spans="2:4" x14ac:dyDescent="0.2">
      <c r="B102" t="s">
        <v>171</v>
      </c>
    </row>
    <row r="104" spans="2:4" x14ac:dyDescent="0.2">
      <c r="B104" t="s">
        <v>163</v>
      </c>
    </row>
    <row r="105" spans="2:4" x14ac:dyDescent="0.2">
      <c r="B105" t="s">
        <v>164</v>
      </c>
    </row>
    <row r="106" spans="2:4" x14ac:dyDescent="0.2">
      <c r="B106" t="s">
        <v>168</v>
      </c>
    </row>
    <row r="109" spans="2:4" ht="19" x14ac:dyDescent="0.25">
      <c r="B109" s="249" t="s">
        <v>162</v>
      </c>
      <c r="C109" s="249"/>
      <c r="D109" s="249"/>
    </row>
    <row r="111" spans="2:4" x14ac:dyDescent="0.2">
      <c r="B111" t="s">
        <v>172</v>
      </c>
    </row>
  </sheetData>
  <mergeCells count="10">
    <mergeCell ref="B109:D109"/>
    <mergeCell ref="B96:D96"/>
    <mergeCell ref="B2:F3"/>
    <mergeCell ref="B6:D6"/>
    <mergeCell ref="B17:D17"/>
    <mergeCell ref="B25:D25"/>
    <mergeCell ref="B34:D34"/>
    <mergeCell ref="B42:D42"/>
    <mergeCell ref="B48:D48"/>
    <mergeCell ref="B56:D56"/>
  </mergeCells>
  <hyperlinks>
    <hyperlink ref="B8" r:id="rId1" display="https://www-statista-com.manchester.idm.oclc.org/forecasts/456524/digital-music-revenue-in-the-world-forecast" xr:uid="{4876B135-BB48-FE45-960B-FE61F24FE7BE}"/>
    <hyperlink ref="B9" r:id="rId2" display="https://www-statista-com.manchester.idm.oclc.org/statistics/813713/spotify-revenue/" xr:uid="{3C3D661D-8724-C447-9108-67D7157315E6}"/>
    <hyperlink ref="B10" r:id="rId3" display="https://www-statista-com.manchester.idm.oclc.org/statistics/272305/global-revenue-of-the-music-industry/" xr:uid="{619BAAEE-AB80-EE4B-AE48-AD5BB8308822}"/>
    <hyperlink ref="B11" r:id="rId4" display="https://www-statista-com.manchester.idm.oclc.org/statistics/272520/market-share-of-the-largest-music-publishers-worldwide/" xr:uid="{C51E6089-4182-F443-9588-71D444614A07}"/>
    <hyperlink ref="B12" r:id="rId5" display="https://www-statista-com.manchester.idm.oclc.org/statistics/537066/growth-music-streaming-revenue/" xr:uid="{187C1C3A-6983-6040-8E70-40AE591A1468}"/>
    <hyperlink ref="B13" r:id="rId6" display="https://www-statista-com.manchester.idm.oclc.org/statistics/587216/music-streaming-revenue/" xr:uid="{37358FB4-1287-0847-AC6E-7E660DED7AE9}"/>
    <hyperlink ref="B14" r:id="rId7" display="https://www-statista-com.manchester.idm.oclc.org/statistics/289658/youtube-global-net-advertising-revenues/" xr:uid="{FEA1B98D-ADB6-3443-A80A-62E82237E784}"/>
    <hyperlink ref="B19" r:id="rId8" display="https://www-statista-com.manchester.idm.oclc.org/statistics/245137/spotifys-cost-of-goods-sold/" xr:uid="{94A59FCF-8DBD-7541-BEEA-A0D78C561CB2}"/>
    <hyperlink ref="B20" r:id="rId9" display="https://www-statista-com.manchester.idm.oclc.org/statistics/813751/spotify-research-development-costs/" xr:uid="{F4751EB0-D80E-EB4C-9C2B-32453A1B4549}"/>
    <hyperlink ref="B21" r:id="rId10" display="https://www-statista-com.manchester.idm.oclc.org/statistics/813757/spotify-sales-marketing-costs/" xr:uid="{B0A11C66-247B-EA4F-99AB-91EC7F2BEE41}"/>
    <hyperlink ref="B22" r:id="rId11" display="https://www-statista-com.manchester.idm.oclc.org/statistics/245137/spotifys-cost-of-goods-sold/" xr:uid="{30907BED-2B02-5342-B34D-DDCFE93A4CFB}"/>
    <hyperlink ref="B27" r:id="rId12" display="https://www-statista-com.manchester.idm.oclc.org/forecasts/456497/digital-media-users-in-the-world-forecast" xr:uid="{3ED47CE8-EBB1-8144-A255-FF84B746A796}"/>
    <hyperlink ref="B28" r:id="rId13" display="https://www-statista-com.manchester.idm.oclc.org/forecasts/456558/digital-music-users-in-the-world-forecast" xr:uid="{E31397B3-2CD0-1547-A31E-23C9B57AF4FC}"/>
    <hyperlink ref="B29" r:id="rId14" display="https://www-statista-com.manchester.idm.oclc.org/statistics/1339576/most-well-known-digital-music-brands-in-the-uk/" xr:uid="{34FBA2FC-6571-CD4F-BE6B-646B54AEFF1B}"/>
    <hyperlink ref="B30" r:id="rId15" display="https://www-statista-com.manchester.idm.oclc.org/study/44526/digital-media-report/" xr:uid="{37750DD0-E1BD-1A44-83F6-6A3C3B185CCE}"/>
    <hyperlink ref="B31" r:id="rId16" location="topicOverview" display="https://www-statista-com.manchester.idm.oclc.org/topics/6408/music-streaming/ - topicOverview" xr:uid="{335B9CD3-F4AD-6F4E-AC33-75961F26F7DD}"/>
    <hyperlink ref="B36" r:id="rId17" display="https://www-statista-com.manchester.idm.oclc.org/study/108987/audio-advertising-in-the-united-states/" xr:uid="{0EA74CFD-6EAE-624B-A064-DE3E76D39847}"/>
    <hyperlink ref="B37" r:id="rId18" display="https://www-statista-com.manchester.idm.oclc.org/outlook/dmo/digital-media/digital-music/music-streaming-advertising/worldwide" xr:uid="{B6B33962-6C47-B14A-84EC-1045D8D2C2CB}"/>
    <hyperlink ref="B38" r:id="rId19" display="https://www-statista-com.manchester.idm.oclc.org/outlook/dmo/digital-advertising/in-app-advertising/worldwide" xr:uid="{30141CC5-D9FA-FF41-A14F-6CC2622CEE3B}"/>
    <hyperlink ref="B39" r:id="rId20" display="https://www-marketresearch-com.manchester.idm.oclc.org/academic/Product/15932888" xr:uid="{368A17AA-0C58-4147-B723-8783D8DB75B2}"/>
    <hyperlink ref="B44" r:id="rId21" display="https://www-statista-com.manchester.idm.oclc.org/statistics/813824/spotify-gross-profit-segment/" xr:uid="{CE3E5F6C-0891-A143-8218-9D4B2E978DF8}"/>
    <hyperlink ref="B45" r:id="rId22" display="https://www-marketresearch-com.manchester.idm.oclc.org/academic/Product/15932888" xr:uid="{0BF01DD2-75B6-2F40-B69C-B29307AE4F25}"/>
  </hyperlinks>
  <pageMargins left="0.7" right="0.7" top="0.75" bottom="0.75" header="0.3" footer="0.3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06BC-C9F5-2640-B0DE-435B075E03B2}">
  <sheetPr>
    <tabColor theme="9" tint="-0.249977111117893"/>
  </sheetPr>
  <dimension ref="B2:AA63"/>
  <sheetViews>
    <sheetView topLeftCell="A40" zoomScale="93" zoomScaleNormal="266" workbookViewId="0">
      <selection activeCell="X44" sqref="X44"/>
    </sheetView>
  </sheetViews>
  <sheetFormatPr baseColWidth="10" defaultRowHeight="16" x14ac:dyDescent="0.2"/>
  <cols>
    <col min="1" max="1" width="7.83203125" customWidth="1"/>
    <col min="2" max="2" width="12.83203125" customWidth="1"/>
    <col min="3" max="3" width="30.33203125" bestFit="1" customWidth="1"/>
    <col min="4" max="4" width="20" customWidth="1"/>
    <col min="5" max="5" width="19.1640625" bestFit="1" customWidth="1"/>
    <col min="6" max="7" width="14.33203125" bestFit="1" customWidth="1"/>
    <col min="8" max="8" width="15.33203125" bestFit="1" customWidth="1"/>
    <col min="9" max="12" width="14.83203125" bestFit="1" customWidth="1"/>
    <col min="13" max="17" width="15.83203125" bestFit="1" customWidth="1"/>
    <col min="18" max="22" width="17.5" bestFit="1" customWidth="1"/>
    <col min="23" max="24" width="18.5" bestFit="1" customWidth="1"/>
    <col min="26" max="26" width="28.5" customWidth="1"/>
  </cols>
  <sheetData>
    <row r="2" spans="2:24" ht="16" customHeight="1" x14ac:dyDescent="0.2">
      <c r="B2" s="185" t="s">
        <v>88</v>
      </c>
      <c r="C2" s="186"/>
      <c r="D2" s="186"/>
      <c r="E2" s="186"/>
      <c r="F2" s="187"/>
    </row>
    <row r="3" spans="2:24" ht="16" customHeight="1" x14ac:dyDescent="0.2">
      <c r="B3" s="188"/>
      <c r="C3" s="189"/>
      <c r="D3" s="189"/>
      <c r="E3" s="189"/>
      <c r="F3" s="190"/>
    </row>
    <row r="6" spans="2:24" ht="21" x14ac:dyDescent="0.25">
      <c r="B6" s="191" t="s">
        <v>283</v>
      </c>
      <c r="C6" s="191"/>
    </row>
    <row r="8" spans="2:24" x14ac:dyDescent="0.2">
      <c r="C8" s="111" t="s">
        <v>89</v>
      </c>
      <c r="D8" s="107">
        <v>2024</v>
      </c>
      <c r="E8" s="107">
        <v>2025</v>
      </c>
      <c r="F8" s="107">
        <v>2026</v>
      </c>
      <c r="G8" s="107">
        <v>2027</v>
      </c>
      <c r="H8" s="107">
        <v>2028</v>
      </c>
      <c r="I8" s="107">
        <v>2029</v>
      </c>
      <c r="J8" s="107">
        <v>2030</v>
      </c>
      <c r="K8" s="107">
        <v>2031</v>
      </c>
      <c r="L8" s="107">
        <v>2032</v>
      </c>
      <c r="M8" s="107">
        <v>2033</v>
      </c>
      <c r="N8" s="107">
        <v>2034</v>
      </c>
      <c r="O8" s="107">
        <v>2035</v>
      </c>
      <c r="P8" s="107">
        <v>2036</v>
      </c>
      <c r="Q8" s="107">
        <v>2037</v>
      </c>
      <c r="R8" s="107">
        <v>2038</v>
      </c>
      <c r="S8" s="107">
        <v>2039</v>
      </c>
      <c r="T8" s="107">
        <v>2040</v>
      </c>
      <c r="U8" s="107">
        <v>2041</v>
      </c>
      <c r="V8" s="107">
        <v>2042</v>
      </c>
      <c r="W8" s="107">
        <v>2043</v>
      </c>
      <c r="X8" s="107">
        <v>2044</v>
      </c>
    </row>
    <row r="9" spans="2:24" x14ac:dyDescent="0.2">
      <c r="C9" s="112" t="s">
        <v>46</v>
      </c>
      <c r="D9" s="31">
        <v>0</v>
      </c>
      <c r="E9" s="31">
        <v>1</v>
      </c>
      <c r="F9" s="31">
        <v>2</v>
      </c>
      <c r="G9" s="31">
        <v>3</v>
      </c>
      <c r="H9" s="31">
        <v>4</v>
      </c>
      <c r="I9" s="31">
        <v>5</v>
      </c>
      <c r="J9" s="31">
        <v>6</v>
      </c>
      <c r="K9" s="31">
        <v>7</v>
      </c>
      <c r="L9" s="31">
        <v>8</v>
      </c>
      <c r="M9" s="31">
        <v>9</v>
      </c>
      <c r="N9" s="31">
        <v>10</v>
      </c>
      <c r="O9" s="31">
        <v>11</v>
      </c>
      <c r="P9" s="31">
        <v>12</v>
      </c>
      <c r="Q9" s="31">
        <v>13</v>
      </c>
      <c r="R9" s="31">
        <v>14</v>
      </c>
      <c r="S9" s="31">
        <v>15</v>
      </c>
      <c r="T9" s="31">
        <v>16</v>
      </c>
      <c r="U9" s="31">
        <v>17</v>
      </c>
      <c r="V9" s="31">
        <v>18</v>
      </c>
      <c r="W9" s="31">
        <v>19</v>
      </c>
      <c r="X9" s="31">
        <v>20</v>
      </c>
    </row>
    <row r="10" spans="2:24" x14ac:dyDescent="0.2">
      <c r="C10" s="113" t="s">
        <v>90</v>
      </c>
      <c r="D10" s="109">
        <v>0</v>
      </c>
      <c r="E10" s="110">
        <f>Revenue!D13</f>
        <v>50000</v>
      </c>
      <c r="F10" s="110">
        <f>Revenue!E13</f>
        <v>80000</v>
      </c>
      <c r="G10" s="110">
        <f>Revenue!F13</f>
        <v>128000</v>
      </c>
      <c r="H10" s="110">
        <f>Revenue!G13</f>
        <v>204800</v>
      </c>
      <c r="I10" s="110">
        <f>Revenue!H13</f>
        <v>327680</v>
      </c>
      <c r="J10" s="110">
        <f>Revenue!I13</f>
        <v>524288</v>
      </c>
      <c r="K10" s="110">
        <f>Revenue!J13</f>
        <v>838860.80000000005</v>
      </c>
      <c r="L10" s="110">
        <f>Revenue!K13</f>
        <v>1342177.2800000003</v>
      </c>
      <c r="M10" s="110">
        <f>Revenue!L13</f>
        <v>2147483.6480000005</v>
      </c>
      <c r="N10" s="110">
        <f>Revenue!M13</f>
        <v>3435973.8368000011</v>
      </c>
      <c r="O10" s="110">
        <f>Revenue!N13</f>
        <v>5497558.1388800023</v>
      </c>
      <c r="P10" s="110">
        <f>Revenue!O13</f>
        <v>8796093.0222080033</v>
      </c>
      <c r="Q10" s="110">
        <f>Revenue!P13</f>
        <v>14073748.835532807</v>
      </c>
      <c r="R10" s="110">
        <f>Revenue!Q13</f>
        <v>22517998.136852492</v>
      </c>
      <c r="S10" s="110">
        <f>Revenue!R13</f>
        <v>36028797.018963985</v>
      </c>
      <c r="T10" s="110">
        <f>Revenue!S13</f>
        <v>57646075.230342381</v>
      </c>
      <c r="U10" s="110">
        <f>Revenue!T13</f>
        <v>92233720.368547812</v>
      </c>
      <c r="V10" s="110">
        <f>Revenue!U13</f>
        <v>147573952.5896765</v>
      </c>
      <c r="W10" s="110">
        <f>Revenue!V13</f>
        <v>236118324.14348242</v>
      </c>
      <c r="X10" s="110">
        <f>Revenue!W13</f>
        <v>377789318.62957191</v>
      </c>
    </row>
    <row r="11" spans="2:24" x14ac:dyDescent="0.2">
      <c r="C11" s="119" t="s">
        <v>21</v>
      </c>
      <c r="D11" s="123">
        <f t="shared" ref="D11:X11" si="0">D27</f>
        <v>0</v>
      </c>
      <c r="E11" s="123">
        <f t="shared" si="0"/>
        <v>3373900</v>
      </c>
      <c r="F11" s="123">
        <f t="shared" si="0"/>
        <v>5398240</v>
      </c>
      <c r="G11" s="123">
        <f t="shared" si="0"/>
        <v>8637184</v>
      </c>
      <c r="H11" s="123">
        <f t="shared" si="0"/>
        <v>13819494.399999999</v>
      </c>
      <c r="I11" s="123">
        <f t="shared" si="0"/>
        <v>22111191.039999999</v>
      </c>
      <c r="J11" s="123">
        <f t="shared" si="0"/>
        <v>35377905.664000005</v>
      </c>
      <c r="K11" s="123">
        <f t="shared" si="0"/>
        <v>56604649.062399998</v>
      </c>
      <c r="L11" s="123">
        <f t="shared" si="0"/>
        <v>90567438.499840006</v>
      </c>
      <c r="M11" s="123">
        <f t="shared" si="0"/>
        <v>144907901.59974402</v>
      </c>
      <c r="N11" s="123">
        <f t="shared" si="0"/>
        <v>231852642.55959043</v>
      </c>
      <c r="O11" s="123">
        <f t="shared" si="0"/>
        <v>370964228.09534478</v>
      </c>
      <c r="P11" s="123">
        <f t="shared" si="0"/>
        <v>593542764.9525516</v>
      </c>
      <c r="Q11" s="123">
        <f t="shared" si="0"/>
        <v>949668423.92408252</v>
      </c>
      <c r="R11" s="123">
        <f t="shared" si="0"/>
        <v>1519469478.2785327</v>
      </c>
      <c r="S11" s="123">
        <f t="shared" si="0"/>
        <v>2431151165.2456522</v>
      </c>
      <c r="T11" s="123">
        <f t="shared" si="0"/>
        <v>3889841864.3930426</v>
      </c>
      <c r="U11" s="123">
        <f t="shared" si="0"/>
        <v>6223746983.0288706</v>
      </c>
      <c r="V11" s="123">
        <f t="shared" si="0"/>
        <v>9957995172.8461914</v>
      </c>
      <c r="W11" s="123">
        <f t="shared" si="0"/>
        <v>15932792276.553905</v>
      </c>
      <c r="X11" s="123">
        <f t="shared" si="0"/>
        <v>25492467642.486252</v>
      </c>
    </row>
    <row r="12" spans="2:24" x14ac:dyDescent="0.2">
      <c r="C12" s="120" t="s">
        <v>23</v>
      </c>
      <c r="D12" s="122">
        <f t="shared" ref="D12:X12" si="1">D44</f>
        <v>-543140</v>
      </c>
      <c r="E12" s="122">
        <f t="shared" si="1"/>
        <v>-3979789.8000000007</v>
      </c>
      <c r="F12" s="122">
        <f t="shared" si="1"/>
        <v>-5727376.5860000011</v>
      </c>
      <c r="G12" s="122">
        <f t="shared" si="1"/>
        <v>-8537738.5258460008</v>
      </c>
      <c r="H12" s="122">
        <f t="shared" si="1"/>
        <v>-13046228.006350309</v>
      </c>
      <c r="I12" s="122">
        <f t="shared" si="1"/>
        <v>-20200807.43660216</v>
      </c>
      <c r="J12" s="122">
        <f t="shared" si="1"/>
        <v>-31631543.048883487</v>
      </c>
      <c r="K12" s="122">
        <f t="shared" si="1"/>
        <v>-49903316.401534006</v>
      </c>
      <c r="L12" s="122">
        <f t="shared" si="1"/>
        <v>-79119897.572005585</v>
      </c>
      <c r="M12" s="122">
        <f t="shared" si="1"/>
        <v>-125847276.2496431</v>
      </c>
      <c r="N12" s="122">
        <f t="shared" si="1"/>
        <v>-200590991.38322276</v>
      </c>
      <c r="O12" s="122">
        <f t="shared" si="1"/>
        <v>-320159858.51105678</v>
      </c>
      <c r="P12" s="122">
        <f t="shared" si="1"/>
        <v>-511447933.37790722</v>
      </c>
      <c r="Q12" s="122">
        <f t="shared" si="1"/>
        <v>-817485653.6052314</v>
      </c>
      <c r="R12" s="122">
        <f t="shared" si="1"/>
        <v>-1307121665.2409177</v>
      </c>
      <c r="S12" s="122">
        <f t="shared" si="1"/>
        <v>-2090513745.1100729</v>
      </c>
      <c r="T12" s="122">
        <f t="shared" si="1"/>
        <v>-3343914276.4410539</v>
      </c>
      <c r="U12" s="122">
        <f t="shared" si="1"/>
        <v>-5349327009.7251282</v>
      </c>
      <c r="V12" s="122">
        <f t="shared" si="1"/>
        <v>-8557957879.9428406</v>
      </c>
      <c r="W12" s="122">
        <f t="shared" si="1"/>
        <v>-13691736313.96966</v>
      </c>
      <c r="X12" s="122">
        <f t="shared" si="1"/>
        <v>-21905749322.260635</v>
      </c>
    </row>
    <row r="13" spans="2:24" x14ac:dyDescent="0.2">
      <c r="C13" s="121" t="s">
        <v>91</v>
      </c>
      <c r="D13" s="105">
        <f t="shared" ref="D13:X13" si="2">D47</f>
        <v>-543140</v>
      </c>
      <c r="E13" s="105">
        <f t="shared" si="2"/>
        <v>-605889.80000000075</v>
      </c>
      <c r="F13" s="105">
        <f t="shared" si="2"/>
        <v>-329136.58600000106</v>
      </c>
      <c r="G13" s="43">
        <f t="shared" si="2"/>
        <v>99445.474153999239</v>
      </c>
      <c r="H13" s="43">
        <f t="shared" si="2"/>
        <v>773266.39364968985</v>
      </c>
      <c r="I13" s="43">
        <f t="shared" si="2"/>
        <v>1910383.6033978388</v>
      </c>
      <c r="J13" s="43">
        <f t="shared" si="2"/>
        <v>3746362.615116518</v>
      </c>
      <c r="K13" s="43">
        <f t="shared" si="2"/>
        <v>6701332.6608659923</v>
      </c>
      <c r="L13" s="43">
        <f t="shared" si="2"/>
        <v>11447540.927834421</v>
      </c>
      <c r="M13" s="43">
        <f t="shared" si="2"/>
        <v>19060625.35010092</v>
      </c>
      <c r="N13" s="43">
        <f t="shared" si="2"/>
        <v>31261651.17636767</v>
      </c>
      <c r="O13" s="43">
        <f t="shared" si="2"/>
        <v>50804369.584288001</v>
      </c>
      <c r="P13" s="43">
        <f t="shared" si="2"/>
        <v>82094831.574644387</v>
      </c>
      <c r="Q13" s="43">
        <f t="shared" si="2"/>
        <v>132182770.31885111</v>
      </c>
      <c r="R13" s="43">
        <f t="shared" si="2"/>
        <v>212347813.03761506</v>
      </c>
      <c r="S13" s="43">
        <f t="shared" si="2"/>
        <v>340637420.13557935</v>
      </c>
      <c r="T13" s="43">
        <f t="shared" si="2"/>
        <v>545927587.9519887</v>
      </c>
      <c r="U13" s="43">
        <f t="shared" si="2"/>
        <v>874419973.30374241</v>
      </c>
      <c r="V13" s="43">
        <f t="shared" si="2"/>
        <v>1400037292.9033508</v>
      </c>
      <c r="W13" s="43">
        <f t="shared" si="2"/>
        <v>2241055962.5842457</v>
      </c>
      <c r="X13" s="43">
        <f t="shared" si="2"/>
        <v>3586718320.2256165</v>
      </c>
    </row>
    <row r="14" spans="2:24" x14ac:dyDescent="0.2">
      <c r="C14" s="121" t="s">
        <v>92</v>
      </c>
      <c r="D14" s="106">
        <f t="shared" ref="D14:X14" si="3">D48</f>
        <v>-543140</v>
      </c>
      <c r="E14" s="106">
        <f t="shared" si="3"/>
        <v>-550808.90909090976</v>
      </c>
      <c r="F14" s="106">
        <f t="shared" si="3"/>
        <v>-272013.70743801736</v>
      </c>
      <c r="G14" s="104">
        <f t="shared" si="3"/>
        <v>74714.856614574906</v>
      </c>
      <c r="H14" s="104">
        <f t="shared" si="3"/>
        <v>528151.3514443615</v>
      </c>
      <c r="I14" s="104">
        <f t="shared" si="3"/>
        <v>1186197.914572302</v>
      </c>
      <c r="J14" s="104">
        <f t="shared" si="3"/>
        <v>2114724.0287613673</v>
      </c>
      <c r="K14" s="104">
        <f t="shared" si="3"/>
        <v>3438843.2578879655</v>
      </c>
      <c r="L14" s="104">
        <f t="shared" si="3"/>
        <v>5340362.3280877341</v>
      </c>
      <c r="M14" s="104">
        <f t="shared" si="3"/>
        <v>8083565.8156680064</v>
      </c>
      <c r="N14" s="104">
        <f t="shared" si="3"/>
        <v>12052719.827535374</v>
      </c>
      <c r="O14" s="104">
        <f t="shared" si="3"/>
        <v>17806621.606290936</v>
      </c>
      <c r="P14" s="104">
        <f t="shared" si="3"/>
        <v>26157943.314422939</v>
      </c>
      <c r="Q14" s="104">
        <f t="shared" si="3"/>
        <v>38288640.17628707</v>
      </c>
      <c r="R14" s="104">
        <f t="shared" si="3"/>
        <v>55917815.956348084</v>
      </c>
      <c r="S14" s="104">
        <f t="shared" si="3"/>
        <v>81545890.098081067</v>
      </c>
      <c r="T14" s="104">
        <f t="shared" si="3"/>
        <v>118809749.16999161</v>
      </c>
      <c r="U14" s="104">
        <f t="shared" si="3"/>
        <v>172999330.09794384</v>
      </c>
      <c r="V14" s="104">
        <f t="shared" si="3"/>
        <v>251809013.329368</v>
      </c>
      <c r="W14" s="104">
        <f t="shared" si="3"/>
        <v>366430557.77202755</v>
      </c>
      <c r="X14" s="104">
        <f t="shared" si="3"/>
        <v>533142823.81899732</v>
      </c>
    </row>
    <row r="15" spans="2:24" x14ac:dyDescent="0.2">
      <c r="C15" s="121" t="s">
        <v>93</v>
      </c>
      <c r="D15" s="105">
        <f t="shared" ref="D15:X15" si="4">D49</f>
        <v>-543140</v>
      </c>
      <c r="E15" s="105">
        <f t="shared" si="4"/>
        <v>-1149029.8000000007</v>
      </c>
      <c r="F15" s="105">
        <f t="shared" si="4"/>
        <v>-1478166.3860000018</v>
      </c>
      <c r="G15" s="105">
        <f t="shared" si="4"/>
        <v>-1378720.9118460026</v>
      </c>
      <c r="H15" s="105">
        <f t="shared" si="4"/>
        <v>-605454.51819631271</v>
      </c>
      <c r="I15" s="43">
        <f t="shared" si="4"/>
        <v>1304929.0852015261</v>
      </c>
      <c r="J15" s="43">
        <f t="shared" si="4"/>
        <v>5051291.7003180441</v>
      </c>
      <c r="K15" s="43">
        <f t="shared" si="4"/>
        <v>11752624.361184036</v>
      </c>
      <c r="L15" s="43">
        <f t="shared" si="4"/>
        <v>23200165.28901846</v>
      </c>
      <c r="M15" s="43">
        <f t="shared" si="4"/>
        <v>42260790.639119379</v>
      </c>
      <c r="N15" s="43">
        <f t="shared" si="4"/>
        <v>73522441.815487057</v>
      </c>
      <c r="O15" s="43">
        <f t="shared" si="4"/>
        <v>124326811.39977506</v>
      </c>
      <c r="P15" s="43">
        <f t="shared" si="4"/>
        <v>206421642.97441944</v>
      </c>
      <c r="Q15" s="43">
        <f t="shared" si="4"/>
        <v>338604413.29327059</v>
      </c>
      <c r="R15" s="43">
        <f t="shared" si="4"/>
        <v>550952226.33088565</v>
      </c>
      <c r="S15" s="43">
        <f t="shared" si="4"/>
        <v>891589646.466465</v>
      </c>
      <c r="T15" s="43">
        <f t="shared" si="4"/>
        <v>1437517234.4184537</v>
      </c>
      <c r="U15" s="43">
        <f t="shared" si="4"/>
        <v>2311937207.7221961</v>
      </c>
      <c r="V15" s="43">
        <f t="shared" si="4"/>
        <v>3711974500.6255469</v>
      </c>
      <c r="W15" s="43">
        <f t="shared" si="4"/>
        <v>5953030463.2097931</v>
      </c>
      <c r="X15" s="43">
        <f t="shared" si="4"/>
        <v>9539748783.4354095</v>
      </c>
    </row>
    <row r="16" spans="2:24" x14ac:dyDescent="0.2">
      <c r="C16" s="121" t="s">
        <v>94</v>
      </c>
      <c r="D16" s="105">
        <f t="shared" ref="D16:X16" si="5">D50</f>
        <v>-543140</v>
      </c>
      <c r="E16" s="105">
        <f t="shared" si="5"/>
        <v>-1093948.9090909096</v>
      </c>
      <c r="F16" s="105">
        <f t="shared" si="5"/>
        <v>-1365962.6165289269</v>
      </c>
      <c r="G16" s="105">
        <f t="shared" si="5"/>
        <v>-1291247.7599143521</v>
      </c>
      <c r="H16" s="105">
        <f t="shared" si="5"/>
        <v>-763096.40846999059</v>
      </c>
      <c r="I16" s="43">
        <f t="shared" si="5"/>
        <v>423101.50610231142</v>
      </c>
      <c r="J16" s="43">
        <f t="shared" si="5"/>
        <v>2537825.5348636787</v>
      </c>
      <c r="K16" s="43">
        <f t="shared" si="5"/>
        <v>5976668.7927516438</v>
      </c>
      <c r="L16" s="43">
        <f t="shared" si="5"/>
        <v>11317031.120839378</v>
      </c>
      <c r="M16" s="43">
        <f t="shared" si="5"/>
        <v>19400596.936507385</v>
      </c>
      <c r="N16" s="43">
        <f t="shared" si="5"/>
        <v>31453316.764042757</v>
      </c>
      <c r="O16" s="43">
        <f t="shared" si="5"/>
        <v>49259938.370333694</v>
      </c>
      <c r="P16" s="43">
        <f t="shared" si="5"/>
        <v>75417881.684756637</v>
      </c>
      <c r="Q16" s="43">
        <f t="shared" si="5"/>
        <v>113706521.86104371</v>
      </c>
      <c r="R16" s="43">
        <f t="shared" si="5"/>
        <v>169624337.81739178</v>
      </c>
      <c r="S16" s="43">
        <f t="shared" si="5"/>
        <v>251170227.91547287</v>
      </c>
      <c r="T16" s="43">
        <f t="shared" si="5"/>
        <v>369979977.08546448</v>
      </c>
      <c r="U16" s="43">
        <f t="shared" si="5"/>
        <v>542979307.18340826</v>
      </c>
      <c r="V16" s="43">
        <f t="shared" si="5"/>
        <v>794788320.51277626</v>
      </c>
      <c r="W16" s="43">
        <f t="shared" si="5"/>
        <v>1161218878.2848039</v>
      </c>
      <c r="X16" s="43">
        <f t="shared" si="5"/>
        <v>1694361702.1038013</v>
      </c>
    </row>
    <row r="20" spans="2:26" ht="21" x14ac:dyDescent="0.25">
      <c r="B20" s="191" t="s">
        <v>284</v>
      </c>
      <c r="C20" s="191"/>
    </row>
    <row r="22" spans="2:26" x14ac:dyDescent="0.2">
      <c r="C22" s="111" t="s">
        <v>89</v>
      </c>
      <c r="D22" s="107">
        <v>2024</v>
      </c>
      <c r="E22" s="107">
        <v>2025</v>
      </c>
      <c r="F22" s="107">
        <v>2026</v>
      </c>
      <c r="G22" s="107">
        <v>2027</v>
      </c>
      <c r="H22" s="107">
        <v>2028</v>
      </c>
      <c r="I22" s="107">
        <v>2029</v>
      </c>
      <c r="J22" s="107">
        <v>2030</v>
      </c>
      <c r="K22" s="107">
        <v>2031</v>
      </c>
      <c r="L22" s="107">
        <v>2032</v>
      </c>
      <c r="M22" s="107">
        <v>2033</v>
      </c>
      <c r="N22" s="107">
        <v>2034</v>
      </c>
      <c r="O22" s="107">
        <v>2035</v>
      </c>
      <c r="P22" s="107">
        <v>2036</v>
      </c>
      <c r="Q22" s="107">
        <v>2037</v>
      </c>
      <c r="R22" s="107">
        <v>2038</v>
      </c>
      <c r="S22" s="107">
        <v>2039</v>
      </c>
      <c r="T22" s="107">
        <v>2040</v>
      </c>
      <c r="U22" s="107">
        <v>2041</v>
      </c>
      <c r="V22" s="107">
        <v>2042</v>
      </c>
      <c r="W22" s="107">
        <v>2043</v>
      </c>
      <c r="X22" s="107">
        <v>2044</v>
      </c>
    </row>
    <row r="23" spans="2:26" x14ac:dyDescent="0.2">
      <c r="C23" s="112" t="s">
        <v>46</v>
      </c>
      <c r="D23" s="31">
        <v>0</v>
      </c>
      <c r="E23" s="31">
        <v>1</v>
      </c>
      <c r="F23" s="31">
        <v>2</v>
      </c>
      <c r="G23" s="31">
        <v>3</v>
      </c>
      <c r="H23" s="31">
        <v>4</v>
      </c>
      <c r="I23" s="31">
        <v>5</v>
      </c>
      <c r="J23" s="31">
        <v>6</v>
      </c>
      <c r="K23" s="31">
        <v>7</v>
      </c>
      <c r="L23" s="31">
        <v>8</v>
      </c>
      <c r="M23" s="31">
        <v>9</v>
      </c>
      <c r="N23" s="31">
        <v>10</v>
      </c>
      <c r="O23" s="31">
        <v>11</v>
      </c>
      <c r="P23" s="31">
        <v>12</v>
      </c>
      <c r="Q23" s="31">
        <v>13</v>
      </c>
      <c r="R23" s="31">
        <v>14</v>
      </c>
      <c r="S23" s="31">
        <v>15</v>
      </c>
      <c r="T23" s="31">
        <v>16</v>
      </c>
      <c r="U23" s="31">
        <v>17</v>
      </c>
      <c r="V23" s="31">
        <v>18</v>
      </c>
      <c r="W23" s="31">
        <v>19</v>
      </c>
      <c r="X23" s="31">
        <v>20</v>
      </c>
    </row>
    <row r="24" spans="2:26" x14ac:dyDescent="0.2">
      <c r="C24" s="113" t="s">
        <v>90</v>
      </c>
      <c r="D24" s="109">
        <v>0</v>
      </c>
      <c r="E24" s="110">
        <f>Revenue!D13</f>
        <v>50000</v>
      </c>
      <c r="F24" s="110">
        <f>Revenue!E13</f>
        <v>80000</v>
      </c>
      <c r="G24" s="110">
        <f>Revenue!F13</f>
        <v>128000</v>
      </c>
      <c r="H24" s="110">
        <f>Revenue!G13</f>
        <v>204800</v>
      </c>
      <c r="I24" s="110">
        <f>Revenue!H13</f>
        <v>327680</v>
      </c>
      <c r="J24" s="110">
        <f>Revenue!I13</f>
        <v>524288</v>
      </c>
      <c r="K24" s="110">
        <f>Revenue!J13</f>
        <v>838860.80000000005</v>
      </c>
      <c r="L24" s="110">
        <f>Revenue!K13</f>
        <v>1342177.2800000003</v>
      </c>
      <c r="M24" s="110">
        <f>Revenue!L13</f>
        <v>2147483.6480000005</v>
      </c>
      <c r="N24" s="110">
        <f>Revenue!M13</f>
        <v>3435973.8368000011</v>
      </c>
      <c r="O24" s="110">
        <f>Revenue!N13</f>
        <v>5497558.1388800023</v>
      </c>
      <c r="P24" s="110">
        <f>Revenue!O13</f>
        <v>8796093.0222080033</v>
      </c>
      <c r="Q24" s="110">
        <f>Revenue!P13</f>
        <v>14073748.835532807</v>
      </c>
      <c r="R24" s="110">
        <f>Revenue!Q13</f>
        <v>22517998.136852492</v>
      </c>
      <c r="S24" s="110">
        <f>Revenue!R13</f>
        <v>36028797.018963985</v>
      </c>
      <c r="T24" s="110">
        <f>Revenue!S13</f>
        <v>57646075.230342381</v>
      </c>
      <c r="U24" s="110">
        <f>Revenue!T13</f>
        <v>92233720.368547812</v>
      </c>
      <c r="V24" s="110">
        <f>Revenue!U13</f>
        <v>147573952.5896765</v>
      </c>
      <c r="W24" s="110">
        <f>Revenue!V13</f>
        <v>236118324.14348242</v>
      </c>
      <c r="X24" s="110">
        <f>Revenue!W13</f>
        <v>377789318.62957191</v>
      </c>
    </row>
    <row r="25" spans="2:26" x14ac:dyDescent="0.2">
      <c r="B25" s="114" t="s">
        <v>281</v>
      </c>
      <c r="C25" s="41" t="s">
        <v>4</v>
      </c>
      <c r="D25" s="43">
        <f>Revenue!C14</f>
        <v>0</v>
      </c>
      <c r="E25" s="43">
        <f>Revenue!D14</f>
        <v>3236400</v>
      </c>
      <c r="F25" s="43">
        <f>Revenue!E14</f>
        <v>5178240</v>
      </c>
      <c r="G25" s="43">
        <f>Revenue!F14</f>
        <v>8285184</v>
      </c>
      <c r="H25" s="43">
        <f>Revenue!G14</f>
        <v>13256294.399999999</v>
      </c>
      <c r="I25" s="43">
        <f>Revenue!H14</f>
        <v>21210071.039999999</v>
      </c>
      <c r="J25" s="43">
        <f>Revenue!I14</f>
        <v>33936113.664000005</v>
      </c>
      <c r="K25" s="43">
        <f>Revenue!J14</f>
        <v>54297781.862399995</v>
      </c>
      <c r="L25" s="43">
        <f>Revenue!K14</f>
        <v>86876450.97984001</v>
      </c>
      <c r="M25" s="43">
        <f>Revenue!L14</f>
        <v>139002321.56774402</v>
      </c>
      <c r="N25" s="43">
        <f>Revenue!M14</f>
        <v>222403714.50839043</v>
      </c>
      <c r="O25" s="43">
        <f>Revenue!N14</f>
        <v>355845943.2134248</v>
      </c>
      <c r="P25" s="43">
        <f>Revenue!O14</f>
        <v>569353509.14147961</v>
      </c>
      <c r="Q25" s="43">
        <f>Revenue!P14</f>
        <v>910965614.62636733</v>
      </c>
      <c r="R25" s="43">
        <f>Revenue!Q14</f>
        <v>1457544983.4021883</v>
      </c>
      <c r="S25" s="43">
        <f>Revenue!R14</f>
        <v>2332071973.443501</v>
      </c>
      <c r="T25" s="43">
        <f>Revenue!S14</f>
        <v>3731315157.5096011</v>
      </c>
      <c r="U25" s="43">
        <f>Revenue!T14</f>
        <v>5970104252.0153637</v>
      </c>
      <c r="V25" s="43">
        <f>Revenue!U14</f>
        <v>9552166803.2245808</v>
      </c>
      <c r="W25" s="43">
        <f>Revenue!V14</f>
        <v>15283466885.159328</v>
      </c>
      <c r="X25" s="43">
        <f>Revenue!W14</f>
        <v>24453547016.254929</v>
      </c>
    </row>
    <row r="26" spans="2:26" x14ac:dyDescent="0.2">
      <c r="B26" s="47" t="s">
        <v>352</v>
      </c>
      <c r="C26" s="41" t="s">
        <v>32</v>
      </c>
      <c r="D26" s="43">
        <f>Revenue!C15</f>
        <v>0</v>
      </c>
      <c r="E26" s="43">
        <f>Revenue!D15</f>
        <v>137500</v>
      </c>
      <c r="F26" s="43">
        <f>Revenue!E15</f>
        <v>220000</v>
      </c>
      <c r="G26" s="43">
        <f>Revenue!F15</f>
        <v>352000</v>
      </c>
      <c r="H26" s="43">
        <f>Revenue!G15</f>
        <v>563200</v>
      </c>
      <c r="I26" s="43">
        <f>Revenue!H15</f>
        <v>901120</v>
      </c>
      <c r="J26" s="43">
        <f>Revenue!I15</f>
        <v>1441792</v>
      </c>
      <c r="K26" s="43">
        <f>Revenue!J15</f>
        <v>2306867.2000000002</v>
      </c>
      <c r="L26" s="43">
        <f>Revenue!K15</f>
        <v>3690987.5200000005</v>
      </c>
      <c r="M26" s="43">
        <f>Revenue!L15</f>
        <v>5905580.0320000015</v>
      </c>
      <c r="N26" s="43">
        <f>Revenue!M15</f>
        <v>9448928.0512000024</v>
      </c>
      <c r="O26" s="43">
        <f>Revenue!N15</f>
        <v>15118284.881920006</v>
      </c>
      <c r="P26" s="43">
        <f>Revenue!O15</f>
        <v>24189255.811072011</v>
      </c>
      <c r="Q26" s="43">
        <f>Revenue!P15</f>
        <v>38702809.297715217</v>
      </c>
      <c r="R26" s="43">
        <f>Revenue!Q15</f>
        <v>61924494.876344353</v>
      </c>
      <c r="S26" s="43">
        <f>Revenue!R15</f>
        <v>99079191.802150965</v>
      </c>
      <c r="T26" s="43">
        <f>Revenue!S15</f>
        <v>158526706.88344154</v>
      </c>
      <c r="U26" s="43">
        <f>Revenue!T15</f>
        <v>253642731.01350647</v>
      </c>
      <c r="V26" s="43">
        <f>Revenue!U15</f>
        <v>405828369.6216104</v>
      </c>
      <c r="W26" s="43">
        <f>Revenue!V15</f>
        <v>649325391.39457667</v>
      </c>
      <c r="X26" s="43">
        <f>Revenue!W15</f>
        <v>1038920626.2313228</v>
      </c>
    </row>
    <row r="27" spans="2:26" x14ac:dyDescent="0.2">
      <c r="C27" s="93" t="s">
        <v>21</v>
      </c>
      <c r="D27" s="123">
        <f>Revenue!C16</f>
        <v>0</v>
      </c>
      <c r="E27" s="123">
        <f>Revenue!D16</f>
        <v>3373900</v>
      </c>
      <c r="F27" s="123">
        <f>Revenue!E16</f>
        <v>5398240</v>
      </c>
      <c r="G27" s="123">
        <f>Revenue!F16</f>
        <v>8637184</v>
      </c>
      <c r="H27" s="123">
        <f>Revenue!G16</f>
        <v>13819494.399999999</v>
      </c>
      <c r="I27" s="123">
        <f>Revenue!H16</f>
        <v>22111191.039999999</v>
      </c>
      <c r="J27" s="123">
        <f>Revenue!I16</f>
        <v>35377905.664000005</v>
      </c>
      <c r="K27" s="123">
        <f>Revenue!J16</f>
        <v>56604649.062399998</v>
      </c>
      <c r="L27" s="123">
        <f>Revenue!K16</f>
        <v>90567438.499840006</v>
      </c>
      <c r="M27" s="123">
        <f>Revenue!L16</f>
        <v>144907901.59974402</v>
      </c>
      <c r="N27" s="123">
        <f>Revenue!M16</f>
        <v>231852642.55959043</v>
      </c>
      <c r="O27" s="123">
        <f>Revenue!N16</f>
        <v>370964228.09534478</v>
      </c>
      <c r="P27" s="123">
        <f>Revenue!O16</f>
        <v>593542764.9525516</v>
      </c>
      <c r="Q27" s="123">
        <f>Revenue!P16</f>
        <v>949668423.92408252</v>
      </c>
      <c r="R27" s="123">
        <f>Revenue!Q16</f>
        <v>1519469478.2785327</v>
      </c>
      <c r="S27" s="123">
        <f>Revenue!R16</f>
        <v>2431151165.2456522</v>
      </c>
      <c r="T27" s="123">
        <f>Revenue!S16</f>
        <v>3889841864.3930426</v>
      </c>
      <c r="U27" s="123">
        <f>Revenue!T16</f>
        <v>6223746983.0288706</v>
      </c>
      <c r="V27" s="123">
        <f>Revenue!U16</f>
        <v>9957995172.8461914</v>
      </c>
      <c r="W27" s="123">
        <f>Revenue!V16</f>
        <v>15932792276.553905</v>
      </c>
      <c r="X27" s="123">
        <f>Revenue!W16</f>
        <v>25492467642.486252</v>
      </c>
    </row>
    <row r="28" spans="2:26" x14ac:dyDescent="0.2">
      <c r="B28" s="115" t="s">
        <v>282</v>
      </c>
      <c r="C28" s="30" t="s">
        <v>199</v>
      </c>
      <c r="D28" s="105">
        <f>-Cost!C32</f>
        <v>-55000</v>
      </c>
      <c r="E28" s="43">
        <f>-Cost!D32</f>
        <v>0</v>
      </c>
      <c r="F28" s="43">
        <f>-Cost!E32</f>
        <v>0</v>
      </c>
      <c r="G28" s="43">
        <f>-Cost!F32</f>
        <v>0</v>
      </c>
      <c r="H28" s="43">
        <f>-Cost!G32</f>
        <v>0</v>
      </c>
      <c r="I28" s="43">
        <f>-Cost!H32</f>
        <v>0</v>
      </c>
      <c r="J28" s="43">
        <f>-Cost!I32</f>
        <v>0</v>
      </c>
      <c r="K28" s="43">
        <f>-Cost!J32</f>
        <v>0</v>
      </c>
      <c r="L28" s="43">
        <f>-Cost!K32</f>
        <v>0</v>
      </c>
      <c r="M28" s="43">
        <f>-Cost!L32</f>
        <v>0</v>
      </c>
      <c r="N28" s="43">
        <f>-Cost!M32</f>
        <v>0</v>
      </c>
      <c r="O28" s="43">
        <f>-Cost!N32</f>
        <v>0</v>
      </c>
      <c r="P28" s="43">
        <f>-Cost!O32</f>
        <v>0</v>
      </c>
      <c r="Q28" s="43">
        <f>-Cost!P32</f>
        <v>0</v>
      </c>
      <c r="R28" s="43">
        <f>-Cost!Q32</f>
        <v>0</v>
      </c>
      <c r="S28" s="43">
        <f>-Cost!R32</f>
        <v>0</v>
      </c>
      <c r="T28" s="43">
        <f>-Cost!S32</f>
        <v>0</v>
      </c>
      <c r="U28" s="43">
        <f>-Cost!T32</f>
        <v>0</v>
      </c>
      <c r="V28" s="43">
        <f>-Cost!U32</f>
        <v>0</v>
      </c>
      <c r="W28" s="43">
        <f>-Cost!V32</f>
        <v>0</v>
      </c>
      <c r="X28" s="43">
        <f>-Cost!W32</f>
        <v>0</v>
      </c>
      <c r="Z28" s="9"/>
    </row>
    <row r="29" spans="2:26" x14ac:dyDescent="0.2">
      <c r="B29" s="47" t="s">
        <v>351</v>
      </c>
      <c r="C29" s="30" t="s">
        <v>189</v>
      </c>
      <c r="D29" s="105">
        <f>-Cost!C33</f>
        <v>-38400</v>
      </c>
      <c r="E29" s="105">
        <f>-Cost!D33</f>
        <v>-38400</v>
      </c>
      <c r="F29" s="105">
        <f>-Cost!E33</f>
        <v>-38400</v>
      </c>
      <c r="G29" s="105">
        <f>-Cost!F33</f>
        <v>-38400</v>
      </c>
      <c r="H29" s="105">
        <f>-Cost!G33</f>
        <v>-38400</v>
      </c>
      <c r="I29" s="105">
        <f>-Cost!H33</f>
        <v>-38400</v>
      </c>
      <c r="J29" s="105">
        <f>-Cost!I33</f>
        <v>-38400</v>
      </c>
      <c r="K29" s="105">
        <f>-Cost!J33</f>
        <v>-38400</v>
      </c>
      <c r="L29" s="105">
        <f>-Cost!K33</f>
        <v>-38400</v>
      </c>
      <c r="M29" s="105">
        <f>-Cost!L33</f>
        <v>-38400</v>
      </c>
      <c r="N29" s="105">
        <f>-Cost!M33</f>
        <v>-38400</v>
      </c>
      <c r="O29" s="105">
        <f>-Cost!N33</f>
        <v>-38400</v>
      </c>
      <c r="P29" s="105">
        <f>-Cost!O33</f>
        <v>-38400</v>
      </c>
      <c r="Q29" s="105">
        <f>-Cost!P33</f>
        <v>-38400</v>
      </c>
      <c r="R29" s="105">
        <f>-Cost!Q33</f>
        <v>-38400</v>
      </c>
      <c r="S29" s="105">
        <f>-Cost!R33</f>
        <v>-38400</v>
      </c>
      <c r="T29" s="105">
        <f>-Cost!S33</f>
        <v>-38400</v>
      </c>
      <c r="U29" s="105">
        <f>-Cost!T33</f>
        <v>-38400</v>
      </c>
      <c r="V29" s="105">
        <f>-Cost!U33</f>
        <v>-38400</v>
      </c>
      <c r="W29" s="105">
        <f>-Cost!V33</f>
        <v>-38400</v>
      </c>
      <c r="X29" s="105">
        <f>-Cost!W33</f>
        <v>-38400</v>
      </c>
      <c r="Z29" s="9"/>
    </row>
    <row r="30" spans="2:26" x14ac:dyDescent="0.2">
      <c r="C30" s="30" t="s">
        <v>190</v>
      </c>
      <c r="D30" s="105">
        <f>-Cost!C34</f>
        <v>-55000</v>
      </c>
      <c r="E30" s="43">
        <f>-Cost!D34</f>
        <v>0</v>
      </c>
      <c r="F30" s="43">
        <f>-Cost!E34</f>
        <v>0</v>
      </c>
      <c r="G30" s="43">
        <f>-Cost!F34</f>
        <v>0</v>
      </c>
      <c r="H30" s="43">
        <f>-Cost!G34</f>
        <v>0</v>
      </c>
      <c r="I30" s="43">
        <f>-Cost!H34</f>
        <v>0</v>
      </c>
      <c r="J30" s="43">
        <f>-Cost!I34</f>
        <v>0</v>
      </c>
      <c r="K30" s="43">
        <f>-Cost!J34</f>
        <v>0</v>
      </c>
      <c r="L30" s="43">
        <f>-Cost!K34</f>
        <v>0</v>
      </c>
      <c r="M30" s="43">
        <f>-Cost!L34</f>
        <v>0</v>
      </c>
      <c r="N30" s="43">
        <f>-Cost!M34</f>
        <v>0</v>
      </c>
      <c r="O30" s="43">
        <f>-Cost!N34</f>
        <v>0</v>
      </c>
      <c r="P30" s="43">
        <f>-Cost!O34</f>
        <v>0</v>
      </c>
      <c r="Q30" s="43">
        <f>-Cost!P34</f>
        <v>0</v>
      </c>
      <c r="R30" s="43">
        <f>-Cost!Q34</f>
        <v>0</v>
      </c>
      <c r="S30" s="43">
        <f>-Cost!R34</f>
        <v>0</v>
      </c>
      <c r="T30" s="43">
        <f>-Cost!S34</f>
        <v>0</v>
      </c>
      <c r="U30" s="43">
        <f>-Cost!T34</f>
        <v>0</v>
      </c>
      <c r="V30" s="43">
        <f>-Cost!U34</f>
        <v>0</v>
      </c>
      <c r="W30" s="43">
        <f>-Cost!V34</f>
        <v>0</v>
      </c>
      <c r="X30" s="43">
        <f>-Cost!W34</f>
        <v>0</v>
      </c>
      <c r="Z30" s="9"/>
    </row>
    <row r="31" spans="2:26" x14ac:dyDescent="0.2">
      <c r="C31" s="30" t="s">
        <v>193</v>
      </c>
      <c r="D31" s="105">
        <f>-Cost!C35</f>
        <v>-55000</v>
      </c>
      <c r="E31" s="43">
        <f>-Cost!D35</f>
        <v>0</v>
      </c>
      <c r="F31" s="43">
        <f>-Cost!E35</f>
        <v>0</v>
      </c>
      <c r="G31" s="43">
        <f>-Cost!F35</f>
        <v>0</v>
      </c>
      <c r="H31" s="43">
        <f>-Cost!G35</f>
        <v>0</v>
      </c>
      <c r="I31" s="43">
        <f>-Cost!H35</f>
        <v>0</v>
      </c>
      <c r="J31" s="43">
        <f>-Cost!I35</f>
        <v>0</v>
      </c>
      <c r="K31" s="43">
        <f>-Cost!J35</f>
        <v>0</v>
      </c>
      <c r="L31" s="43">
        <f>-Cost!K35</f>
        <v>0</v>
      </c>
      <c r="M31" s="43">
        <f>-Cost!L35</f>
        <v>0</v>
      </c>
      <c r="N31" s="43">
        <f>-Cost!M35</f>
        <v>0</v>
      </c>
      <c r="O31" s="43">
        <f>-Cost!N35</f>
        <v>0</v>
      </c>
      <c r="P31" s="43">
        <f>-Cost!O35</f>
        <v>0</v>
      </c>
      <c r="Q31" s="43">
        <f>-Cost!P35</f>
        <v>0</v>
      </c>
      <c r="R31" s="43">
        <f>-Cost!Q35</f>
        <v>0</v>
      </c>
      <c r="S31" s="43">
        <f>-Cost!R35</f>
        <v>0</v>
      </c>
      <c r="T31" s="43">
        <f>-Cost!S35</f>
        <v>0</v>
      </c>
      <c r="U31" s="43">
        <f>-Cost!T35</f>
        <v>0</v>
      </c>
      <c r="V31" s="43">
        <f>-Cost!U35</f>
        <v>0</v>
      </c>
      <c r="W31" s="43">
        <f>-Cost!V35</f>
        <v>0</v>
      </c>
      <c r="X31" s="43">
        <f>-Cost!W35</f>
        <v>0</v>
      </c>
      <c r="Z31" s="9"/>
    </row>
    <row r="32" spans="2:26" x14ac:dyDescent="0.2">
      <c r="C32" s="30" t="s">
        <v>195</v>
      </c>
      <c r="D32" s="105">
        <f>-Cost!C36</f>
        <v>-2500</v>
      </c>
      <c r="E32" s="43">
        <f>-Cost!D36</f>
        <v>0</v>
      </c>
      <c r="F32" s="43">
        <f>-Cost!E36</f>
        <v>0</v>
      </c>
      <c r="G32" s="43">
        <f>-Cost!F36</f>
        <v>0</v>
      </c>
      <c r="H32" s="43">
        <f>-Cost!G36</f>
        <v>0</v>
      </c>
      <c r="I32" s="43">
        <f>-Cost!H36</f>
        <v>0</v>
      </c>
      <c r="J32" s="43">
        <f>-Cost!I36</f>
        <v>0</v>
      </c>
      <c r="K32" s="43">
        <f>-Cost!J36</f>
        <v>0</v>
      </c>
      <c r="L32" s="43">
        <f>-Cost!K36</f>
        <v>0</v>
      </c>
      <c r="M32" s="43">
        <f>-Cost!L36</f>
        <v>0</v>
      </c>
      <c r="N32" s="43">
        <f>-Cost!M36</f>
        <v>0</v>
      </c>
      <c r="O32" s="43">
        <f>-Cost!N36</f>
        <v>0</v>
      </c>
      <c r="P32" s="43">
        <f>-Cost!O36</f>
        <v>0</v>
      </c>
      <c r="Q32" s="43">
        <f>-Cost!P36</f>
        <v>0</v>
      </c>
      <c r="R32" s="43">
        <f>-Cost!Q36</f>
        <v>0</v>
      </c>
      <c r="S32" s="43">
        <f>-Cost!R36</f>
        <v>0</v>
      </c>
      <c r="T32" s="43">
        <f>-Cost!S36</f>
        <v>0</v>
      </c>
      <c r="U32" s="43">
        <f>-Cost!T36</f>
        <v>0</v>
      </c>
      <c r="V32" s="43">
        <f>-Cost!U36</f>
        <v>0</v>
      </c>
      <c r="W32" s="43">
        <f>-Cost!V36</f>
        <v>0</v>
      </c>
      <c r="X32" s="43">
        <f>-Cost!W36</f>
        <v>0</v>
      </c>
      <c r="Z32" s="9"/>
    </row>
    <row r="33" spans="3:27" x14ac:dyDescent="0.2">
      <c r="C33" s="30" t="s">
        <v>196</v>
      </c>
      <c r="D33" s="105">
        <f>-Cost!C37</f>
        <v>-55000</v>
      </c>
      <c r="E33" s="43">
        <f>-Cost!D37</f>
        <v>0</v>
      </c>
      <c r="F33" s="43">
        <f>-Cost!E37</f>
        <v>0</v>
      </c>
      <c r="G33" s="43">
        <f>-Cost!F37</f>
        <v>0</v>
      </c>
      <c r="H33" s="43">
        <f>-Cost!G37</f>
        <v>0</v>
      </c>
      <c r="I33" s="43">
        <f>-Cost!H37</f>
        <v>0</v>
      </c>
      <c r="J33" s="43">
        <f>-Cost!I37</f>
        <v>0</v>
      </c>
      <c r="K33" s="43">
        <f>-Cost!J37</f>
        <v>0</v>
      </c>
      <c r="L33" s="43">
        <f>-Cost!K37</f>
        <v>0</v>
      </c>
      <c r="M33" s="43">
        <f>-Cost!L37</f>
        <v>0</v>
      </c>
      <c r="N33" s="43">
        <f>-Cost!M37</f>
        <v>0</v>
      </c>
      <c r="O33" s="43">
        <f>-Cost!N37</f>
        <v>0</v>
      </c>
      <c r="P33" s="43">
        <f>-Cost!O37</f>
        <v>0</v>
      </c>
      <c r="Q33" s="43">
        <f>-Cost!P37</f>
        <v>0</v>
      </c>
      <c r="R33" s="43">
        <f>-Cost!Q37</f>
        <v>0</v>
      </c>
      <c r="S33" s="43">
        <f>-Cost!R37</f>
        <v>0</v>
      </c>
      <c r="T33" s="43">
        <f>-Cost!S37</f>
        <v>0</v>
      </c>
      <c r="U33" s="43">
        <f>-Cost!T37</f>
        <v>0</v>
      </c>
      <c r="V33" s="43">
        <f>-Cost!U37</f>
        <v>0</v>
      </c>
      <c r="W33" s="43">
        <f>-Cost!V37</f>
        <v>0</v>
      </c>
      <c r="X33" s="43">
        <f>-Cost!W37</f>
        <v>0</v>
      </c>
      <c r="Z33" s="9"/>
    </row>
    <row r="34" spans="3:27" x14ac:dyDescent="0.2">
      <c r="C34" s="30" t="s">
        <v>197</v>
      </c>
      <c r="D34" s="43">
        <f>-Cost!C38</f>
        <v>0</v>
      </c>
      <c r="E34" s="105">
        <f>-Cost!D38</f>
        <v>-119</v>
      </c>
      <c r="F34" s="43">
        <f>-Cost!E38</f>
        <v>0</v>
      </c>
      <c r="G34" s="43">
        <f>-Cost!F38</f>
        <v>0</v>
      </c>
      <c r="H34" s="43">
        <f>-Cost!G38</f>
        <v>0</v>
      </c>
      <c r="I34" s="43">
        <f>-Cost!H38</f>
        <v>0</v>
      </c>
      <c r="J34" s="43">
        <f>-Cost!I38</f>
        <v>0</v>
      </c>
      <c r="K34" s="43">
        <f>-Cost!J38</f>
        <v>0</v>
      </c>
      <c r="L34" s="43">
        <f>-Cost!K38</f>
        <v>0</v>
      </c>
      <c r="M34" s="43">
        <f>-Cost!L38</f>
        <v>0</v>
      </c>
      <c r="N34" s="43">
        <f>-Cost!M38</f>
        <v>0</v>
      </c>
      <c r="O34" s="43">
        <f>-Cost!N38</f>
        <v>0</v>
      </c>
      <c r="P34" s="43">
        <f>-Cost!O38</f>
        <v>0</v>
      </c>
      <c r="Q34" s="43">
        <f>-Cost!P38</f>
        <v>0</v>
      </c>
      <c r="R34" s="43">
        <f>-Cost!Q38</f>
        <v>0</v>
      </c>
      <c r="S34" s="43">
        <f>-Cost!R38</f>
        <v>0</v>
      </c>
      <c r="T34" s="43">
        <f>-Cost!S38</f>
        <v>0</v>
      </c>
      <c r="U34" s="43">
        <f>-Cost!T38</f>
        <v>0</v>
      </c>
      <c r="V34" s="43">
        <f>-Cost!U38</f>
        <v>0</v>
      </c>
      <c r="W34" s="43">
        <f>-Cost!V38</f>
        <v>0</v>
      </c>
      <c r="X34" s="43">
        <f>-Cost!W38</f>
        <v>0</v>
      </c>
      <c r="Z34" s="9"/>
    </row>
    <row r="35" spans="3:27" x14ac:dyDescent="0.2">
      <c r="C35" s="30" t="s">
        <v>187</v>
      </c>
      <c r="D35" s="43">
        <f>-Cost!C39</f>
        <v>0</v>
      </c>
      <c r="E35" s="105">
        <f>-Cost!D39</f>
        <v>-45163.8</v>
      </c>
      <c r="F35" s="105">
        <f>-Cost!E39</f>
        <v>-45163.8</v>
      </c>
      <c r="G35" s="105">
        <f>-Cost!F39</f>
        <v>-45163.8</v>
      </c>
      <c r="H35" s="105">
        <f>-Cost!G39</f>
        <v>-45163.8</v>
      </c>
      <c r="I35" s="105">
        <f>-Cost!H39</f>
        <v>-45163.8</v>
      </c>
      <c r="J35" s="105">
        <f>-Cost!I39</f>
        <v>-45163.8</v>
      </c>
      <c r="K35" s="105">
        <f>-Cost!J39</f>
        <v>-45163.8</v>
      </c>
      <c r="L35" s="105">
        <f>-Cost!K39</f>
        <v>-45163.8</v>
      </c>
      <c r="M35" s="105">
        <f>-Cost!L39</f>
        <v>-45163.8</v>
      </c>
      <c r="N35" s="105">
        <f>-Cost!M39</f>
        <v>-45163.8</v>
      </c>
      <c r="O35" s="105">
        <f>-Cost!N39</f>
        <v>-45163.8</v>
      </c>
      <c r="P35" s="105">
        <f>-Cost!O39</f>
        <v>-45163.8</v>
      </c>
      <c r="Q35" s="105">
        <f>-Cost!P39</f>
        <v>-45163.8</v>
      </c>
      <c r="R35" s="105">
        <f>-Cost!Q39</f>
        <v>-45163.8</v>
      </c>
      <c r="S35" s="105">
        <f>-Cost!R39</f>
        <v>-45163.8</v>
      </c>
      <c r="T35" s="105">
        <f>-Cost!S39</f>
        <v>-45163.8</v>
      </c>
      <c r="U35" s="105">
        <f>-Cost!T39</f>
        <v>-45163.8</v>
      </c>
      <c r="V35" s="105">
        <f>-Cost!U39</f>
        <v>-45163.8</v>
      </c>
      <c r="W35" s="105">
        <f>-Cost!V39</f>
        <v>-45163.8</v>
      </c>
      <c r="X35" s="105">
        <f>-Cost!W39</f>
        <v>-45163.8</v>
      </c>
      <c r="Z35" s="9"/>
    </row>
    <row r="36" spans="3:27" x14ac:dyDescent="0.2">
      <c r="C36" s="30" t="s">
        <v>198</v>
      </c>
      <c r="D36" s="43">
        <f>-Cost!C40</f>
        <v>0</v>
      </c>
      <c r="E36" s="105">
        <f>-Cost!D40</f>
        <v>-15453</v>
      </c>
      <c r="F36" s="105">
        <f>-Cost!E40</f>
        <v>-24724.799999999999</v>
      </c>
      <c r="G36" s="105">
        <f>-Cost!F40</f>
        <v>-39559.68</v>
      </c>
      <c r="H36" s="105">
        <f>-Cost!G40</f>
        <v>-63295.487999999998</v>
      </c>
      <c r="I36" s="105">
        <f>-Cost!H40</f>
        <v>-101272.78080000001</v>
      </c>
      <c r="J36" s="105">
        <f>-Cost!I40</f>
        <v>-162036.44928</v>
      </c>
      <c r="K36" s="105">
        <f>-Cost!J40</f>
        <v>-259258.31884800002</v>
      </c>
      <c r="L36" s="105">
        <f>-Cost!K40</f>
        <v>-414813.31015680009</v>
      </c>
      <c r="M36" s="105">
        <f>-Cost!L40</f>
        <v>-663701.29625088011</v>
      </c>
      <c r="N36" s="105">
        <f>-Cost!M40</f>
        <v>-1061922.0740014084</v>
      </c>
      <c r="O36" s="105">
        <f>-Cost!N40</f>
        <v>-1699075.3184022536</v>
      </c>
      <c r="P36" s="105">
        <f>-Cost!O40</f>
        <v>-2718520.5094436053</v>
      </c>
      <c r="Q36" s="105">
        <f>-Cost!P40</f>
        <v>-4349632.8151097689</v>
      </c>
      <c r="R36" s="105">
        <f>-Cost!Q40</f>
        <v>-6959412.5041756313</v>
      </c>
      <c r="S36" s="105">
        <f>-Cost!R40</f>
        <v>-11135060.00668101</v>
      </c>
      <c r="T36" s="105">
        <f>-Cost!S40</f>
        <v>-17816096.010689616</v>
      </c>
      <c r="U36" s="105">
        <f>-Cost!T40</f>
        <v>-28505753.617103387</v>
      </c>
      <c r="V36" s="105">
        <f>-Cost!U40</f>
        <v>-45609205.787365422</v>
      </c>
      <c r="W36" s="105">
        <f>-Cost!V40</f>
        <v>-72974729.259784669</v>
      </c>
      <c r="X36" s="105">
        <f>-Cost!W40</f>
        <v>-116759566.8156555</v>
      </c>
      <c r="Z36" s="9"/>
    </row>
    <row r="37" spans="3:27" x14ac:dyDescent="0.2">
      <c r="C37" s="30" t="s">
        <v>85</v>
      </c>
      <c r="D37" s="105">
        <f>-Cost!C41</f>
        <v>-250000</v>
      </c>
      <c r="E37" s="105">
        <f>-Cost!D41</f>
        <v>-250000</v>
      </c>
      <c r="F37" s="105">
        <f>-Cost!E41</f>
        <v>-262500</v>
      </c>
      <c r="G37" s="105">
        <f>-Cost!F41</f>
        <v>-275625</v>
      </c>
      <c r="H37" s="105">
        <f>-Cost!G41</f>
        <v>-289406.25</v>
      </c>
      <c r="I37" s="105">
        <f>-Cost!H41</f>
        <v>-303876.5625</v>
      </c>
      <c r="J37" s="105">
        <f>-Cost!I41</f>
        <v>-319070.390625</v>
      </c>
      <c r="K37" s="105">
        <f>-Cost!J41</f>
        <v>-335023.91015625</v>
      </c>
      <c r="L37" s="105">
        <f>-Cost!K41</f>
        <v>-351775.10566406249</v>
      </c>
      <c r="M37" s="105">
        <f>-Cost!L41</f>
        <v>-369363.86094726564</v>
      </c>
      <c r="N37" s="105">
        <f>-Cost!M41</f>
        <v>-387832.05399462895</v>
      </c>
      <c r="O37" s="105">
        <f>-Cost!N41</f>
        <v>-407223.65669436043</v>
      </c>
      <c r="P37" s="105">
        <f>-Cost!O41</f>
        <v>-427584.83952907845</v>
      </c>
      <c r="Q37" s="105">
        <f>-Cost!P41</f>
        <v>-448964.08150553238</v>
      </c>
      <c r="R37" s="105">
        <f>-Cost!Q41</f>
        <v>-471412.285580809</v>
      </c>
      <c r="S37" s="105">
        <f>-Cost!R41</f>
        <v>-494982.89985984948</v>
      </c>
      <c r="T37" s="105">
        <f>-Cost!S41</f>
        <v>-519732.04485284199</v>
      </c>
      <c r="U37" s="105">
        <f>-Cost!T41</f>
        <v>-545718.64709548408</v>
      </c>
      <c r="V37" s="105">
        <f>-Cost!U41</f>
        <v>-573004.57945025829</v>
      </c>
      <c r="W37" s="105">
        <f>-Cost!V41</f>
        <v>-601654.80842277128</v>
      </c>
      <c r="X37" s="105">
        <f>-Cost!W41</f>
        <v>-631737.54884390987</v>
      </c>
      <c r="Y37" s="9"/>
      <c r="Z37" s="9"/>
    </row>
    <row r="38" spans="3:27" x14ac:dyDescent="0.2">
      <c r="C38" s="30" t="s">
        <v>87</v>
      </c>
      <c r="D38" s="43">
        <f>-Cost!C42</f>
        <v>0</v>
      </c>
      <c r="E38" s="105">
        <f>-Cost!D42</f>
        <v>-270000</v>
      </c>
      <c r="F38" s="105">
        <f>-Cost!E42</f>
        <v>-270000</v>
      </c>
      <c r="G38" s="105">
        <f>-Cost!F42</f>
        <v>-283500</v>
      </c>
      <c r="H38" s="105">
        <f>-Cost!G42</f>
        <v>-297675</v>
      </c>
      <c r="I38" s="105">
        <f>-Cost!H42</f>
        <v>-312558.75</v>
      </c>
      <c r="J38" s="105">
        <f>-Cost!I42</f>
        <v>-328186.6875</v>
      </c>
      <c r="K38" s="105">
        <f>-Cost!J42</f>
        <v>-344596.02187500003</v>
      </c>
      <c r="L38" s="105">
        <f>-Cost!K42</f>
        <v>-361825.82296875003</v>
      </c>
      <c r="M38" s="105">
        <f>-Cost!L42</f>
        <v>-379917.11411718756</v>
      </c>
      <c r="N38" s="105">
        <f>-Cost!M42</f>
        <v>-398912.96982304694</v>
      </c>
      <c r="O38" s="105">
        <f>-Cost!N42</f>
        <v>-418858.61831419932</v>
      </c>
      <c r="P38" s="105">
        <f>-Cost!O42</f>
        <v>-439801.54922990932</v>
      </c>
      <c r="Q38" s="105">
        <f>-Cost!P42</f>
        <v>-461791.62669140479</v>
      </c>
      <c r="R38" s="105">
        <f>-Cost!Q42</f>
        <v>-484881.20802597504</v>
      </c>
      <c r="S38" s="105">
        <f>-Cost!R42</f>
        <v>-509125.26842727378</v>
      </c>
      <c r="T38" s="105">
        <f>-Cost!S42</f>
        <v>-534581.5318486375</v>
      </c>
      <c r="U38" s="105">
        <f>-Cost!T42</f>
        <v>-561310.60844106937</v>
      </c>
      <c r="V38" s="105">
        <f>-Cost!U42</f>
        <v>-589376.13886312291</v>
      </c>
      <c r="W38" s="105">
        <f>-Cost!V42</f>
        <v>-618844.94580627908</v>
      </c>
      <c r="X38" s="105">
        <f>-Cost!W42</f>
        <v>-649787.19309659302</v>
      </c>
      <c r="Y38" s="9"/>
      <c r="Z38" s="9"/>
      <c r="AA38" s="9"/>
    </row>
    <row r="39" spans="3:27" x14ac:dyDescent="0.2">
      <c r="C39" s="30" t="s">
        <v>51</v>
      </c>
      <c r="D39" s="43">
        <f>-Cost!C43</f>
        <v>0</v>
      </c>
      <c r="E39" s="105">
        <f>-Cost!D43</f>
        <v>-404868</v>
      </c>
      <c r="F39" s="105">
        <f>-Cost!E43</f>
        <v>-404868</v>
      </c>
      <c r="G39" s="105">
        <f>-Cost!F43</f>
        <v>-404868</v>
      </c>
      <c r="H39" s="105">
        <f>-Cost!G43</f>
        <v>-431859.20000000001</v>
      </c>
      <c r="I39" s="105">
        <f>-Cost!H43</f>
        <v>-431859.20000000001</v>
      </c>
      <c r="J39" s="105">
        <f>-Cost!I43</f>
        <v>-431859.20000000001</v>
      </c>
      <c r="K39" s="105">
        <f>-Cost!J43</f>
        <v>-431859.20000000001</v>
      </c>
      <c r="L39" s="105">
        <f>-Cost!K43</f>
        <v>-431859.20000000001</v>
      </c>
      <c r="M39" s="105">
        <f>-Cost!L43</f>
        <v>-431859.20000000001</v>
      </c>
      <c r="N39" s="105">
        <f>-Cost!M43</f>
        <v>-431859.20000000001</v>
      </c>
      <c r="O39" s="105">
        <f>-Cost!N43</f>
        <v>-431859.20000000001</v>
      </c>
      <c r="P39" s="105">
        <f>-Cost!O43</f>
        <v>-431859.20000000001</v>
      </c>
      <c r="Q39" s="105">
        <f>-Cost!P43</f>
        <v>-431859.20000000001</v>
      </c>
      <c r="R39" s="105">
        <f>-Cost!Q43</f>
        <v>-431859.20000000001</v>
      </c>
      <c r="S39" s="105">
        <f>-Cost!R43</f>
        <v>-431859.20000000001</v>
      </c>
      <c r="T39" s="105">
        <f>-Cost!S43</f>
        <v>-431859.20000000001</v>
      </c>
      <c r="U39" s="105">
        <f>-Cost!T43</f>
        <v>-431859.20000000001</v>
      </c>
      <c r="V39" s="105">
        <f>-Cost!U43</f>
        <v>-431859.20000000001</v>
      </c>
      <c r="W39" s="105">
        <f>-Cost!V43</f>
        <v>-431859.20000000001</v>
      </c>
      <c r="X39" s="105">
        <f>-Cost!W43</f>
        <v>-431859.20000000001</v>
      </c>
      <c r="Z39" s="9"/>
    </row>
    <row r="40" spans="3:27" x14ac:dyDescent="0.2">
      <c r="C40" s="30" t="s">
        <v>26</v>
      </c>
      <c r="D40" s="105">
        <f>-Cost!C44</f>
        <v>-240</v>
      </c>
      <c r="E40" s="105">
        <f>-Cost!D44</f>
        <v>-660</v>
      </c>
      <c r="F40" s="105">
        <f>-Cost!E44</f>
        <v>-660</v>
      </c>
      <c r="G40" s="105">
        <f>-Cost!F44</f>
        <v>-660</v>
      </c>
      <c r="H40" s="105">
        <f>-Cost!G44</f>
        <v>-660</v>
      </c>
      <c r="I40" s="105">
        <f>-Cost!H44</f>
        <v>-660</v>
      </c>
      <c r="J40" s="105">
        <f>-Cost!I44</f>
        <v>-660</v>
      </c>
      <c r="K40" s="105">
        <f>-Cost!J44</f>
        <v>-660</v>
      </c>
      <c r="L40" s="105">
        <f>-Cost!K44</f>
        <v>-660</v>
      </c>
      <c r="M40" s="105">
        <f>-Cost!L44</f>
        <v>-660</v>
      </c>
      <c r="N40" s="105">
        <f>-Cost!M44</f>
        <v>-660</v>
      </c>
      <c r="O40" s="105">
        <f>-Cost!N44</f>
        <v>-660</v>
      </c>
      <c r="P40" s="105">
        <f>-Cost!O44</f>
        <v>-660</v>
      </c>
      <c r="Q40" s="105">
        <f>-Cost!P44</f>
        <v>-660</v>
      </c>
      <c r="R40" s="105">
        <f>-Cost!Q44</f>
        <v>-660</v>
      </c>
      <c r="S40" s="105">
        <f>-Cost!R44</f>
        <v>-660</v>
      </c>
      <c r="T40" s="105">
        <f>-Cost!S44</f>
        <v>-660</v>
      </c>
      <c r="U40" s="105">
        <f>-Cost!T44</f>
        <v>-660</v>
      </c>
      <c r="V40" s="105">
        <f>-Cost!U44</f>
        <v>-660</v>
      </c>
      <c r="W40" s="105">
        <f>-Cost!V44</f>
        <v>-660</v>
      </c>
      <c r="X40" s="105">
        <f>-Cost!W44</f>
        <v>-660</v>
      </c>
      <c r="Y40" s="9"/>
      <c r="Z40" s="9"/>
      <c r="AA40" s="9"/>
    </row>
    <row r="41" spans="3:27" x14ac:dyDescent="0.2">
      <c r="C41" s="30" t="s">
        <v>241</v>
      </c>
      <c r="D41" s="105">
        <f>-Cost!C45</f>
        <v>-8000</v>
      </c>
      <c r="E41" s="105">
        <f>-Cost!D45</f>
        <v>-4900</v>
      </c>
      <c r="F41" s="43">
        <f>-Cost!E45</f>
        <v>0</v>
      </c>
      <c r="G41" s="43">
        <f>-Cost!F45</f>
        <v>0</v>
      </c>
      <c r="H41" s="43">
        <f>-Cost!G45</f>
        <v>0</v>
      </c>
      <c r="I41" s="43">
        <f>-Cost!H45</f>
        <v>0</v>
      </c>
      <c r="J41" s="43">
        <f>-Cost!I45</f>
        <v>0</v>
      </c>
      <c r="K41" s="43">
        <f>-Cost!J45</f>
        <v>0</v>
      </c>
      <c r="L41" s="43">
        <f>-Cost!K45</f>
        <v>0</v>
      </c>
      <c r="M41" s="43">
        <f>-Cost!L45</f>
        <v>0</v>
      </c>
      <c r="N41" s="43">
        <f>-Cost!M45</f>
        <v>0</v>
      </c>
      <c r="O41" s="43">
        <f>-Cost!N45</f>
        <v>0</v>
      </c>
      <c r="P41" s="43">
        <f>-Cost!O45</f>
        <v>0</v>
      </c>
      <c r="Q41" s="43">
        <f>-Cost!P45</f>
        <v>0</v>
      </c>
      <c r="R41" s="43">
        <f>-Cost!Q45</f>
        <v>0</v>
      </c>
      <c r="S41" s="43">
        <f>-Cost!R45</f>
        <v>0</v>
      </c>
      <c r="T41" s="43">
        <f>-Cost!S45</f>
        <v>0</v>
      </c>
      <c r="U41" s="43">
        <f>-Cost!T45</f>
        <v>0</v>
      </c>
      <c r="V41" s="43">
        <f>-Cost!U45</f>
        <v>0</v>
      </c>
      <c r="W41" s="43">
        <f>-Cost!V45</f>
        <v>0</v>
      </c>
      <c r="X41" s="43">
        <f>-Cost!W45</f>
        <v>0</v>
      </c>
      <c r="Y41" s="9"/>
      <c r="Z41" s="9"/>
    </row>
    <row r="42" spans="3:27" x14ac:dyDescent="0.2">
      <c r="C42" s="30" t="s">
        <v>2</v>
      </c>
      <c r="D42" s="105">
        <f>-Cost!C46</f>
        <v>-24000</v>
      </c>
      <c r="E42" s="105">
        <f>-Cost!D46</f>
        <v>-66726</v>
      </c>
      <c r="F42" s="105">
        <f>-Cost!E46</f>
        <v>-67459.98599999999</v>
      </c>
      <c r="G42" s="105">
        <f>-Cost!F46</f>
        <v>-68202.045845999979</v>
      </c>
      <c r="H42" s="105">
        <f>-Cost!G46</f>
        <v>-68952.268350305967</v>
      </c>
      <c r="I42" s="105">
        <f>-Cost!H46</f>
        <v>-69710.743302159332</v>
      </c>
      <c r="J42" s="105">
        <f>-Cost!I46</f>
        <v>-70477.561478483083</v>
      </c>
      <c r="K42" s="105">
        <f>-Cost!J46</f>
        <v>-71252.814654746384</v>
      </c>
      <c r="L42" s="105">
        <f>-Cost!K46</f>
        <v>-72036.595615948594</v>
      </c>
      <c r="M42" s="105">
        <f>-Cost!L46</f>
        <v>-72828.998167724028</v>
      </c>
      <c r="N42" s="105">
        <f>-Cost!M46</f>
        <v>-73630.117147568992</v>
      </c>
      <c r="O42" s="105">
        <f>-Cost!N46</f>
        <v>-74440.048436192243</v>
      </c>
      <c r="P42" s="105">
        <f>-Cost!O46</f>
        <v>-75258.888968990344</v>
      </c>
      <c r="Q42" s="105">
        <f>-Cost!P46</f>
        <v>-76086.736747649236</v>
      </c>
      <c r="R42" s="105">
        <f>-Cost!Q46</f>
        <v>-76923.690851873369</v>
      </c>
      <c r="S42" s="105">
        <f>-Cost!R46</f>
        <v>-77769.851451243972</v>
      </c>
      <c r="T42" s="105">
        <f>-Cost!S46</f>
        <v>-78625.319817207652</v>
      </c>
      <c r="U42" s="105">
        <f>-Cost!T46</f>
        <v>-79490.198335196925</v>
      </c>
      <c r="V42" s="105">
        <f>-Cost!U46</f>
        <v>-80364.590516884084</v>
      </c>
      <c r="W42" s="105">
        <f>-Cost!V46</f>
        <v>-81248.601012569794</v>
      </c>
      <c r="X42" s="105">
        <f>-Cost!W46</f>
        <v>-82142.335623708059</v>
      </c>
      <c r="Z42" s="9"/>
    </row>
    <row r="43" spans="3:27" x14ac:dyDescent="0.2">
      <c r="C43" s="30" t="s">
        <v>118</v>
      </c>
      <c r="D43" s="43">
        <f>-Cost!C47</f>
        <v>0</v>
      </c>
      <c r="E43" s="105">
        <f>-Cost!D47</f>
        <v>-2883500.0000000005</v>
      </c>
      <c r="F43" s="105">
        <f>-Cost!E47</f>
        <v>-4613600.0000000009</v>
      </c>
      <c r="G43" s="105">
        <f>-Cost!F47</f>
        <v>-7381760.0000000009</v>
      </c>
      <c r="H43" s="105">
        <f>-Cost!G47</f>
        <v>-11810816.000000002</v>
      </c>
      <c r="I43" s="105">
        <f>-Cost!H47</f>
        <v>-18897305.600000001</v>
      </c>
      <c r="J43" s="105">
        <f>-Cost!I47</f>
        <v>-30235688.960000005</v>
      </c>
      <c r="K43" s="105">
        <f>-Cost!J47</f>
        <v>-48377102.33600001</v>
      </c>
      <c r="L43" s="105">
        <f>-Cost!K47</f>
        <v>-77403363.737600029</v>
      </c>
      <c r="M43" s="105">
        <f>-Cost!L47</f>
        <v>-123845381.98016004</v>
      </c>
      <c r="N43" s="105">
        <f>-Cost!M47</f>
        <v>-198152611.1682561</v>
      </c>
      <c r="O43" s="105">
        <f>-Cost!N47</f>
        <v>-317044177.86920977</v>
      </c>
      <c r="P43" s="105">
        <f>-Cost!O47</f>
        <v>-507270684.59073561</v>
      </c>
      <c r="Q43" s="105">
        <f>-Cost!P47</f>
        <v>-811633095.34517705</v>
      </c>
      <c r="R43" s="105">
        <f>-Cost!Q47</f>
        <v>-1298612952.5522833</v>
      </c>
      <c r="S43" s="105">
        <f>-Cost!R47</f>
        <v>-2077780724.0836535</v>
      </c>
      <c r="T43" s="105">
        <f>-Cost!S47</f>
        <v>-3324449158.5338454</v>
      </c>
      <c r="U43" s="105">
        <f>-Cost!T47</f>
        <v>-5319118653.6541529</v>
      </c>
      <c r="V43" s="105">
        <f>-Cost!U47</f>
        <v>-8510589845.8466454</v>
      </c>
      <c r="W43" s="105">
        <f>-Cost!V47</f>
        <v>-13616943753.354633</v>
      </c>
      <c r="X43" s="105">
        <f>-Cost!W47</f>
        <v>-21787110005.367416</v>
      </c>
      <c r="Z43" s="9"/>
    </row>
    <row r="44" spans="3:27" s="2" customFormat="1" x14ac:dyDescent="0.2">
      <c r="C44" s="34" t="s">
        <v>23</v>
      </c>
      <c r="D44" s="122">
        <f>SUM(D28:D43)</f>
        <v>-543140</v>
      </c>
      <c r="E44" s="122">
        <f t="shared" ref="E44:X44" si="6">SUM(E28:E43)</f>
        <v>-3979789.8000000007</v>
      </c>
      <c r="F44" s="122">
        <f t="shared" si="6"/>
        <v>-5727376.5860000011</v>
      </c>
      <c r="G44" s="122">
        <f t="shared" si="6"/>
        <v>-8537738.5258460008</v>
      </c>
      <c r="H44" s="122">
        <f t="shared" si="6"/>
        <v>-13046228.006350309</v>
      </c>
      <c r="I44" s="122">
        <f t="shared" si="6"/>
        <v>-20200807.43660216</v>
      </c>
      <c r="J44" s="122">
        <f t="shared" si="6"/>
        <v>-31631543.048883487</v>
      </c>
      <c r="K44" s="122">
        <f t="shared" si="6"/>
        <v>-49903316.401534006</v>
      </c>
      <c r="L44" s="122">
        <f t="shared" si="6"/>
        <v>-79119897.572005585</v>
      </c>
      <c r="M44" s="122">
        <f t="shared" si="6"/>
        <v>-125847276.2496431</v>
      </c>
      <c r="N44" s="122">
        <f t="shared" si="6"/>
        <v>-200590991.38322276</v>
      </c>
      <c r="O44" s="122">
        <f t="shared" si="6"/>
        <v>-320159858.51105678</v>
      </c>
      <c r="P44" s="122">
        <f t="shared" si="6"/>
        <v>-511447933.37790722</v>
      </c>
      <c r="Q44" s="122">
        <f t="shared" si="6"/>
        <v>-817485653.6052314</v>
      </c>
      <c r="R44" s="122">
        <f t="shared" si="6"/>
        <v>-1307121665.2409177</v>
      </c>
      <c r="S44" s="122">
        <f t="shared" si="6"/>
        <v>-2090513745.1100729</v>
      </c>
      <c r="T44" s="122">
        <f t="shared" si="6"/>
        <v>-3343914276.4410539</v>
      </c>
      <c r="U44" s="122">
        <f t="shared" si="6"/>
        <v>-5349327009.7251282</v>
      </c>
      <c r="V44" s="122">
        <f t="shared" si="6"/>
        <v>-8557957879.9428406</v>
      </c>
      <c r="W44" s="122">
        <f t="shared" si="6"/>
        <v>-13691736313.96966</v>
      </c>
      <c r="X44" s="122">
        <f t="shared" si="6"/>
        <v>-21905749322.260635</v>
      </c>
      <c r="Z44" s="108"/>
    </row>
    <row r="45" spans="3:27" x14ac:dyDescent="0.2">
      <c r="C45" s="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3:27" x14ac:dyDescent="0.2">
      <c r="C46" s="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3:27" x14ac:dyDescent="0.2">
      <c r="C47" s="36" t="s">
        <v>91</v>
      </c>
      <c r="D47" s="105">
        <f t="shared" ref="D47:X47" si="7">D27+D44</f>
        <v>-543140</v>
      </c>
      <c r="E47" s="105">
        <f t="shared" si="7"/>
        <v>-605889.80000000075</v>
      </c>
      <c r="F47" s="105">
        <f t="shared" si="7"/>
        <v>-329136.58600000106</v>
      </c>
      <c r="G47" s="43">
        <f t="shared" si="7"/>
        <v>99445.474153999239</v>
      </c>
      <c r="H47" s="43">
        <f t="shared" si="7"/>
        <v>773266.39364968985</v>
      </c>
      <c r="I47" s="43">
        <f t="shared" si="7"/>
        <v>1910383.6033978388</v>
      </c>
      <c r="J47" s="43">
        <f t="shared" si="7"/>
        <v>3746362.615116518</v>
      </c>
      <c r="K47" s="43">
        <f t="shared" si="7"/>
        <v>6701332.6608659923</v>
      </c>
      <c r="L47" s="43">
        <f t="shared" si="7"/>
        <v>11447540.927834421</v>
      </c>
      <c r="M47" s="43">
        <f t="shared" si="7"/>
        <v>19060625.35010092</v>
      </c>
      <c r="N47" s="43">
        <f t="shared" si="7"/>
        <v>31261651.17636767</v>
      </c>
      <c r="O47" s="43">
        <f t="shared" si="7"/>
        <v>50804369.584288001</v>
      </c>
      <c r="P47" s="43">
        <f t="shared" si="7"/>
        <v>82094831.574644387</v>
      </c>
      <c r="Q47" s="43">
        <f t="shared" si="7"/>
        <v>132182770.31885111</v>
      </c>
      <c r="R47" s="43">
        <f t="shared" si="7"/>
        <v>212347813.03761506</v>
      </c>
      <c r="S47" s="43">
        <f t="shared" si="7"/>
        <v>340637420.13557935</v>
      </c>
      <c r="T47" s="43">
        <f t="shared" si="7"/>
        <v>545927587.9519887</v>
      </c>
      <c r="U47" s="43">
        <f t="shared" si="7"/>
        <v>874419973.30374241</v>
      </c>
      <c r="V47" s="43">
        <f t="shared" si="7"/>
        <v>1400037292.9033508</v>
      </c>
      <c r="W47" s="43">
        <f t="shared" si="7"/>
        <v>2241055962.5842457</v>
      </c>
      <c r="X47" s="43">
        <f t="shared" si="7"/>
        <v>3586718320.2256165</v>
      </c>
    </row>
    <row r="48" spans="3:27" x14ac:dyDescent="0.2">
      <c r="C48" s="36" t="s">
        <v>92</v>
      </c>
      <c r="D48" s="106">
        <f>D47/E55</f>
        <v>-543140</v>
      </c>
      <c r="E48" s="106">
        <f t="shared" ref="E48:X48" si="8">E47/F55</f>
        <v>-550808.90909090976</v>
      </c>
      <c r="F48" s="106">
        <f t="shared" si="8"/>
        <v>-272013.70743801736</v>
      </c>
      <c r="G48" s="104">
        <f t="shared" si="8"/>
        <v>74714.856614574906</v>
      </c>
      <c r="H48" s="104">
        <f t="shared" si="8"/>
        <v>528151.3514443615</v>
      </c>
      <c r="I48" s="104">
        <f t="shared" si="8"/>
        <v>1186197.914572302</v>
      </c>
      <c r="J48" s="104">
        <f t="shared" si="8"/>
        <v>2114724.0287613673</v>
      </c>
      <c r="K48" s="104">
        <f t="shared" si="8"/>
        <v>3438843.2578879655</v>
      </c>
      <c r="L48" s="104">
        <f t="shared" si="8"/>
        <v>5340362.3280877341</v>
      </c>
      <c r="M48" s="104">
        <f t="shared" si="8"/>
        <v>8083565.8156680064</v>
      </c>
      <c r="N48" s="104">
        <f t="shared" si="8"/>
        <v>12052719.827535374</v>
      </c>
      <c r="O48" s="104">
        <f t="shared" si="8"/>
        <v>17806621.606290936</v>
      </c>
      <c r="P48" s="104">
        <f t="shared" si="8"/>
        <v>26157943.314422939</v>
      </c>
      <c r="Q48" s="104">
        <f t="shared" si="8"/>
        <v>38288640.17628707</v>
      </c>
      <c r="R48" s="104">
        <f t="shared" si="8"/>
        <v>55917815.956348084</v>
      </c>
      <c r="S48" s="104">
        <f t="shared" si="8"/>
        <v>81545890.098081067</v>
      </c>
      <c r="T48" s="104">
        <f t="shared" si="8"/>
        <v>118809749.16999161</v>
      </c>
      <c r="U48" s="104">
        <f t="shared" si="8"/>
        <v>172999330.09794384</v>
      </c>
      <c r="V48" s="104">
        <f t="shared" si="8"/>
        <v>251809013.329368</v>
      </c>
      <c r="W48" s="104">
        <f t="shared" si="8"/>
        <v>366430557.77202755</v>
      </c>
      <c r="X48" s="104">
        <f t="shared" si="8"/>
        <v>533142823.81899732</v>
      </c>
    </row>
    <row r="49" spans="3:26" x14ac:dyDescent="0.2">
      <c r="C49" s="36" t="s">
        <v>93</v>
      </c>
      <c r="D49" s="105">
        <f>D48</f>
        <v>-543140</v>
      </c>
      <c r="E49" s="105">
        <f>D49+E47</f>
        <v>-1149029.8000000007</v>
      </c>
      <c r="F49" s="105">
        <f>E49+F47</f>
        <v>-1478166.3860000018</v>
      </c>
      <c r="G49" s="105">
        <f t="shared" ref="G49:X49" si="9">F49+G47</f>
        <v>-1378720.9118460026</v>
      </c>
      <c r="H49" s="105">
        <f t="shared" si="9"/>
        <v>-605454.51819631271</v>
      </c>
      <c r="I49" s="43">
        <f>H49+I47</f>
        <v>1304929.0852015261</v>
      </c>
      <c r="J49" s="43">
        <f t="shared" si="9"/>
        <v>5051291.7003180441</v>
      </c>
      <c r="K49" s="43">
        <f t="shared" si="9"/>
        <v>11752624.361184036</v>
      </c>
      <c r="L49" s="43">
        <f t="shared" si="9"/>
        <v>23200165.28901846</v>
      </c>
      <c r="M49" s="43">
        <f t="shared" si="9"/>
        <v>42260790.639119379</v>
      </c>
      <c r="N49" s="43">
        <f t="shared" si="9"/>
        <v>73522441.815487057</v>
      </c>
      <c r="O49" s="43">
        <f t="shared" si="9"/>
        <v>124326811.39977506</v>
      </c>
      <c r="P49" s="43">
        <f t="shared" si="9"/>
        <v>206421642.97441944</v>
      </c>
      <c r="Q49" s="43">
        <f t="shared" si="9"/>
        <v>338604413.29327059</v>
      </c>
      <c r="R49" s="43">
        <f t="shared" si="9"/>
        <v>550952226.33088565</v>
      </c>
      <c r="S49" s="43">
        <f t="shared" si="9"/>
        <v>891589646.466465</v>
      </c>
      <c r="T49" s="43">
        <f t="shared" si="9"/>
        <v>1437517234.4184537</v>
      </c>
      <c r="U49" s="43">
        <f t="shared" si="9"/>
        <v>2311937207.7221961</v>
      </c>
      <c r="V49" s="43">
        <f t="shared" si="9"/>
        <v>3711974500.6255469</v>
      </c>
      <c r="W49" s="43">
        <f t="shared" si="9"/>
        <v>5953030463.2097931</v>
      </c>
      <c r="X49" s="43">
        <f t="shared" si="9"/>
        <v>9539748783.4354095</v>
      </c>
    </row>
    <row r="50" spans="3:26" x14ac:dyDescent="0.2">
      <c r="C50" s="36" t="s">
        <v>289</v>
      </c>
      <c r="D50" s="105">
        <f>D49</f>
        <v>-543140</v>
      </c>
      <c r="E50" s="105">
        <f>D50+E48</f>
        <v>-1093948.9090909096</v>
      </c>
      <c r="F50" s="105">
        <f>E50+F48</f>
        <v>-1365962.6165289269</v>
      </c>
      <c r="G50" s="105">
        <f t="shared" ref="G50:X50" si="10">F50+G48</f>
        <v>-1291247.7599143521</v>
      </c>
      <c r="H50" s="105">
        <f t="shared" si="10"/>
        <v>-763096.40846999059</v>
      </c>
      <c r="I50" s="43">
        <f t="shared" si="10"/>
        <v>423101.50610231142</v>
      </c>
      <c r="J50" s="43">
        <f t="shared" si="10"/>
        <v>2537825.5348636787</v>
      </c>
      <c r="K50" s="43">
        <f t="shared" si="10"/>
        <v>5976668.7927516438</v>
      </c>
      <c r="L50" s="43">
        <f t="shared" si="10"/>
        <v>11317031.120839378</v>
      </c>
      <c r="M50" s="43">
        <f t="shared" si="10"/>
        <v>19400596.936507385</v>
      </c>
      <c r="N50" s="43">
        <f t="shared" si="10"/>
        <v>31453316.764042757</v>
      </c>
      <c r="O50" s="43">
        <f t="shared" si="10"/>
        <v>49259938.370333694</v>
      </c>
      <c r="P50" s="43">
        <f t="shared" si="10"/>
        <v>75417881.684756637</v>
      </c>
      <c r="Q50" s="43">
        <f t="shared" si="10"/>
        <v>113706521.86104371</v>
      </c>
      <c r="R50" s="43">
        <f t="shared" si="10"/>
        <v>169624337.81739178</v>
      </c>
      <c r="S50" s="43">
        <f t="shared" si="10"/>
        <v>251170227.91547287</v>
      </c>
      <c r="T50" s="43">
        <f t="shared" si="10"/>
        <v>369979977.08546448</v>
      </c>
      <c r="U50" s="43">
        <f t="shared" si="10"/>
        <v>542979307.18340826</v>
      </c>
      <c r="V50" s="43">
        <f t="shared" si="10"/>
        <v>794788320.51277626</v>
      </c>
      <c r="W50" s="43">
        <f t="shared" si="10"/>
        <v>1161218878.2848039</v>
      </c>
      <c r="X50" s="43">
        <f t="shared" si="10"/>
        <v>1694361702.1038013</v>
      </c>
      <c r="Z50" s="10"/>
    </row>
    <row r="51" spans="3:26" x14ac:dyDescent="0.2">
      <c r="C51" s="2"/>
    </row>
    <row r="52" spans="3:26" x14ac:dyDescent="0.2">
      <c r="C52" s="2"/>
    </row>
    <row r="53" spans="3:26" ht="21" x14ac:dyDescent="0.2">
      <c r="C53" s="184" t="s">
        <v>279</v>
      </c>
      <c r="D53" s="184"/>
      <c r="E53" s="11">
        <v>0.1</v>
      </c>
      <c r="F53" s="12"/>
    </row>
    <row r="54" spans="3:26" x14ac:dyDescent="0.2">
      <c r="C54" s="193" t="s">
        <v>96</v>
      </c>
      <c r="D54" s="193"/>
      <c r="E54" s="13">
        <v>0</v>
      </c>
      <c r="F54" s="14">
        <v>1</v>
      </c>
      <c r="G54" s="14">
        <v>2</v>
      </c>
      <c r="H54" s="14">
        <v>3</v>
      </c>
      <c r="I54" s="14">
        <f>H54+1</f>
        <v>4</v>
      </c>
      <c r="J54" s="14">
        <f t="shared" ref="J54:Y54" si="11">I54+1</f>
        <v>5</v>
      </c>
      <c r="K54" s="14">
        <f t="shared" si="11"/>
        <v>6</v>
      </c>
      <c r="L54" s="14">
        <f t="shared" si="11"/>
        <v>7</v>
      </c>
      <c r="M54" s="14">
        <f t="shared" si="11"/>
        <v>8</v>
      </c>
      <c r="N54" s="14">
        <f t="shared" si="11"/>
        <v>9</v>
      </c>
      <c r="O54" s="14">
        <f t="shared" si="11"/>
        <v>10</v>
      </c>
      <c r="P54" s="14">
        <f t="shared" si="11"/>
        <v>11</v>
      </c>
      <c r="Q54" s="14">
        <f>P54+1</f>
        <v>12</v>
      </c>
      <c r="R54" s="14">
        <f t="shared" si="11"/>
        <v>13</v>
      </c>
      <c r="S54" s="14">
        <f t="shared" si="11"/>
        <v>14</v>
      </c>
      <c r="T54" s="14">
        <f t="shared" si="11"/>
        <v>15</v>
      </c>
      <c r="U54" s="14">
        <f>T54+1</f>
        <v>16</v>
      </c>
      <c r="V54" s="14">
        <f t="shared" si="11"/>
        <v>17</v>
      </c>
      <c r="W54" s="14">
        <f t="shared" si="11"/>
        <v>18</v>
      </c>
      <c r="X54" s="14">
        <f t="shared" si="11"/>
        <v>19</v>
      </c>
      <c r="Y54" s="14">
        <f t="shared" si="11"/>
        <v>20</v>
      </c>
    </row>
    <row r="55" spans="3:26" x14ac:dyDescent="0.2">
      <c r="C55" s="192" t="s">
        <v>97</v>
      </c>
      <c r="D55" s="192"/>
      <c r="E55" s="16">
        <f>(1+E53)^E54</f>
        <v>1</v>
      </c>
      <c r="F55" s="17">
        <f>(1+E53)^F54</f>
        <v>1.1000000000000001</v>
      </c>
      <c r="G55" s="17">
        <f>(1+E53)^G54</f>
        <v>1.2100000000000002</v>
      </c>
      <c r="H55" s="17">
        <f>(1+E53)^H54</f>
        <v>1.3310000000000004</v>
      </c>
      <c r="I55" s="17">
        <f>(1+E53)^I54</f>
        <v>1.4641000000000004</v>
      </c>
      <c r="J55" s="17">
        <f>(1+E53)^J54</f>
        <v>1.6105100000000006</v>
      </c>
      <c r="K55" s="17">
        <f>(1+E53)^K54</f>
        <v>1.7715610000000008</v>
      </c>
      <c r="L55" s="17">
        <f>(1+E53)^L54</f>
        <v>1.9487171000000012</v>
      </c>
      <c r="M55" s="17">
        <f>(1+E53)^M54</f>
        <v>2.1435888100000011</v>
      </c>
      <c r="N55" s="17">
        <f>(1+E53)^N54</f>
        <v>2.3579476910000015</v>
      </c>
      <c r="O55" s="17">
        <f>(1+E53)^O54</f>
        <v>2.5937424601000019</v>
      </c>
      <c r="P55" s="17">
        <f>(1+E53)^P54</f>
        <v>2.8531167061100025</v>
      </c>
      <c r="Q55" s="17">
        <f>(1+E53)^Q54</f>
        <v>3.1384283767210026</v>
      </c>
      <c r="R55" s="17">
        <f>(1+E53)^R54</f>
        <v>3.4522712143931029</v>
      </c>
      <c r="S55" s="17">
        <f>(1+E53)^S54</f>
        <v>3.7974983358324139</v>
      </c>
      <c r="T55" s="17">
        <f>(1+E53)^T54</f>
        <v>4.1772481694156554</v>
      </c>
      <c r="U55" s="17">
        <f>(1+E53)^U54</f>
        <v>4.5949729863572211</v>
      </c>
      <c r="V55" s="17">
        <f>(1+E53)^V54</f>
        <v>5.0544702849929433</v>
      </c>
      <c r="W55" s="17">
        <f>(1+E53)^W54</f>
        <v>5.5599173134922379</v>
      </c>
      <c r="X55" s="17">
        <f>(1+E53)^X54</f>
        <v>6.1159090448414632</v>
      </c>
      <c r="Y55" s="17">
        <f>(1+E53)^Y54</f>
        <v>6.7274999493256091</v>
      </c>
    </row>
    <row r="56" spans="3:26" x14ac:dyDescent="0.2">
      <c r="C56" s="15"/>
      <c r="D56" s="15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3:26" x14ac:dyDescent="0.2">
      <c r="C57" s="15"/>
      <c r="D57" s="15"/>
      <c r="E57" s="1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3:26" ht="21" x14ac:dyDescent="0.2">
      <c r="C58" s="184" t="s">
        <v>278</v>
      </c>
      <c r="D58" s="184"/>
    </row>
    <row r="59" spans="3:26" ht="21" x14ac:dyDescent="0.2">
      <c r="C59" s="103"/>
      <c r="D59" s="103"/>
    </row>
    <row r="60" spans="3:26" ht="18" customHeight="1" x14ac:dyDescent="0.2">
      <c r="C60" s="103"/>
      <c r="D60" s="116" t="s">
        <v>13</v>
      </c>
      <c r="E60" s="116" t="s">
        <v>280</v>
      </c>
      <c r="F60" s="116" t="s">
        <v>98</v>
      </c>
    </row>
    <row r="61" spans="3:26" x14ac:dyDescent="0.2">
      <c r="C61" s="36" t="s">
        <v>129</v>
      </c>
      <c r="D61" s="105">
        <f>SUM(D44:X44)</f>
        <v>-58434541763.194588</v>
      </c>
      <c r="E61" s="117">
        <f>ROUND(D61,-9)</f>
        <v>-58000000000</v>
      </c>
      <c r="F61" s="49" t="s">
        <v>125</v>
      </c>
    </row>
    <row r="62" spans="3:26" x14ac:dyDescent="0.2">
      <c r="C62" s="36" t="s">
        <v>128</v>
      </c>
      <c r="D62" s="43">
        <f>SUM(D27:X27)</f>
        <v>67974290546.630005</v>
      </c>
      <c r="E62" s="118">
        <f t="shared" ref="E62:E63" si="12">ROUND(D62,-9)</f>
        <v>68000000000</v>
      </c>
      <c r="F62" s="49" t="s">
        <v>125</v>
      </c>
    </row>
    <row r="63" spans="3:26" x14ac:dyDescent="0.2">
      <c r="C63" s="36" t="s">
        <v>130</v>
      </c>
      <c r="D63" s="43">
        <f>D62-D61</f>
        <v>126408832309.82458</v>
      </c>
      <c r="E63" s="118">
        <f t="shared" si="12"/>
        <v>126000000000</v>
      </c>
      <c r="F63" s="49" t="s">
        <v>125</v>
      </c>
    </row>
  </sheetData>
  <mergeCells count="7">
    <mergeCell ref="C58:D58"/>
    <mergeCell ref="B2:F3"/>
    <mergeCell ref="B20:C20"/>
    <mergeCell ref="B6:C6"/>
    <mergeCell ref="C55:D55"/>
    <mergeCell ref="C54:D54"/>
    <mergeCell ref="C53:D53"/>
  </mergeCells>
  <hyperlinks>
    <hyperlink ref="B29" location="Cost!A1" display="Cost!B2" xr:uid="{306B2FE8-D0CD-4E4B-84AC-F8FE281EFA4F}"/>
    <hyperlink ref="B26" location="Revenue!B2" display="Revenue!B2" xr:uid="{F6673451-8072-1C42-A910-39A327ED57C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F849-5230-C34A-B6C9-B92A9BB2426B}">
  <sheetPr>
    <tabColor theme="8" tint="0.39997558519241921"/>
  </sheetPr>
  <dimension ref="B2:W16"/>
  <sheetViews>
    <sheetView topLeftCell="A2" zoomScaleNormal="90" workbookViewId="0">
      <selection activeCell="R40" sqref="R40"/>
    </sheetView>
  </sheetViews>
  <sheetFormatPr baseColWidth="10" defaultRowHeight="16" x14ac:dyDescent="0.2"/>
  <cols>
    <col min="2" max="2" width="21.83203125" customWidth="1"/>
    <col min="3" max="3" width="28" customWidth="1"/>
    <col min="4" max="4" width="17.5" customWidth="1"/>
    <col min="5" max="5" width="16.5" customWidth="1"/>
    <col min="6" max="6" width="18" customWidth="1"/>
    <col min="7" max="7" width="15.5" customWidth="1"/>
    <col min="8" max="8" width="17.1640625" customWidth="1"/>
    <col min="9" max="9" width="18" customWidth="1"/>
    <col min="10" max="11" width="17" customWidth="1"/>
    <col min="12" max="12" width="17.5" customWidth="1"/>
    <col min="13" max="13" width="18.6640625" customWidth="1"/>
    <col min="14" max="14" width="18.1640625" customWidth="1"/>
    <col min="15" max="16" width="19.83203125" customWidth="1"/>
    <col min="17" max="17" width="22.5" customWidth="1"/>
    <col min="18" max="18" width="19.83203125" customWidth="1"/>
    <col min="19" max="19" width="21.6640625" customWidth="1"/>
    <col min="20" max="20" width="22.5" customWidth="1"/>
    <col min="21" max="21" width="20.33203125" customWidth="1"/>
    <col min="22" max="22" width="19.6640625" customWidth="1"/>
    <col min="23" max="23" width="21" customWidth="1"/>
  </cols>
  <sheetData>
    <row r="2" spans="2:23" ht="26" customHeight="1" x14ac:dyDescent="0.2">
      <c r="B2" s="196" t="s">
        <v>20</v>
      </c>
      <c r="C2" s="197"/>
      <c r="D2" s="197"/>
      <c r="E2" s="197"/>
      <c r="F2" s="198"/>
    </row>
    <row r="3" spans="2:23" ht="16" customHeight="1" x14ac:dyDescent="0.2">
      <c r="B3" s="199"/>
      <c r="C3" s="200"/>
      <c r="D3" s="200"/>
      <c r="E3" s="200"/>
      <c r="F3" s="201"/>
    </row>
    <row r="5" spans="2:23" ht="23" customHeight="1" x14ac:dyDescent="0.2">
      <c r="B5" s="8"/>
      <c r="C5" s="8"/>
      <c r="D5" s="8"/>
    </row>
    <row r="6" spans="2:23" ht="19" x14ac:dyDescent="0.25">
      <c r="B6" s="91" t="s">
        <v>20</v>
      </c>
      <c r="C6" s="91" t="s">
        <v>0</v>
      </c>
      <c r="D6" s="194" t="s">
        <v>29</v>
      </c>
      <c r="E6" s="194"/>
      <c r="F6" s="194"/>
      <c r="G6" s="194"/>
      <c r="H6" s="194"/>
      <c r="I6" s="194"/>
      <c r="J6" s="194"/>
      <c r="K6" s="194"/>
      <c r="L6" s="194"/>
      <c r="M6" s="91" t="s">
        <v>258</v>
      </c>
      <c r="N6" s="50"/>
      <c r="O6" s="50"/>
      <c r="P6" s="50"/>
      <c r="Q6" s="50"/>
      <c r="R6" s="50"/>
      <c r="S6" s="50"/>
      <c r="T6" s="50"/>
      <c r="U6" s="50"/>
    </row>
    <row r="7" spans="2:23" x14ac:dyDescent="0.2">
      <c r="B7" s="41" t="s">
        <v>4</v>
      </c>
      <c r="C7" s="41" t="s">
        <v>182</v>
      </c>
      <c r="D7" s="195" t="s">
        <v>183</v>
      </c>
      <c r="E7" s="195"/>
      <c r="F7" s="195"/>
      <c r="G7" s="195"/>
      <c r="H7" s="195"/>
      <c r="I7" s="195"/>
      <c r="J7" s="195"/>
      <c r="K7" s="195"/>
      <c r="L7" s="195"/>
      <c r="M7" s="92" t="s">
        <v>259</v>
      </c>
    </row>
    <row r="8" spans="2:23" x14ac:dyDescent="0.2">
      <c r="B8" s="41" t="s">
        <v>32</v>
      </c>
      <c r="C8" s="41" t="s">
        <v>34</v>
      </c>
      <c r="D8" s="195" t="s">
        <v>49</v>
      </c>
      <c r="E8" s="195"/>
      <c r="F8" s="195"/>
      <c r="G8" s="195"/>
      <c r="H8" s="195"/>
      <c r="I8" s="195"/>
      <c r="J8" s="195"/>
      <c r="K8" s="195"/>
      <c r="L8" s="195"/>
      <c r="M8" s="92" t="s">
        <v>260</v>
      </c>
    </row>
    <row r="12" spans="2:23" x14ac:dyDescent="0.2">
      <c r="B12" s="93" t="s">
        <v>46</v>
      </c>
      <c r="C12" s="94">
        <v>0</v>
      </c>
      <c r="D12" s="94">
        <v>1</v>
      </c>
      <c r="E12" s="94">
        <v>2</v>
      </c>
      <c r="F12" s="94">
        <v>3</v>
      </c>
      <c r="G12" s="94">
        <v>4</v>
      </c>
      <c r="H12" s="94">
        <v>5</v>
      </c>
      <c r="I12" s="94">
        <v>6</v>
      </c>
      <c r="J12" s="94">
        <v>7</v>
      </c>
      <c r="K12" s="94">
        <v>8</v>
      </c>
      <c r="L12" s="94">
        <v>9</v>
      </c>
      <c r="M12" s="94">
        <v>10</v>
      </c>
      <c r="N12" s="94">
        <v>11</v>
      </c>
      <c r="O12" s="94">
        <v>12</v>
      </c>
      <c r="P12" s="94">
        <v>13</v>
      </c>
      <c r="Q12" s="94">
        <v>14</v>
      </c>
      <c r="R12" s="94">
        <v>15</v>
      </c>
      <c r="S12" s="94">
        <v>16</v>
      </c>
      <c r="T12" s="94">
        <v>17</v>
      </c>
      <c r="U12" s="94">
        <v>18</v>
      </c>
      <c r="V12" s="94">
        <v>19</v>
      </c>
      <c r="W12" s="94">
        <v>20</v>
      </c>
    </row>
    <row r="13" spans="2:23" x14ac:dyDescent="0.2">
      <c r="B13" s="56" t="s">
        <v>19</v>
      </c>
      <c r="C13" s="56">
        <v>0</v>
      </c>
      <c r="D13" s="56">
        <v>50000</v>
      </c>
      <c r="E13" s="56">
        <f>D13*1.6</f>
        <v>80000</v>
      </c>
      <c r="F13" s="56">
        <f t="shared" ref="F13:W13" si="0">E13*1.6</f>
        <v>128000</v>
      </c>
      <c r="G13" s="56">
        <f t="shared" si="0"/>
        <v>204800</v>
      </c>
      <c r="H13" s="56">
        <f t="shared" si="0"/>
        <v>327680</v>
      </c>
      <c r="I13" s="56">
        <f t="shared" si="0"/>
        <v>524288</v>
      </c>
      <c r="J13" s="56">
        <f t="shared" si="0"/>
        <v>838860.80000000005</v>
      </c>
      <c r="K13" s="56">
        <f t="shared" si="0"/>
        <v>1342177.2800000003</v>
      </c>
      <c r="L13" s="56">
        <f t="shared" si="0"/>
        <v>2147483.6480000005</v>
      </c>
      <c r="M13" s="56">
        <f t="shared" si="0"/>
        <v>3435973.8368000011</v>
      </c>
      <c r="N13" s="56">
        <f t="shared" si="0"/>
        <v>5497558.1388800023</v>
      </c>
      <c r="O13" s="56">
        <f t="shared" si="0"/>
        <v>8796093.0222080033</v>
      </c>
      <c r="P13" s="56">
        <f t="shared" si="0"/>
        <v>14073748.835532807</v>
      </c>
      <c r="Q13" s="56">
        <f t="shared" si="0"/>
        <v>22517998.136852492</v>
      </c>
      <c r="R13" s="56">
        <f t="shared" si="0"/>
        <v>36028797.018963985</v>
      </c>
      <c r="S13" s="56">
        <f t="shared" si="0"/>
        <v>57646075.230342381</v>
      </c>
      <c r="T13" s="56">
        <f t="shared" si="0"/>
        <v>92233720.368547812</v>
      </c>
      <c r="U13" s="56">
        <f t="shared" si="0"/>
        <v>147573952.5896765</v>
      </c>
      <c r="V13" s="56">
        <f t="shared" si="0"/>
        <v>236118324.14348242</v>
      </c>
      <c r="W13" s="56">
        <f t="shared" si="0"/>
        <v>377789318.62957191</v>
      </c>
    </row>
    <row r="14" spans="2:23" x14ac:dyDescent="0.2">
      <c r="B14" s="95" t="s">
        <v>4</v>
      </c>
      <c r="C14" s="7">
        <v>0</v>
      </c>
      <c r="D14" s="6">
        <f>D13*0.6*8.99*12</f>
        <v>3236400</v>
      </c>
      <c r="E14" s="6">
        <f t="shared" ref="E14:W14" si="1">E13*0.6*8.99*12</f>
        <v>5178240</v>
      </c>
      <c r="F14" s="6">
        <f t="shared" si="1"/>
        <v>8285184</v>
      </c>
      <c r="G14" s="6">
        <f t="shared" si="1"/>
        <v>13256294.399999999</v>
      </c>
      <c r="H14" s="6">
        <f t="shared" si="1"/>
        <v>21210071.039999999</v>
      </c>
      <c r="I14" s="6">
        <f t="shared" si="1"/>
        <v>33936113.664000005</v>
      </c>
      <c r="J14" s="6">
        <f t="shared" si="1"/>
        <v>54297781.862399995</v>
      </c>
      <c r="K14" s="6">
        <f t="shared" si="1"/>
        <v>86876450.97984001</v>
      </c>
      <c r="L14" s="6">
        <f t="shared" si="1"/>
        <v>139002321.56774402</v>
      </c>
      <c r="M14" s="6">
        <f t="shared" si="1"/>
        <v>222403714.50839043</v>
      </c>
      <c r="N14" s="6">
        <f t="shared" si="1"/>
        <v>355845943.2134248</v>
      </c>
      <c r="O14" s="6">
        <f t="shared" si="1"/>
        <v>569353509.14147961</v>
      </c>
      <c r="P14" s="6">
        <f t="shared" si="1"/>
        <v>910965614.62636733</v>
      </c>
      <c r="Q14" s="6">
        <f t="shared" si="1"/>
        <v>1457544983.4021883</v>
      </c>
      <c r="R14" s="6">
        <f t="shared" si="1"/>
        <v>2332071973.443501</v>
      </c>
      <c r="S14" s="6">
        <f t="shared" si="1"/>
        <v>3731315157.5096011</v>
      </c>
      <c r="T14" s="6">
        <f t="shared" si="1"/>
        <v>5970104252.0153637</v>
      </c>
      <c r="U14" s="6">
        <f t="shared" si="1"/>
        <v>9552166803.2245808</v>
      </c>
      <c r="V14" s="6">
        <f t="shared" si="1"/>
        <v>15283466885.159328</v>
      </c>
      <c r="W14" s="6">
        <f t="shared" si="1"/>
        <v>24453547016.254929</v>
      </c>
    </row>
    <row r="15" spans="2:23" x14ac:dyDescent="0.2">
      <c r="B15" s="95" t="s">
        <v>32</v>
      </c>
      <c r="C15" s="7">
        <v>0</v>
      </c>
      <c r="D15" s="6">
        <f>D13*2.75</f>
        <v>137500</v>
      </c>
      <c r="E15" s="6">
        <f t="shared" ref="E15:W15" si="2">E13*2.75</f>
        <v>220000</v>
      </c>
      <c r="F15" s="6">
        <f t="shared" si="2"/>
        <v>352000</v>
      </c>
      <c r="G15" s="6">
        <f t="shared" si="2"/>
        <v>563200</v>
      </c>
      <c r="H15" s="6">
        <f t="shared" si="2"/>
        <v>901120</v>
      </c>
      <c r="I15" s="6">
        <f t="shared" si="2"/>
        <v>1441792</v>
      </c>
      <c r="J15" s="6">
        <f t="shared" si="2"/>
        <v>2306867.2000000002</v>
      </c>
      <c r="K15" s="6">
        <f t="shared" si="2"/>
        <v>3690987.5200000005</v>
      </c>
      <c r="L15" s="6">
        <f t="shared" si="2"/>
        <v>5905580.0320000015</v>
      </c>
      <c r="M15" s="6">
        <f t="shared" si="2"/>
        <v>9448928.0512000024</v>
      </c>
      <c r="N15" s="6">
        <f t="shared" si="2"/>
        <v>15118284.881920006</v>
      </c>
      <c r="O15" s="6">
        <f t="shared" si="2"/>
        <v>24189255.811072011</v>
      </c>
      <c r="P15" s="6">
        <f t="shared" si="2"/>
        <v>38702809.297715217</v>
      </c>
      <c r="Q15" s="6">
        <f t="shared" si="2"/>
        <v>61924494.876344353</v>
      </c>
      <c r="R15" s="6">
        <f t="shared" si="2"/>
        <v>99079191.802150965</v>
      </c>
      <c r="S15" s="6">
        <f t="shared" si="2"/>
        <v>158526706.88344154</v>
      </c>
      <c r="T15" s="6">
        <f t="shared" si="2"/>
        <v>253642731.01350647</v>
      </c>
      <c r="U15" s="6">
        <f t="shared" si="2"/>
        <v>405828369.6216104</v>
      </c>
      <c r="V15" s="6">
        <f t="shared" si="2"/>
        <v>649325391.39457667</v>
      </c>
      <c r="W15" s="6">
        <f t="shared" si="2"/>
        <v>1038920626.2313228</v>
      </c>
    </row>
    <row r="16" spans="2:23" x14ac:dyDescent="0.2">
      <c r="B16" s="96" t="s">
        <v>33</v>
      </c>
      <c r="C16" s="97">
        <v>0</v>
      </c>
      <c r="D16" s="98">
        <f t="shared" ref="D16:W16" si="3">SUM(D14:D15)</f>
        <v>3373900</v>
      </c>
      <c r="E16" s="98">
        <f t="shared" si="3"/>
        <v>5398240</v>
      </c>
      <c r="F16" s="98">
        <f t="shared" si="3"/>
        <v>8637184</v>
      </c>
      <c r="G16" s="98">
        <f t="shared" si="3"/>
        <v>13819494.399999999</v>
      </c>
      <c r="H16" s="98">
        <f t="shared" si="3"/>
        <v>22111191.039999999</v>
      </c>
      <c r="I16" s="98">
        <f t="shared" si="3"/>
        <v>35377905.664000005</v>
      </c>
      <c r="J16" s="98">
        <f t="shared" si="3"/>
        <v>56604649.062399998</v>
      </c>
      <c r="K16" s="98">
        <f t="shared" si="3"/>
        <v>90567438.499840006</v>
      </c>
      <c r="L16" s="98">
        <f t="shared" si="3"/>
        <v>144907901.59974402</v>
      </c>
      <c r="M16" s="98">
        <f t="shared" si="3"/>
        <v>231852642.55959043</v>
      </c>
      <c r="N16" s="98">
        <f t="shared" si="3"/>
        <v>370964228.09534478</v>
      </c>
      <c r="O16" s="98">
        <f t="shared" si="3"/>
        <v>593542764.9525516</v>
      </c>
      <c r="P16" s="98">
        <f t="shared" si="3"/>
        <v>949668423.92408252</v>
      </c>
      <c r="Q16" s="98">
        <f t="shared" si="3"/>
        <v>1519469478.2785327</v>
      </c>
      <c r="R16" s="98">
        <f t="shared" si="3"/>
        <v>2431151165.2456522</v>
      </c>
      <c r="S16" s="98">
        <f t="shared" si="3"/>
        <v>3889841864.3930426</v>
      </c>
      <c r="T16" s="98">
        <f t="shared" si="3"/>
        <v>6223746983.0288706</v>
      </c>
      <c r="U16" s="98">
        <f t="shared" si="3"/>
        <v>9957995172.8461914</v>
      </c>
      <c r="V16" s="98">
        <f t="shared" si="3"/>
        <v>15932792276.553905</v>
      </c>
      <c r="W16" s="98">
        <f t="shared" si="3"/>
        <v>25492467642.486252</v>
      </c>
    </row>
  </sheetData>
  <mergeCells count="4">
    <mergeCell ref="D6:L6"/>
    <mergeCell ref="D7:L7"/>
    <mergeCell ref="D8:L8"/>
    <mergeCell ref="B2:F3"/>
  </mergeCells>
  <hyperlinks>
    <hyperlink ref="M7" location="'Revenue details'!B7" display="'Revenue details'!B7" xr:uid="{77E94F22-B66E-9648-8CBA-1D3A8BD29D45}"/>
    <hyperlink ref="M8" location="'Revenue details'!A1" display="'Revenue details'!A1" xr:uid="{A1FE26CB-8DBF-D841-9C76-596FC9D2A2B5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35A9-F355-054E-B3ED-45EBE4B860C0}">
  <sheetPr>
    <tabColor theme="8" tint="0.39997558519241921"/>
  </sheetPr>
  <dimension ref="B2:P46"/>
  <sheetViews>
    <sheetView workbookViewId="0">
      <selection activeCell="B33" sqref="B33"/>
    </sheetView>
  </sheetViews>
  <sheetFormatPr baseColWidth="10" defaultRowHeight="16" x14ac:dyDescent="0.2"/>
  <cols>
    <col min="2" max="3" width="10.83203125" customWidth="1"/>
  </cols>
  <sheetData>
    <row r="2" spans="2:16" ht="16" customHeight="1" x14ac:dyDescent="0.2">
      <c r="B2" s="196" t="s">
        <v>253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8"/>
    </row>
    <row r="3" spans="2:16" ht="16" customHeight="1" x14ac:dyDescent="0.2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6"/>
    </row>
    <row r="4" spans="2:16" ht="16" customHeight="1" x14ac:dyDescent="0.2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6"/>
    </row>
    <row r="7" spans="2:16" ht="21" x14ac:dyDescent="0.25">
      <c r="B7" s="203" t="s">
        <v>30</v>
      </c>
      <c r="C7" s="203"/>
      <c r="D7" s="203"/>
      <c r="E7" s="203"/>
      <c r="F7" s="203"/>
    </row>
    <row r="8" spans="2:16" ht="21" x14ac:dyDescent="0.25">
      <c r="B8" s="80"/>
      <c r="C8" s="80"/>
      <c r="D8" s="80"/>
      <c r="E8" s="80"/>
      <c r="F8" s="80"/>
    </row>
    <row r="9" spans="2:16" ht="21" x14ac:dyDescent="0.25">
      <c r="B9" s="83" t="s">
        <v>54</v>
      </c>
      <c r="C9" s="80"/>
      <c r="D9" s="80"/>
      <c r="E9" s="80"/>
      <c r="F9" s="80"/>
    </row>
    <row r="10" spans="2:16" ht="21" x14ac:dyDescent="0.25">
      <c r="B10" s="80"/>
      <c r="C10" s="80"/>
      <c r="D10" s="80"/>
      <c r="E10" s="80"/>
      <c r="F10" s="80"/>
    </row>
    <row r="11" spans="2:16" ht="21" x14ac:dyDescent="0.25">
      <c r="B11" t="s">
        <v>40</v>
      </c>
      <c r="C11" s="80"/>
      <c r="D11" s="80"/>
      <c r="E11" s="80"/>
      <c r="F11" s="80"/>
    </row>
    <row r="12" spans="2:16" ht="21" x14ac:dyDescent="0.25">
      <c r="B12" t="s">
        <v>42</v>
      </c>
      <c r="C12" s="80"/>
      <c r="D12" s="80"/>
      <c r="E12" s="80"/>
      <c r="F12" s="80"/>
    </row>
    <row r="13" spans="2:16" ht="21" x14ac:dyDescent="0.25">
      <c r="B13" t="s">
        <v>41</v>
      </c>
      <c r="C13" s="80"/>
      <c r="D13" s="80"/>
      <c r="E13" s="80"/>
      <c r="F13" s="80"/>
    </row>
    <row r="14" spans="2:16" ht="21" x14ac:dyDescent="0.25">
      <c r="B14" s="80"/>
      <c r="C14" s="80"/>
      <c r="D14" s="80"/>
      <c r="E14" s="80"/>
      <c r="F14" s="80"/>
    </row>
    <row r="15" spans="2:16" ht="19" x14ac:dyDescent="0.2">
      <c r="B15" s="202" t="s">
        <v>0</v>
      </c>
      <c r="C15" s="202"/>
    </row>
    <row r="16" spans="2:16" ht="19" x14ac:dyDescent="0.2">
      <c r="B16" s="84"/>
      <c r="C16" s="84"/>
    </row>
    <row r="17" spans="2:6" x14ac:dyDescent="0.2">
      <c r="B17" t="s">
        <v>178</v>
      </c>
    </row>
    <row r="18" spans="2:6" x14ac:dyDescent="0.2">
      <c r="B18" t="s">
        <v>177</v>
      </c>
    </row>
    <row r="20" spans="2:6" x14ac:dyDescent="0.2">
      <c r="B20" t="s">
        <v>31</v>
      </c>
    </row>
    <row r="21" spans="2:6" x14ac:dyDescent="0.2">
      <c r="B21" s="33" t="s">
        <v>47</v>
      </c>
    </row>
    <row r="22" spans="2:6" x14ac:dyDescent="0.2">
      <c r="B22" s="33" t="s">
        <v>48</v>
      </c>
    </row>
    <row r="25" spans="2:6" ht="21" x14ac:dyDescent="0.25">
      <c r="B25" s="203" t="s">
        <v>32</v>
      </c>
      <c r="C25" s="203"/>
      <c r="D25" s="203"/>
      <c r="E25" s="203"/>
      <c r="F25" s="203"/>
    </row>
    <row r="26" spans="2:6" ht="21" x14ac:dyDescent="0.25">
      <c r="B26" s="80"/>
      <c r="C26" s="80"/>
      <c r="D26" s="80"/>
      <c r="E26" s="80"/>
      <c r="F26" s="80"/>
    </row>
    <row r="27" spans="2:6" ht="21" x14ac:dyDescent="0.25">
      <c r="B27" s="83" t="s">
        <v>54</v>
      </c>
      <c r="C27" s="80"/>
      <c r="D27" s="80"/>
      <c r="E27" s="80"/>
      <c r="F27" s="80"/>
    </row>
    <row r="28" spans="2:6" ht="21" x14ac:dyDescent="0.25">
      <c r="B28" s="80"/>
      <c r="C28" s="80"/>
      <c r="D28" s="80"/>
      <c r="E28" s="80"/>
      <c r="F28" s="80"/>
    </row>
    <row r="29" spans="2:6" x14ac:dyDescent="0.2">
      <c r="B29" t="s">
        <v>43</v>
      </c>
    </row>
    <row r="31" spans="2:6" ht="19" x14ac:dyDescent="0.2">
      <c r="B31" s="202" t="s">
        <v>0</v>
      </c>
      <c r="C31" s="202"/>
    </row>
    <row r="33" spans="2:6" x14ac:dyDescent="0.2">
      <c r="B33" t="s">
        <v>45</v>
      </c>
    </row>
    <row r="35" spans="2:6" x14ac:dyDescent="0.2">
      <c r="B35" t="s">
        <v>31</v>
      </c>
    </row>
    <row r="36" spans="2:6" x14ac:dyDescent="0.2">
      <c r="B36" s="33" t="s">
        <v>38</v>
      </c>
    </row>
    <row r="37" spans="2:6" x14ac:dyDescent="0.2">
      <c r="B37" s="33" t="s">
        <v>37</v>
      </c>
    </row>
    <row r="38" spans="2:6" x14ac:dyDescent="0.2">
      <c r="B38" s="32" t="s">
        <v>44</v>
      </c>
    </row>
    <row r="41" spans="2:6" ht="21" x14ac:dyDescent="0.25">
      <c r="B41" s="203" t="s">
        <v>257</v>
      </c>
      <c r="C41" s="203"/>
      <c r="D41" s="203"/>
      <c r="E41" s="203"/>
      <c r="F41" s="203"/>
    </row>
    <row r="43" spans="2:6" x14ac:dyDescent="0.2">
      <c r="B43" s="32" t="s">
        <v>35</v>
      </c>
    </row>
    <row r="44" spans="2:6" x14ac:dyDescent="0.2">
      <c r="B44" s="33" t="s">
        <v>36</v>
      </c>
    </row>
    <row r="45" spans="2:6" x14ac:dyDescent="0.2">
      <c r="B45" s="33" t="s">
        <v>37</v>
      </c>
    </row>
    <row r="46" spans="2:6" x14ac:dyDescent="0.2">
      <c r="B46" s="33" t="s">
        <v>38</v>
      </c>
    </row>
  </sheetData>
  <mergeCells count="6">
    <mergeCell ref="B15:C15"/>
    <mergeCell ref="B31:C31"/>
    <mergeCell ref="B41:F41"/>
    <mergeCell ref="B2:P4"/>
    <mergeCell ref="B7:F7"/>
    <mergeCell ref="B25:F25"/>
  </mergeCells>
  <hyperlinks>
    <hyperlink ref="B22" r:id="rId1" location=":~:text=Ever%20since%20its%20launch%20in,101%20million%20subscribers%20by%202024. " xr:uid="{6DEEBBAE-7C87-8A4D-A682-C48429D4A8B7}"/>
    <hyperlink ref="B21" r:id="rId2" xr:uid="{23477F6C-D21B-094F-BFCE-BB480096AF31}"/>
    <hyperlink ref="B38" r:id="rId3" display="https://www.statista.com/statistics/236939/mobile-advertising-revenue-in-the-uk/" xr:uid="{DA1B1309-E7F1-B94D-BD37-C7B4367FC9C9}"/>
    <hyperlink ref="B37" r:id="rId4" display="https://www-statista-com.manchester.idm.oclc.org/forecasts/456558/digital-music-users-in-the-world-forecast" xr:uid="{48046220-DF2C-4B40-8A0F-5540F716074C}"/>
    <hyperlink ref="B36" r:id="rId5" display="https://www-statista-com.manchester.idm.oclc.org/statistics/1285405/revenues-digital-ad-major-internet-companies/" xr:uid="{EA8EA423-AE6F-AE4C-BFB4-501D735D457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6EFD-F6A6-0C42-8CE1-21B5B215F3E8}">
  <sheetPr>
    <tabColor theme="5" tint="0.39997558519241921"/>
  </sheetPr>
  <dimension ref="A2:X108"/>
  <sheetViews>
    <sheetView topLeftCell="A63" zoomScale="91" zoomScaleNormal="100" workbookViewId="0">
      <selection activeCell="E40" sqref="E40"/>
    </sheetView>
  </sheetViews>
  <sheetFormatPr baseColWidth="10" defaultRowHeight="16" x14ac:dyDescent="0.2"/>
  <cols>
    <col min="2" max="2" width="31.6640625" customWidth="1"/>
    <col min="3" max="3" width="17.5" customWidth="1"/>
    <col min="4" max="4" width="17.83203125" customWidth="1"/>
    <col min="5" max="5" width="18.1640625" customWidth="1"/>
    <col min="6" max="6" width="18.33203125" customWidth="1"/>
    <col min="7" max="7" width="19.6640625" customWidth="1"/>
    <col min="8" max="8" width="17.5" customWidth="1"/>
    <col min="9" max="9" width="15" customWidth="1"/>
    <col min="10" max="10" width="19.5" customWidth="1"/>
    <col min="11" max="11" width="15" customWidth="1"/>
    <col min="12" max="12" width="18.1640625" customWidth="1"/>
    <col min="13" max="14" width="19.33203125" customWidth="1"/>
    <col min="15" max="19" width="20.5" customWidth="1"/>
    <col min="20" max="21" width="20" customWidth="1"/>
    <col min="22" max="22" width="17.83203125" customWidth="1"/>
    <col min="23" max="23" width="24.83203125" customWidth="1"/>
  </cols>
  <sheetData>
    <row r="2" spans="2:10" x14ac:dyDescent="0.2">
      <c r="B2" s="213" t="s">
        <v>22</v>
      </c>
      <c r="C2" s="214"/>
      <c r="D2" s="214"/>
      <c r="E2" s="214"/>
      <c r="F2" s="215"/>
    </row>
    <row r="3" spans="2:10" x14ac:dyDescent="0.2">
      <c r="B3" s="216"/>
      <c r="C3" s="217"/>
      <c r="D3" s="217"/>
      <c r="E3" s="217"/>
      <c r="F3" s="218"/>
    </row>
    <row r="4" spans="2:10" x14ac:dyDescent="0.2">
      <c r="B4" s="219"/>
      <c r="C4" s="220"/>
      <c r="D4" s="220"/>
      <c r="E4" s="220"/>
      <c r="F4" s="221"/>
    </row>
    <row r="5" spans="2:10" ht="26" x14ac:dyDescent="0.2">
      <c r="B5" s="37"/>
      <c r="C5" s="37"/>
      <c r="D5" s="37"/>
      <c r="E5" s="37"/>
      <c r="F5" s="37"/>
    </row>
    <row r="6" spans="2:10" ht="24" x14ac:dyDescent="0.3">
      <c r="B6" s="38"/>
      <c r="C6" s="38"/>
      <c r="D6" s="38"/>
    </row>
    <row r="7" spans="2:10" ht="19" x14ac:dyDescent="0.25">
      <c r="B7" s="60" t="s">
        <v>22</v>
      </c>
      <c r="C7" s="60" t="s">
        <v>0</v>
      </c>
      <c r="D7" s="222" t="s">
        <v>29</v>
      </c>
      <c r="E7" s="223"/>
      <c r="F7" s="223"/>
      <c r="G7" s="223"/>
      <c r="H7" s="223"/>
      <c r="I7" s="224"/>
      <c r="J7" s="60" t="s">
        <v>258</v>
      </c>
    </row>
    <row r="8" spans="2:10" x14ac:dyDescent="0.2">
      <c r="B8" s="61" t="s">
        <v>192</v>
      </c>
      <c r="C8" s="159">
        <v>55000</v>
      </c>
      <c r="D8" s="207" t="s">
        <v>244</v>
      </c>
      <c r="E8" s="208"/>
      <c r="F8" s="208"/>
      <c r="G8" s="208"/>
      <c r="H8" s="208"/>
      <c r="I8" s="209"/>
      <c r="J8" s="99" t="s">
        <v>261</v>
      </c>
    </row>
    <row r="9" spans="2:10" x14ac:dyDescent="0.2">
      <c r="B9" s="61" t="s">
        <v>189</v>
      </c>
      <c r="C9" s="159">
        <v>3200</v>
      </c>
      <c r="D9" s="207" t="s">
        <v>248</v>
      </c>
      <c r="E9" s="208"/>
      <c r="F9" s="208"/>
      <c r="G9" s="208"/>
      <c r="H9" s="208"/>
      <c r="I9" s="209"/>
      <c r="J9" s="100" t="s">
        <v>262</v>
      </c>
    </row>
    <row r="10" spans="2:10" x14ac:dyDescent="0.2">
      <c r="B10" s="61" t="s">
        <v>190</v>
      </c>
      <c r="C10" s="159">
        <v>55000</v>
      </c>
      <c r="D10" s="207" t="s">
        <v>244</v>
      </c>
      <c r="E10" s="208"/>
      <c r="F10" s="208"/>
      <c r="G10" s="208"/>
      <c r="H10" s="208"/>
      <c r="I10" s="209"/>
      <c r="J10" s="100" t="s">
        <v>263</v>
      </c>
    </row>
    <row r="11" spans="2:10" x14ac:dyDescent="0.2">
      <c r="B11" s="61" t="s">
        <v>193</v>
      </c>
      <c r="C11" s="159">
        <v>55000</v>
      </c>
      <c r="D11" s="207" t="s">
        <v>244</v>
      </c>
      <c r="E11" s="208"/>
      <c r="F11" s="208"/>
      <c r="G11" s="208"/>
      <c r="H11" s="208"/>
      <c r="I11" s="209"/>
      <c r="J11" s="100" t="s">
        <v>264</v>
      </c>
    </row>
    <row r="12" spans="2:10" x14ac:dyDescent="0.2">
      <c r="B12" s="61" t="s">
        <v>195</v>
      </c>
      <c r="C12" s="159">
        <v>2500</v>
      </c>
      <c r="D12" s="207" t="s">
        <v>249</v>
      </c>
      <c r="E12" s="208"/>
      <c r="F12" s="208"/>
      <c r="G12" s="208"/>
      <c r="H12" s="208"/>
      <c r="I12" s="209"/>
      <c r="J12" s="100" t="s">
        <v>265</v>
      </c>
    </row>
    <row r="13" spans="2:10" x14ac:dyDescent="0.2">
      <c r="B13" s="61" t="s">
        <v>196</v>
      </c>
      <c r="C13" s="159">
        <v>55000</v>
      </c>
      <c r="D13" s="207" t="s">
        <v>244</v>
      </c>
      <c r="E13" s="208"/>
      <c r="F13" s="208"/>
      <c r="G13" s="208"/>
      <c r="H13" s="208"/>
      <c r="I13" s="209"/>
      <c r="J13" s="100" t="s">
        <v>266</v>
      </c>
    </row>
    <row r="14" spans="2:10" x14ac:dyDescent="0.2">
      <c r="B14" s="61" t="s">
        <v>197</v>
      </c>
      <c r="C14" s="159">
        <f>99+20</f>
        <v>119</v>
      </c>
      <c r="D14" s="207" t="s">
        <v>58</v>
      </c>
      <c r="E14" s="208"/>
      <c r="F14" s="208"/>
      <c r="G14" s="208"/>
      <c r="H14" s="208"/>
      <c r="I14" s="209"/>
      <c r="J14" s="100" t="s">
        <v>267</v>
      </c>
    </row>
    <row r="15" spans="2:10" x14ac:dyDescent="0.2">
      <c r="B15" s="61" t="s">
        <v>187</v>
      </c>
      <c r="C15" s="159">
        <v>45163.8</v>
      </c>
      <c r="D15" s="207" t="s">
        <v>245</v>
      </c>
      <c r="E15" s="208"/>
      <c r="F15" s="208"/>
      <c r="G15" s="208"/>
      <c r="H15" s="208"/>
      <c r="I15" s="209"/>
      <c r="J15" s="100" t="s">
        <v>269</v>
      </c>
    </row>
    <row r="16" spans="2:10" x14ac:dyDescent="0.2">
      <c r="B16" s="61" t="s">
        <v>198</v>
      </c>
      <c r="C16" s="159">
        <v>0.5151</v>
      </c>
      <c r="D16" s="207" t="s">
        <v>250</v>
      </c>
      <c r="E16" s="208"/>
      <c r="F16" s="208"/>
      <c r="G16" s="208"/>
      <c r="H16" s="208"/>
      <c r="I16" s="209"/>
      <c r="J16" s="100" t="s">
        <v>268</v>
      </c>
    </row>
    <row r="17" spans="2:23" x14ac:dyDescent="0.2">
      <c r="B17" s="61" t="s">
        <v>85</v>
      </c>
      <c r="C17" s="159">
        <f>4*62500</f>
        <v>250000</v>
      </c>
      <c r="D17" s="207" t="s">
        <v>246</v>
      </c>
      <c r="E17" s="208"/>
      <c r="F17" s="208"/>
      <c r="G17" s="208"/>
      <c r="H17" s="208"/>
      <c r="I17" s="209"/>
      <c r="J17" s="100" t="s">
        <v>270</v>
      </c>
    </row>
    <row r="18" spans="2:23" x14ac:dyDescent="0.2">
      <c r="B18" s="61" t="s">
        <v>240</v>
      </c>
      <c r="C18" s="159">
        <f>520000-C17</f>
        <v>270000</v>
      </c>
      <c r="D18" s="207" t="s">
        <v>247</v>
      </c>
      <c r="E18" s="208"/>
      <c r="F18" s="208"/>
      <c r="G18" s="208"/>
      <c r="H18" s="208"/>
      <c r="I18" s="209"/>
      <c r="J18" s="100" t="s">
        <v>270</v>
      </c>
    </row>
    <row r="19" spans="2:23" x14ac:dyDescent="0.2">
      <c r="B19" s="61" t="s">
        <v>74</v>
      </c>
      <c r="C19" s="159">
        <f>Revenue!D16*0.12</f>
        <v>404868</v>
      </c>
      <c r="D19" s="207" t="s">
        <v>27</v>
      </c>
      <c r="E19" s="208"/>
      <c r="F19" s="208"/>
      <c r="G19" s="208"/>
      <c r="H19" s="208"/>
      <c r="I19" s="209"/>
      <c r="J19" s="100" t="s">
        <v>271</v>
      </c>
    </row>
    <row r="20" spans="2:23" x14ac:dyDescent="0.2">
      <c r="B20" s="61" t="s">
        <v>73</v>
      </c>
      <c r="C20" s="159">
        <f>Revenue!F16*0.05</f>
        <v>431859.20000000001</v>
      </c>
      <c r="D20" s="207" t="s">
        <v>27</v>
      </c>
      <c r="E20" s="208"/>
      <c r="F20" s="208"/>
      <c r="G20" s="208"/>
      <c r="H20" s="208"/>
      <c r="I20" s="209"/>
      <c r="J20" s="100" t="s">
        <v>271</v>
      </c>
    </row>
    <row r="21" spans="2:23" x14ac:dyDescent="0.2">
      <c r="B21" s="61" t="s">
        <v>26</v>
      </c>
      <c r="C21" s="159">
        <f>60</f>
        <v>60</v>
      </c>
      <c r="D21" s="207" t="s">
        <v>86</v>
      </c>
      <c r="E21" s="208"/>
      <c r="F21" s="208"/>
      <c r="G21" s="208"/>
      <c r="H21" s="208"/>
      <c r="I21" s="209"/>
      <c r="J21" s="100" t="s">
        <v>272</v>
      </c>
    </row>
    <row r="22" spans="2:23" x14ac:dyDescent="0.2">
      <c r="B22" s="61" t="s">
        <v>241</v>
      </c>
      <c r="C22" s="159">
        <f>(4*2000)+(9*700)</f>
        <v>14300</v>
      </c>
      <c r="D22" s="207" t="s">
        <v>75</v>
      </c>
      <c r="E22" s="208"/>
      <c r="F22" s="208"/>
      <c r="G22" s="208"/>
      <c r="H22" s="208"/>
      <c r="I22" s="209"/>
      <c r="J22" s="101" t="s">
        <v>273</v>
      </c>
    </row>
    <row r="23" spans="2:23" x14ac:dyDescent="0.2">
      <c r="B23" s="61" t="s">
        <v>2</v>
      </c>
      <c r="C23" s="159">
        <f>500*12</f>
        <v>6000</v>
      </c>
      <c r="D23" s="207" t="s">
        <v>110</v>
      </c>
      <c r="E23" s="208"/>
      <c r="F23" s="208"/>
      <c r="G23" s="208"/>
      <c r="H23" s="208"/>
      <c r="I23" s="209"/>
      <c r="J23" s="101" t="s">
        <v>274</v>
      </c>
    </row>
    <row r="24" spans="2:23" x14ac:dyDescent="0.2">
      <c r="B24" s="61" t="s">
        <v>53</v>
      </c>
      <c r="C24" s="159">
        <v>0.4</v>
      </c>
      <c r="D24" s="207" t="s">
        <v>28</v>
      </c>
      <c r="E24" s="208"/>
      <c r="F24" s="208"/>
      <c r="G24" s="208"/>
      <c r="H24" s="208"/>
      <c r="I24" s="209"/>
      <c r="J24" s="101" t="s">
        <v>276</v>
      </c>
    </row>
    <row r="25" spans="2:23" x14ac:dyDescent="0.2">
      <c r="B25" s="62" t="s">
        <v>111</v>
      </c>
      <c r="C25" s="160">
        <f>20*365*0.0079</f>
        <v>57.670000000000009</v>
      </c>
      <c r="D25" s="210" t="s">
        <v>181</v>
      </c>
      <c r="E25" s="211"/>
      <c r="F25" s="211"/>
      <c r="G25" s="211"/>
      <c r="H25" s="211"/>
      <c r="I25" s="212"/>
      <c r="J25" s="102" t="s">
        <v>275</v>
      </c>
    </row>
    <row r="26" spans="2:23" x14ac:dyDescent="0.2">
      <c r="D26" s="48"/>
      <c r="E26" s="48"/>
      <c r="F26" s="48"/>
      <c r="G26" s="48"/>
    </row>
    <row r="28" spans="2:23" ht="21" x14ac:dyDescent="0.25">
      <c r="B28" s="85" t="s">
        <v>252</v>
      </c>
    </row>
    <row r="30" spans="2:23" x14ac:dyDescent="0.2">
      <c r="B30" s="34" t="s">
        <v>46</v>
      </c>
      <c r="C30" s="35">
        <v>0</v>
      </c>
      <c r="D30" s="35">
        <v>1</v>
      </c>
      <c r="E30" s="35">
        <v>2</v>
      </c>
      <c r="F30" s="35">
        <v>3</v>
      </c>
      <c r="G30" s="35">
        <v>4</v>
      </c>
      <c r="H30" s="35">
        <v>5</v>
      </c>
      <c r="I30" s="35">
        <v>6</v>
      </c>
      <c r="J30" s="35">
        <v>7</v>
      </c>
      <c r="K30" s="35">
        <v>8</v>
      </c>
      <c r="L30" s="35">
        <v>9</v>
      </c>
      <c r="M30" s="35">
        <v>10</v>
      </c>
      <c r="N30" s="35">
        <v>11</v>
      </c>
      <c r="O30" s="35">
        <v>12</v>
      </c>
      <c r="P30" s="35">
        <v>13</v>
      </c>
      <c r="Q30" s="35">
        <v>14</v>
      </c>
      <c r="R30" s="35">
        <v>15</v>
      </c>
      <c r="S30" s="35">
        <v>16</v>
      </c>
      <c r="T30" s="35">
        <v>17</v>
      </c>
      <c r="U30" s="35">
        <v>18</v>
      </c>
      <c r="V30" s="35">
        <v>19</v>
      </c>
      <c r="W30" s="35">
        <v>20</v>
      </c>
    </row>
    <row r="31" spans="2:23" x14ac:dyDescent="0.2">
      <c r="B31" s="56" t="s">
        <v>19</v>
      </c>
      <c r="C31" s="57">
        <v>0</v>
      </c>
      <c r="D31" s="57">
        <v>50000</v>
      </c>
      <c r="E31" s="57">
        <f>D31*1.6</f>
        <v>80000</v>
      </c>
      <c r="F31" s="57">
        <f t="shared" ref="F31:W31" si="0">E31*1.6</f>
        <v>128000</v>
      </c>
      <c r="G31" s="57">
        <f t="shared" si="0"/>
        <v>204800</v>
      </c>
      <c r="H31" s="57">
        <f t="shared" si="0"/>
        <v>327680</v>
      </c>
      <c r="I31" s="57">
        <f t="shared" si="0"/>
        <v>524288</v>
      </c>
      <c r="J31" s="57">
        <f t="shared" si="0"/>
        <v>838860.80000000005</v>
      </c>
      <c r="K31" s="57">
        <f t="shared" si="0"/>
        <v>1342177.2800000003</v>
      </c>
      <c r="L31" s="57">
        <f t="shared" si="0"/>
        <v>2147483.6480000005</v>
      </c>
      <c r="M31" s="57">
        <f t="shared" si="0"/>
        <v>3435973.8368000011</v>
      </c>
      <c r="N31" s="57">
        <f t="shared" si="0"/>
        <v>5497558.1388800023</v>
      </c>
      <c r="O31" s="57">
        <f t="shared" si="0"/>
        <v>8796093.0222080033</v>
      </c>
      <c r="P31" s="57">
        <f t="shared" si="0"/>
        <v>14073748.835532807</v>
      </c>
      <c r="Q31" s="57">
        <f t="shared" si="0"/>
        <v>22517998.136852492</v>
      </c>
      <c r="R31" s="57">
        <f t="shared" si="0"/>
        <v>36028797.018963985</v>
      </c>
      <c r="S31" s="57">
        <f t="shared" si="0"/>
        <v>57646075.230342381</v>
      </c>
      <c r="T31" s="57">
        <f t="shared" si="0"/>
        <v>92233720.368547812</v>
      </c>
      <c r="U31" s="57">
        <f t="shared" si="0"/>
        <v>147573952.5896765</v>
      </c>
      <c r="V31" s="57">
        <f t="shared" si="0"/>
        <v>236118324.14348242</v>
      </c>
      <c r="W31" s="57">
        <f t="shared" si="0"/>
        <v>377789318.62957191</v>
      </c>
    </row>
    <row r="32" spans="2:23" x14ac:dyDescent="0.2">
      <c r="B32" s="39" t="s">
        <v>199</v>
      </c>
      <c r="C32" s="7">
        <f>C8</f>
        <v>55000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</row>
    <row r="33" spans="2:24" x14ac:dyDescent="0.2">
      <c r="B33" s="39" t="s">
        <v>189</v>
      </c>
      <c r="C33" s="7">
        <f>$C$9*12</f>
        <v>38400</v>
      </c>
      <c r="D33" s="7">
        <f>$C$9*12</f>
        <v>38400</v>
      </c>
      <c r="E33" s="7">
        <f t="shared" ref="E33:W33" si="1">$C$9*12</f>
        <v>38400</v>
      </c>
      <c r="F33" s="7">
        <f t="shared" si="1"/>
        <v>38400</v>
      </c>
      <c r="G33" s="7">
        <f t="shared" si="1"/>
        <v>38400</v>
      </c>
      <c r="H33" s="7">
        <f t="shared" si="1"/>
        <v>38400</v>
      </c>
      <c r="I33" s="7">
        <f t="shared" si="1"/>
        <v>38400</v>
      </c>
      <c r="J33" s="7">
        <f t="shared" si="1"/>
        <v>38400</v>
      </c>
      <c r="K33" s="7">
        <f t="shared" si="1"/>
        <v>38400</v>
      </c>
      <c r="L33" s="7">
        <f t="shared" si="1"/>
        <v>38400</v>
      </c>
      <c r="M33" s="7">
        <f t="shared" si="1"/>
        <v>38400</v>
      </c>
      <c r="N33" s="7">
        <f t="shared" si="1"/>
        <v>38400</v>
      </c>
      <c r="O33" s="7">
        <f t="shared" si="1"/>
        <v>38400</v>
      </c>
      <c r="P33" s="7">
        <f t="shared" si="1"/>
        <v>38400</v>
      </c>
      <c r="Q33" s="7">
        <f t="shared" si="1"/>
        <v>38400</v>
      </c>
      <c r="R33" s="7">
        <f t="shared" si="1"/>
        <v>38400</v>
      </c>
      <c r="S33" s="7">
        <f t="shared" si="1"/>
        <v>38400</v>
      </c>
      <c r="T33" s="7">
        <f t="shared" si="1"/>
        <v>38400</v>
      </c>
      <c r="U33" s="7">
        <f t="shared" si="1"/>
        <v>38400</v>
      </c>
      <c r="V33" s="7">
        <f t="shared" si="1"/>
        <v>38400</v>
      </c>
      <c r="W33" s="7">
        <f t="shared" si="1"/>
        <v>38400</v>
      </c>
    </row>
    <row r="34" spans="2:24" x14ac:dyDescent="0.2">
      <c r="B34" s="39" t="s">
        <v>190</v>
      </c>
      <c r="C34" s="7">
        <f>C10</f>
        <v>55000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</row>
    <row r="35" spans="2:24" x14ac:dyDescent="0.2">
      <c r="B35" s="39" t="s">
        <v>193</v>
      </c>
      <c r="C35" s="7">
        <f>C11</f>
        <v>55000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</row>
    <row r="36" spans="2:24" x14ac:dyDescent="0.2">
      <c r="B36" s="39" t="s">
        <v>195</v>
      </c>
      <c r="C36" s="7">
        <f>C12</f>
        <v>2500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2:24" x14ac:dyDescent="0.2">
      <c r="B37" s="39" t="s">
        <v>196</v>
      </c>
      <c r="C37" s="7">
        <f>C13</f>
        <v>55000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2:24" x14ac:dyDescent="0.2">
      <c r="B38" s="39" t="s">
        <v>197</v>
      </c>
      <c r="C38" s="7">
        <v>0</v>
      </c>
      <c r="D38" s="7">
        <f>C14</f>
        <v>119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2:24" x14ac:dyDescent="0.2">
      <c r="B39" s="39" t="s">
        <v>187</v>
      </c>
      <c r="C39" s="7">
        <v>0</v>
      </c>
      <c r="D39" s="7">
        <f>$C$15</f>
        <v>45163.8</v>
      </c>
      <c r="E39" s="7">
        <f t="shared" ref="E39:W39" si="2">$C$15</f>
        <v>45163.8</v>
      </c>
      <c r="F39" s="7">
        <f t="shared" si="2"/>
        <v>45163.8</v>
      </c>
      <c r="G39" s="7">
        <f t="shared" si="2"/>
        <v>45163.8</v>
      </c>
      <c r="H39" s="7">
        <f t="shared" si="2"/>
        <v>45163.8</v>
      </c>
      <c r="I39" s="7">
        <f t="shared" si="2"/>
        <v>45163.8</v>
      </c>
      <c r="J39" s="7">
        <f t="shared" si="2"/>
        <v>45163.8</v>
      </c>
      <c r="K39" s="7">
        <f t="shared" si="2"/>
        <v>45163.8</v>
      </c>
      <c r="L39" s="7">
        <f t="shared" si="2"/>
        <v>45163.8</v>
      </c>
      <c r="M39" s="7">
        <f t="shared" si="2"/>
        <v>45163.8</v>
      </c>
      <c r="N39" s="7">
        <f t="shared" si="2"/>
        <v>45163.8</v>
      </c>
      <c r="O39" s="7">
        <f t="shared" si="2"/>
        <v>45163.8</v>
      </c>
      <c r="P39" s="7">
        <f t="shared" si="2"/>
        <v>45163.8</v>
      </c>
      <c r="Q39" s="7">
        <f t="shared" si="2"/>
        <v>45163.8</v>
      </c>
      <c r="R39" s="7">
        <f t="shared" si="2"/>
        <v>45163.8</v>
      </c>
      <c r="S39" s="7">
        <f t="shared" si="2"/>
        <v>45163.8</v>
      </c>
      <c r="T39" s="7">
        <f t="shared" si="2"/>
        <v>45163.8</v>
      </c>
      <c r="U39" s="7">
        <f t="shared" si="2"/>
        <v>45163.8</v>
      </c>
      <c r="V39" s="7">
        <f t="shared" si="2"/>
        <v>45163.8</v>
      </c>
      <c r="W39" s="7">
        <f t="shared" si="2"/>
        <v>45163.8</v>
      </c>
    </row>
    <row r="40" spans="2:24" x14ac:dyDescent="0.2">
      <c r="B40" s="39" t="s">
        <v>198</v>
      </c>
      <c r="C40" s="7">
        <v>0</v>
      </c>
      <c r="D40" s="7">
        <f>$C$16 * 0.6*D31</f>
        <v>15453</v>
      </c>
      <c r="E40" s="7">
        <f t="shared" ref="E40:W40" si="3">$C$16 * 0.6*E31</f>
        <v>24724.799999999999</v>
      </c>
      <c r="F40" s="7">
        <f t="shared" si="3"/>
        <v>39559.68</v>
      </c>
      <c r="G40" s="7">
        <f t="shared" si="3"/>
        <v>63295.487999999998</v>
      </c>
      <c r="H40" s="7">
        <f t="shared" si="3"/>
        <v>101272.78080000001</v>
      </c>
      <c r="I40" s="7">
        <f t="shared" si="3"/>
        <v>162036.44928</v>
      </c>
      <c r="J40" s="7">
        <f t="shared" si="3"/>
        <v>259258.31884800002</v>
      </c>
      <c r="K40" s="7">
        <f t="shared" si="3"/>
        <v>414813.31015680009</v>
      </c>
      <c r="L40" s="7">
        <f t="shared" si="3"/>
        <v>663701.29625088011</v>
      </c>
      <c r="M40" s="7">
        <f t="shared" si="3"/>
        <v>1061922.0740014084</v>
      </c>
      <c r="N40" s="7">
        <f t="shared" si="3"/>
        <v>1699075.3184022536</v>
      </c>
      <c r="O40" s="7">
        <f t="shared" si="3"/>
        <v>2718520.5094436053</v>
      </c>
      <c r="P40" s="7">
        <f t="shared" si="3"/>
        <v>4349632.8151097689</v>
      </c>
      <c r="Q40" s="7">
        <f t="shared" si="3"/>
        <v>6959412.5041756313</v>
      </c>
      <c r="R40" s="7">
        <f t="shared" si="3"/>
        <v>11135060.00668101</v>
      </c>
      <c r="S40" s="7">
        <f t="shared" si="3"/>
        <v>17816096.010689616</v>
      </c>
      <c r="T40" s="7">
        <f t="shared" si="3"/>
        <v>28505753.617103387</v>
      </c>
      <c r="U40" s="7">
        <f t="shared" si="3"/>
        <v>45609205.787365422</v>
      </c>
      <c r="V40" s="7">
        <f t="shared" si="3"/>
        <v>72974729.259784669</v>
      </c>
      <c r="W40" s="7">
        <f t="shared" si="3"/>
        <v>116759566.8156555</v>
      </c>
    </row>
    <row r="41" spans="2:24" x14ac:dyDescent="0.2">
      <c r="B41" s="39" t="s">
        <v>85</v>
      </c>
      <c r="C41" s="7">
        <f>$C$17</f>
        <v>250000</v>
      </c>
      <c r="D41" s="7">
        <f>$C$17</f>
        <v>250000</v>
      </c>
      <c r="E41" s="7">
        <f>D41*1.05</f>
        <v>262500</v>
      </c>
      <c r="F41" s="7">
        <f t="shared" ref="F41:W41" si="4">E41*1.05</f>
        <v>275625</v>
      </c>
      <c r="G41" s="7">
        <f t="shared" si="4"/>
        <v>289406.25</v>
      </c>
      <c r="H41" s="7">
        <f t="shared" si="4"/>
        <v>303876.5625</v>
      </c>
      <c r="I41" s="7">
        <f t="shared" si="4"/>
        <v>319070.390625</v>
      </c>
      <c r="J41" s="7">
        <f t="shared" si="4"/>
        <v>335023.91015625</v>
      </c>
      <c r="K41" s="7">
        <f t="shared" si="4"/>
        <v>351775.10566406249</v>
      </c>
      <c r="L41" s="7">
        <f t="shared" si="4"/>
        <v>369363.86094726564</v>
      </c>
      <c r="M41" s="7">
        <f t="shared" si="4"/>
        <v>387832.05399462895</v>
      </c>
      <c r="N41" s="7">
        <f t="shared" si="4"/>
        <v>407223.65669436043</v>
      </c>
      <c r="O41" s="7">
        <f t="shared" si="4"/>
        <v>427584.83952907845</v>
      </c>
      <c r="P41" s="7">
        <f t="shared" si="4"/>
        <v>448964.08150553238</v>
      </c>
      <c r="Q41" s="7">
        <f t="shared" si="4"/>
        <v>471412.285580809</v>
      </c>
      <c r="R41" s="7">
        <f t="shared" si="4"/>
        <v>494982.89985984948</v>
      </c>
      <c r="S41" s="7">
        <f t="shared" si="4"/>
        <v>519732.04485284199</v>
      </c>
      <c r="T41" s="7">
        <f t="shared" si="4"/>
        <v>545718.64709548408</v>
      </c>
      <c r="U41" s="7">
        <f t="shared" si="4"/>
        <v>573004.57945025829</v>
      </c>
      <c r="V41" s="7">
        <f t="shared" si="4"/>
        <v>601654.80842277128</v>
      </c>
      <c r="W41" s="7">
        <f t="shared" si="4"/>
        <v>631737.54884390987</v>
      </c>
      <c r="X41" s="7"/>
    </row>
    <row r="42" spans="2:24" x14ac:dyDescent="0.2">
      <c r="B42" s="39" t="s">
        <v>87</v>
      </c>
      <c r="C42" s="7">
        <v>0</v>
      </c>
      <c r="D42" s="7">
        <f>$C$18</f>
        <v>270000</v>
      </c>
      <c r="E42" s="7">
        <f>$C$18</f>
        <v>270000</v>
      </c>
      <c r="F42" s="7">
        <f>E42*1.05</f>
        <v>283500</v>
      </c>
      <c r="G42" s="7">
        <f t="shared" ref="G42:W42" si="5">F42*1.05</f>
        <v>297675</v>
      </c>
      <c r="H42" s="7">
        <f t="shared" si="5"/>
        <v>312558.75</v>
      </c>
      <c r="I42" s="7">
        <f t="shared" si="5"/>
        <v>328186.6875</v>
      </c>
      <c r="J42" s="7">
        <f t="shared" si="5"/>
        <v>344596.02187500003</v>
      </c>
      <c r="K42" s="7">
        <f t="shared" si="5"/>
        <v>361825.82296875003</v>
      </c>
      <c r="L42" s="7">
        <f t="shared" si="5"/>
        <v>379917.11411718756</v>
      </c>
      <c r="M42" s="7">
        <f t="shared" si="5"/>
        <v>398912.96982304694</v>
      </c>
      <c r="N42" s="7">
        <f t="shared" si="5"/>
        <v>418858.61831419932</v>
      </c>
      <c r="O42" s="7">
        <f t="shared" si="5"/>
        <v>439801.54922990932</v>
      </c>
      <c r="P42" s="7">
        <f t="shared" si="5"/>
        <v>461791.62669140479</v>
      </c>
      <c r="Q42" s="7">
        <f t="shared" si="5"/>
        <v>484881.20802597504</v>
      </c>
      <c r="R42" s="7">
        <f t="shared" si="5"/>
        <v>509125.26842727378</v>
      </c>
      <c r="S42" s="7">
        <f t="shared" si="5"/>
        <v>534581.5318486375</v>
      </c>
      <c r="T42" s="7">
        <f t="shared" si="5"/>
        <v>561310.60844106937</v>
      </c>
      <c r="U42" s="7">
        <f t="shared" si="5"/>
        <v>589376.13886312291</v>
      </c>
      <c r="V42" s="7">
        <f t="shared" si="5"/>
        <v>618844.94580627908</v>
      </c>
      <c r="W42" s="7">
        <f t="shared" si="5"/>
        <v>649787.19309659302</v>
      </c>
    </row>
    <row r="43" spans="2:24" x14ac:dyDescent="0.2">
      <c r="B43" s="39" t="s">
        <v>51</v>
      </c>
      <c r="C43" s="7">
        <v>0</v>
      </c>
      <c r="D43" s="7">
        <f>$C$19</f>
        <v>404868</v>
      </c>
      <c r="E43" s="7">
        <f>$C$19</f>
        <v>404868</v>
      </c>
      <c r="F43" s="7">
        <f>$C$19</f>
        <v>404868</v>
      </c>
      <c r="G43" s="7">
        <f t="shared" ref="G43:W43" si="6">$C$20</f>
        <v>431859.20000000001</v>
      </c>
      <c r="H43" s="7">
        <f t="shared" si="6"/>
        <v>431859.20000000001</v>
      </c>
      <c r="I43" s="7">
        <f t="shared" si="6"/>
        <v>431859.20000000001</v>
      </c>
      <c r="J43" s="7">
        <f t="shared" si="6"/>
        <v>431859.20000000001</v>
      </c>
      <c r="K43" s="7">
        <f t="shared" si="6"/>
        <v>431859.20000000001</v>
      </c>
      <c r="L43" s="7">
        <f t="shared" si="6"/>
        <v>431859.20000000001</v>
      </c>
      <c r="M43" s="7">
        <f t="shared" si="6"/>
        <v>431859.20000000001</v>
      </c>
      <c r="N43" s="7">
        <f t="shared" si="6"/>
        <v>431859.20000000001</v>
      </c>
      <c r="O43" s="7">
        <f t="shared" si="6"/>
        <v>431859.20000000001</v>
      </c>
      <c r="P43" s="7">
        <f t="shared" si="6"/>
        <v>431859.20000000001</v>
      </c>
      <c r="Q43" s="7">
        <f t="shared" si="6"/>
        <v>431859.20000000001</v>
      </c>
      <c r="R43" s="7">
        <f t="shared" si="6"/>
        <v>431859.20000000001</v>
      </c>
      <c r="S43" s="7">
        <f t="shared" si="6"/>
        <v>431859.20000000001</v>
      </c>
      <c r="T43" s="7">
        <f t="shared" si="6"/>
        <v>431859.20000000001</v>
      </c>
      <c r="U43" s="7">
        <f t="shared" si="6"/>
        <v>431859.20000000001</v>
      </c>
      <c r="V43" s="7">
        <f t="shared" si="6"/>
        <v>431859.20000000001</v>
      </c>
      <c r="W43" s="7">
        <f t="shared" si="6"/>
        <v>431859.20000000001</v>
      </c>
      <c r="X43" s="7"/>
    </row>
    <row r="44" spans="2:24" x14ac:dyDescent="0.2">
      <c r="B44" s="39" t="s">
        <v>26</v>
      </c>
      <c r="C44" s="7">
        <f>$C$21*4</f>
        <v>240</v>
      </c>
      <c r="D44" s="7">
        <f t="shared" ref="D44:W44" si="7">$C$21*11</f>
        <v>660</v>
      </c>
      <c r="E44" s="7">
        <f t="shared" si="7"/>
        <v>660</v>
      </c>
      <c r="F44" s="7">
        <f t="shared" si="7"/>
        <v>660</v>
      </c>
      <c r="G44" s="7">
        <f t="shared" si="7"/>
        <v>660</v>
      </c>
      <c r="H44" s="7">
        <f t="shared" si="7"/>
        <v>660</v>
      </c>
      <c r="I44" s="7">
        <f t="shared" si="7"/>
        <v>660</v>
      </c>
      <c r="J44" s="7">
        <f t="shared" si="7"/>
        <v>660</v>
      </c>
      <c r="K44" s="7">
        <f t="shared" si="7"/>
        <v>660</v>
      </c>
      <c r="L44" s="7">
        <f t="shared" si="7"/>
        <v>660</v>
      </c>
      <c r="M44" s="7">
        <f t="shared" si="7"/>
        <v>660</v>
      </c>
      <c r="N44" s="7">
        <f t="shared" si="7"/>
        <v>660</v>
      </c>
      <c r="O44" s="7">
        <f t="shared" si="7"/>
        <v>660</v>
      </c>
      <c r="P44" s="7">
        <f t="shared" si="7"/>
        <v>660</v>
      </c>
      <c r="Q44" s="7">
        <f t="shared" si="7"/>
        <v>660</v>
      </c>
      <c r="R44" s="7">
        <f t="shared" si="7"/>
        <v>660</v>
      </c>
      <c r="S44" s="7">
        <f t="shared" si="7"/>
        <v>660</v>
      </c>
      <c r="T44" s="7">
        <f t="shared" si="7"/>
        <v>660</v>
      </c>
      <c r="U44" s="7">
        <f t="shared" si="7"/>
        <v>660</v>
      </c>
      <c r="V44" s="7">
        <f t="shared" si="7"/>
        <v>660</v>
      </c>
      <c r="W44" s="7">
        <f t="shared" si="7"/>
        <v>660</v>
      </c>
      <c r="X44" s="7"/>
    </row>
    <row r="45" spans="2:24" x14ac:dyDescent="0.2">
      <c r="B45" s="39" t="s">
        <v>241</v>
      </c>
      <c r="C45" s="7">
        <f>2000*4</f>
        <v>8000</v>
      </c>
      <c r="D45" s="7">
        <f>700*7</f>
        <v>4900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</row>
    <row r="46" spans="2:24" x14ac:dyDescent="0.2">
      <c r="B46" s="39" t="s">
        <v>2</v>
      </c>
      <c r="C46" s="7">
        <f>$C$23*4</f>
        <v>24000</v>
      </c>
      <c r="D46" s="7">
        <f>$C$23*11*1.011</f>
        <v>66726</v>
      </c>
      <c r="E46" s="7">
        <f>D46*1.011</f>
        <v>67459.98599999999</v>
      </c>
      <c r="F46" s="7">
        <f t="shared" ref="F46:W46" si="8">E46*1.011</f>
        <v>68202.045845999979</v>
      </c>
      <c r="G46" s="7">
        <f t="shared" si="8"/>
        <v>68952.268350305967</v>
      </c>
      <c r="H46" s="7">
        <f t="shared" si="8"/>
        <v>69710.743302159332</v>
      </c>
      <c r="I46" s="7">
        <f t="shared" si="8"/>
        <v>70477.561478483083</v>
      </c>
      <c r="J46" s="7">
        <f t="shared" si="8"/>
        <v>71252.814654746384</v>
      </c>
      <c r="K46" s="7">
        <f t="shared" si="8"/>
        <v>72036.595615948594</v>
      </c>
      <c r="L46" s="7">
        <f t="shared" si="8"/>
        <v>72828.998167724028</v>
      </c>
      <c r="M46" s="7">
        <f t="shared" si="8"/>
        <v>73630.117147568992</v>
      </c>
      <c r="N46" s="7">
        <f t="shared" si="8"/>
        <v>74440.048436192243</v>
      </c>
      <c r="O46" s="7">
        <f t="shared" si="8"/>
        <v>75258.888968990344</v>
      </c>
      <c r="P46" s="7">
        <f t="shared" si="8"/>
        <v>76086.736747649236</v>
      </c>
      <c r="Q46" s="7">
        <f t="shared" si="8"/>
        <v>76923.690851873369</v>
      </c>
      <c r="R46" s="7">
        <f t="shared" si="8"/>
        <v>77769.851451243972</v>
      </c>
      <c r="S46" s="7">
        <f t="shared" si="8"/>
        <v>78625.319817207652</v>
      </c>
      <c r="T46" s="7">
        <f t="shared" si="8"/>
        <v>79490.198335196925</v>
      </c>
      <c r="U46" s="7">
        <f t="shared" si="8"/>
        <v>80364.590516884084</v>
      </c>
      <c r="V46" s="7">
        <f t="shared" si="8"/>
        <v>81248.601012569794</v>
      </c>
      <c r="W46" s="7">
        <f t="shared" si="8"/>
        <v>82142.335623708059</v>
      </c>
    </row>
    <row r="47" spans="2:24" x14ac:dyDescent="0.2">
      <c r="B47" s="39" t="s">
        <v>118</v>
      </c>
      <c r="C47" s="7">
        <v>0</v>
      </c>
      <c r="D47" s="7">
        <f>$C$25*Revenue!D13</f>
        <v>2883500.0000000005</v>
      </c>
      <c r="E47" s="7">
        <f>$C$25*Revenue!E13</f>
        <v>4613600.0000000009</v>
      </c>
      <c r="F47" s="7">
        <f>$C$25*Revenue!F13</f>
        <v>7381760.0000000009</v>
      </c>
      <c r="G47" s="7">
        <f>$C$25*Revenue!G13</f>
        <v>11810816.000000002</v>
      </c>
      <c r="H47" s="7">
        <f>$C$25*Revenue!H13</f>
        <v>18897305.600000001</v>
      </c>
      <c r="I47" s="7">
        <f>$C$25*Revenue!I13</f>
        <v>30235688.960000005</v>
      </c>
      <c r="J47" s="7">
        <f>$C$25*Revenue!J13</f>
        <v>48377102.33600001</v>
      </c>
      <c r="K47" s="7">
        <f>$C$25*Revenue!K13</f>
        <v>77403363.737600029</v>
      </c>
      <c r="L47" s="7">
        <f>$C$25*Revenue!L13</f>
        <v>123845381.98016004</v>
      </c>
      <c r="M47" s="7">
        <f>$C$25*Revenue!M13</f>
        <v>198152611.1682561</v>
      </c>
      <c r="N47" s="7">
        <f>$C$25*Revenue!N13</f>
        <v>317044177.86920977</v>
      </c>
      <c r="O47" s="7">
        <f>$C$25*Revenue!O13</f>
        <v>507270684.59073561</v>
      </c>
      <c r="P47" s="7">
        <f>$C$25*Revenue!P13</f>
        <v>811633095.34517705</v>
      </c>
      <c r="Q47" s="7">
        <f>$C$25*Revenue!Q13</f>
        <v>1298612952.5522833</v>
      </c>
      <c r="R47" s="7">
        <f>$C$25*Revenue!R13</f>
        <v>2077780724.0836535</v>
      </c>
      <c r="S47" s="7">
        <f>$C$25*Revenue!S13</f>
        <v>3324449158.5338454</v>
      </c>
      <c r="T47" s="7">
        <f>$C$25*Revenue!T13</f>
        <v>5319118653.6541529</v>
      </c>
      <c r="U47" s="7">
        <f>$C$25*Revenue!U13</f>
        <v>8510589845.8466454</v>
      </c>
      <c r="V47" s="7">
        <f>$C$25*Revenue!V13</f>
        <v>13616943753.354633</v>
      </c>
      <c r="W47" s="7">
        <f>$C$25*Revenue!W13</f>
        <v>21787110005.367416</v>
      </c>
    </row>
    <row r="48" spans="2:24" x14ac:dyDescent="0.2">
      <c r="B48" s="87" t="s">
        <v>23</v>
      </c>
      <c r="C48" s="88">
        <f>SUM(C32:C47)</f>
        <v>543140</v>
      </c>
      <c r="D48" s="88">
        <f t="shared" ref="D48:V48" si="9">SUM(D32:D47)</f>
        <v>3979789.8000000007</v>
      </c>
      <c r="E48" s="88">
        <f t="shared" si="9"/>
        <v>5727376.5860000011</v>
      </c>
      <c r="F48" s="88">
        <f t="shared" si="9"/>
        <v>8537738.5258460008</v>
      </c>
      <c r="G48" s="88">
        <f t="shared" si="9"/>
        <v>13046228.006350309</v>
      </c>
      <c r="H48" s="88">
        <f t="shared" si="9"/>
        <v>20200807.43660216</v>
      </c>
      <c r="I48" s="88">
        <f t="shared" si="9"/>
        <v>31631543.048883487</v>
      </c>
      <c r="J48" s="88">
        <f t="shared" si="9"/>
        <v>49903316.401534006</v>
      </c>
      <c r="K48" s="88">
        <f t="shared" si="9"/>
        <v>79119897.572005585</v>
      </c>
      <c r="L48" s="88">
        <f t="shared" si="9"/>
        <v>125847276.2496431</v>
      </c>
      <c r="M48" s="88">
        <f t="shared" si="9"/>
        <v>200590991.38322276</v>
      </c>
      <c r="N48" s="88">
        <f t="shared" si="9"/>
        <v>320159858.51105678</v>
      </c>
      <c r="O48" s="88">
        <f t="shared" si="9"/>
        <v>511447933.37790722</v>
      </c>
      <c r="P48" s="88">
        <f t="shared" si="9"/>
        <v>817485653.6052314</v>
      </c>
      <c r="Q48" s="88">
        <f t="shared" si="9"/>
        <v>1307121665.2409177</v>
      </c>
      <c r="R48" s="88">
        <f t="shared" si="9"/>
        <v>2090513745.1100729</v>
      </c>
      <c r="S48" s="88">
        <f t="shared" si="9"/>
        <v>3343914276.4410539</v>
      </c>
      <c r="T48" s="88">
        <f t="shared" si="9"/>
        <v>5349327009.7251282</v>
      </c>
      <c r="U48" s="88">
        <f t="shared" si="9"/>
        <v>8557957879.9428406</v>
      </c>
      <c r="V48" s="88">
        <f t="shared" si="9"/>
        <v>13691736313.96966</v>
      </c>
      <c r="W48" s="88">
        <f>SUM(W32:W47)</f>
        <v>21905749322.260635</v>
      </c>
    </row>
    <row r="49" spans="1:24" x14ac:dyDescent="0.2">
      <c r="D49" s="10"/>
    </row>
    <row r="51" spans="1:24" ht="19" customHeight="1" x14ac:dyDescent="0.2">
      <c r="B51" s="86" t="s">
        <v>251</v>
      </c>
      <c r="C51" s="52"/>
    </row>
    <row r="52" spans="1:24" ht="19" customHeight="1" x14ac:dyDescent="0.2">
      <c r="B52" s="52"/>
      <c r="C52" s="52"/>
    </row>
    <row r="53" spans="1:24" ht="16" customHeight="1" x14ac:dyDescent="0.2">
      <c r="A53" s="51"/>
      <c r="B53" s="53" t="s">
        <v>46</v>
      </c>
      <c r="C53" s="54">
        <v>0</v>
      </c>
      <c r="D53" s="54">
        <v>1</v>
      </c>
      <c r="E53" s="54">
        <v>2</v>
      </c>
      <c r="F53" s="54">
        <v>3</v>
      </c>
      <c r="G53" s="54">
        <v>4</v>
      </c>
      <c r="H53" s="54">
        <v>5</v>
      </c>
      <c r="I53" s="54">
        <v>6</v>
      </c>
      <c r="J53" s="54">
        <v>7</v>
      </c>
      <c r="K53" s="54">
        <v>8</v>
      </c>
      <c r="L53" s="54">
        <v>9</v>
      </c>
      <c r="M53" s="54">
        <v>10</v>
      </c>
      <c r="N53" s="54">
        <v>11</v>
      </c>
      <c r="O53" s="54">
        <v>12</v>
      </c>
      <c r="P53" s="54">
        <v>13</v>
      </c>
      <c r="Q53" s="54">
        <v>14</v>
      </c>
      <c r="R53" s="54">
        <v>15</v>
      </c>
      <c r="S53" s="54">
        <v>16</v>
      </c>
      <c r="T53" s="54">
        <v>17</v>
      </c>
      <c r="U53" s="54">
        <v>18</v>
      </c>
      <c r="V53" s="54">
        <v>19</v>
      </c>
      <c r="W53" s="54">
        <v>20</v>
      </c>
      <c r="X53" s="51"/>
    </row>
    <row r="54" spans="1:24" s="3" customFormat="1" x14ac:dyDescent="0.2">
      <c r="A54" s="55"/>
      <c r="B54" s="58" t="s">
        <v>19</v>
      </c>
      <c r="C54" s="59">
        <v>0</v>
      </c>
      <c r="D54" s="59">
        <v>50000</v>
      </c>
      <c r="E54" s="59">
        <v>80000</v>
      </c>
      <c r="F54" s="59">
        <v>128000</v>
      </c>
      <c r="G54" s="59">
        <v>204800</v>
      </c>
      <c r="H54" s="59">
        <v>327680</v>
      </c>
      <c r="I54" s="59">
        <v>524288</v>
      </c>
      <c r="J54" s="59">
        <v>838860.80000000005</v>
      </c>
      <c r="K54" s="59">
        <v>1342177.28</v>
      </c>
      <c r="L54" s="59">
        <v>2147483.648</v>
      </c>
      <c r="M54" s="59">
        <v>3435973.8369999998</v>
      </c>
      <c r="N54" s="59">
        <v>5497558.1390000004</v>
      </c>
      <c r="O54" s="59">
        <v>8796093.0219999999</v>
      </c>
      <c r="P54" s="59">
        <v>14073748.84</v>
      </c>
      <c r="Q54" s="59">
        <v>22517998.140000001</v>
      </c>
      <c r="R54" s="59">
        <v>36028797.020000003</v>
      </c>
      <c r="S54" s="59">
        <v>57646075.229999997</v>
      </c>
      <c r="T54" s="59">
        <v>92233720.370000005</v>
      </c>
      <c r="U54" s="59">
        <v>147573952.59999999</v>
      </c>
      <c r="V54" s="59">
        <v>236118324.09999999</v>
      </c>
      <c r="W54" s="59">
        <v>377789318.60000002</v>
      </c>
      <c r="X54" s="55"/>
    </row>
    <row r="55" spans="1:24" x14ac:dyDescent="0.2">
      <c r="B55" s="39" t="s">
        <v>277</v>
      </c>
      <c r="C55" s="9">
        <f t="shared" ref="C55:W55" si="10">SUM(C32:C40)</f>
        <v>260900</v>
      </c>
      <c r="D55" s="9">
        <f t="shared" si="10"/>
        <v>99135.8</v>
      </c>
      <c r="E55" s="9">
        <f t="shared" si="10"/>
        <v>108288.6</v>
      </c>
      <c r="F55" s="9">
        <f t="shared" si="10"/>
        <v>123123.48000000001</v>
      </c>
      <c r="G55" s="9">
        <f t="shared" si="10"/>
        <v>146859.288</v>
      </c>
      <c r="H55" s="9">
        <f t="shared" si="10"/>
        <v>184836.5808</v>
      </c>
      <c r="I55" s="9">
        <f t="shared" si="10"/>
        <v>245600.24927999999</v>
      </c>
      <c r="J55" s="9">
        <f t="shared" si="10"/>
        <v>342822.11884800001</v>
      </c>
      <c r="K55" s="9">
        <f t="shared" si="10"/>
        <v>498377.11015680007</v>
      </c>
      <c r="L55" s="9">
        <f t="shared" si="10"/>
        <v>747265.09625088016</v>
      </c>
      <c r="M55" s="9">
        <f t="shared" si="10"/>
        <v>1145485.8740014085</v>
      </c>
      <c r="N55" s="9">
        <f t="shared" si="10"/>
        <v>1782639.1184022536</v>
      </c>
      <c r="O55" s="9">
        <f t="shared" si="10"/>
        <v>2802084.3094436051</v>
      </c>
      <c r="P55" s="9">
        <f t="shared" si="10"/>
        <v>4433196.6151097687</v>
      </c>
      <c r="Q55" s="9">
        <f t="shared" si="10"/>
        <v>7042976.3041756311</v>
      </c>
      <c r="R55" s="9">
        <f t="shared" si="10"/>
        <v>11218623.806681011</v>
      </c>
      <c r="S55" s="9">
        <f t="shared" si="10"/>
        <v>17899659.810689617</v>
      </c>
      <c r="T55" s="9">
        <f t="shared" si="10"/>
        <v>28589317.417103387</v>
      </c>
      <c r="U55" s="9">
        <f t="shared" si="10"/>
        <v>45692769.587365419</v>
      </c>
      <c r="V55" s="9">
        <f t="shared" si="10"/>
        <v>73058293.059784666</v>
      </c>
      <c r="W55" s="9">
        <f t="shared" si="10"/>
        <v>116843130.6156555</v>
      </c>
    </row>
    <row r="56" spans="1:24" x14ac:dyDescent="0.2">
      <c r="B56" s="39" t="s">
        <v>52</v>
      </c>
      <c r="C56" s="9">
        <f t="shared" ref="C56:W56" si="11">SUM(C41:C42)</f>
        <v>250000</v>
      </c>
      <c r="D56" s="9">
        <f t="shared" si="11"/>
        <v>520000</v>
      </c>
      <c r="E56" s="9">
        <f t="shared" si="11"/>
        <v>532500</v>
      </c>
      <c r="F56" s="9">
        <f t="shared" si="11"/>
        <v>559125</v>
      </c>
      <c r="G56" s="9">
        <f t="shared" si="11"/>
        <v>587081.25</v>
      </c>
      <c r="H56" s="9">
        <f t="shared" si="11"/>
        <v>616435.3125</v>
      </c>
      <c r="I56" s="9">
        <f t="shared" si="11"/>
        <v>647257.078125</v>
      </c>
      <c r="J56" s="9">
        <f t="shared" si="11"/>
        <v>679619.93203125009</v>
      </c>
      <c r="K56" s="9">
        <f t="shared" si="11"/>
        <v>713600.92863281257</v>
      </c>
      <c r="L56" s="9">
        <f t="shared" si="11"/>
        <v>749280.9750644532</v>
      </c>
      <c r="M56" s="9">
        <f t="shared" si="11"/>
        <v>786745.02381767589</v>
      </c>
      <c r="N56" s="9">
        <f t="shared" si="11"/>
        <v>826082.27500855969</v>
      </c>
      <c r="O56" s="9">
        <f t="shared" si="11"/>
        <v>867386.38875898777</v>
      </c>
      <c r="P56" s="9">
        <f t="shared" si="11"/>
        <v>910755.70819693711</v>
      </c>
      <c r="Q56" s="9">
        <f t="shared" si="11"/>
        <v>956293.49360678403</v>
      </c>
      <c r="R56" s="9">
        <f t="shared" si="11"/>
        <v>1004108.1682871233</v>
      </c>
      <c r="S56" s="9">
        <f t="shared" si="11"/>
        <v>1054313.5767014795</v>
      </c>
      <c r="T56" s="9">
        <f t="shared" si="11"/>
        <v>1107029.2555365534</v>
      </c>
      <c r="U56" s="9">
        <f t="shared" si="11"/>
        <v>1162380.7183133811</v>
      </c>
      <c r="V56" s="9">
        <f t="shared" si="11"/>
        <v>1220499.7542290504</v>
      </c>
      <c r="W56" s="9">
        <f t="shared" si="11"/>
        <v>1281524.741940503</v>
      </c>
    </row>
    <row r="57" spans="1:24" x14ac:dyDescent="0.2">
      <c r="B57" s="39" t="s">
        <v>51</v>
      </c>
      <c r="C57" s="9">
        <f>C43</f>
        <v>0</v>
      </c>
      <c r="D57" s="9">
        <f t="shared" ref="D57:W57" si="12">D43</f>
        <v>404868</v>
      </c>
      <c r="E57" s="9">
        <f t="shared" si="12"/>
        <v>404868</v>
      </c>
      <c r="F57" s="9">
        <f t="shared" si="12"/>
        <v>404868</v>
      </c>
      <c r="G57" s="9">
        <f t="shared" si="12"/>
        <v>431859.20000000001</v>
      </c>
      <c r="H57" s="9">
        <f t="shared" si="12"/>
        <v>431859.20000000001</v>
      </c>
      <c r="I57" s="9">
        <f t="shared" si="12"/>
        <v>431859.20000000001</v>
      </c>
      <c r="J57" s="9">
        <f t="shared" si="12"/>
        <v>431859.20000000001</v>
      </c>
      <c r="K57" s="9">
        <f t="shared" si="12"/>
        <v>431859.20000000001</v>
      </c>
      <c r="L57" s="9">
        <f t="shared" si="12"/>
        <v>431859.20000000001</v>
      </c>
      <c r="M57" s="9">
        <f t="shared" si="12"/>
        <v>431859.20000000001</v>
      </c>
      <c r="N57" s="9">
        <f t="shared" si="12"/>
        <v>431859.20000000001</v>
      </c>
      <c r="O57" s="9">
        <f t="shared" si="12"/>
        <v>431859.20000000001</v>
      </c>
      <c r="P57" s="9">
        <f t="shared" si="12"/>
        <v>431859.20000000001</v>
      </c>
      <c r="Q57" s="9">
        <f t="shared" si="12"/>
        <v>431859.20000000001</v>
      </c>
      <c r="R57" s="9">
        <f t="shared" si="12"/>
        <v>431859.20000000001</v>
      </c>
      <c r="S57" s="9">
        <f t="shared" si="12"/>
        <v>431859.20000000001</v>
      </c>
      <c r="T57" s="9">
        <f t="shared" si="12"/>
        <v>431859.20000000001</v>
      </c>
      <c r="U57" s="9">
        <f t="shared" si="12"/>
        <v>431859.20000000001</v>
      </c>
      <c r="V57" s="9">
        <f t="shared" si="12"/>
        <v>431859.20000000001</v>
      </c>
      <c r="W57" s="9">
        <f t="shared" si="12"/>
        <v>431859.20000000001</v>
      </c>
    </row>
    <row r="58" spans="1:24" x14ac:dyDescent="0.2">
      <c r="B58" s="39" t="s">
        <v>26</v>
      </c>
      <c r="C58" s="9">
        <f>C44</f>
        <v>240</v>
      </c>
      <c r="D58" s="9">
        <f t="shared" ref="D58:W58" si="13">D44</f>
        <v>660</v>
      </c>
      <c r="E58" s="9">
        <f t="shared" si="13"/>
        <v>660</v>
      </c>
      <c r="F58" s="9">
        <f t="shared" si="13"/>
        <v>660</v>
      </c>
      <c r="G58" s="9">
        <f t="shared" si="13"/>
        <v>660</v>
      </c>
      <c r="H58" s="9">
        <f t="shared" si="13"/>
        <v>660</v>
      </c>
      <c r="I58" s="9">
        <f t="shared" si="13"/>
        <v>660</v>
      </c>
      <c r="J58" s="9">
        <f t="shared" si="13"/>
        <v>660</v>
      </c>
      <c r="K58" s="9">
        <f t="shared" si="13"/>
        <v>660</v>
      </c>
      <c r="L58" s="9">
        <f t="shared" si="13"/>
        <v>660</v>
      </c>
      <c r="M58" s="9">
        <f t="shared" si="13"/>
        <v>660</v>
      </c>
      <c r="N58" s="9">
        <f t="shared" si="13"/>
        <v>660</v>
      </c>
      <c r="O58" s="9">
        <f t="shared" si="13"/>
        <v>660</v>
      </c>
      <c r="P58" s="9">
        <f t="shared" si="13"/>
        <v>660</v>
      </c>
      <c r="Q58" s="9">
        <f t="shared" si="13"/>
        <v>660</v>
      </c>
      <c r="R58" s="9">
        <f t="shared" si="13"/>
        <v>660</v>
      </c>
      <c r="S58" s="9">
        <f t="shared" si="13"/>
        <v>660</v>
      </c>
      <c r="T58" s="9">
        <f t="shared" si="13"/>
        <v>660</v>
      </c>
      <c r="U58" s="9">
        <f t="shared" si="13"/>
        <v>660</v>
      </c>
      <c r="V58" s="9">
        <f t="shared" si="13"/>
        <v>660</v>
      </c>
      <c r="W58" s="9">
        <f t="shared" si="13"/>
        <v>660</v>
      </c>
    </row>
    <row r="59" spans="1:24" x14ac:dyDescent="0.2">
      <c r="B59" s="39" t="s">
        <v>241</v>
      </c>
      <c r="C59" s="9">
        <f>C45</f>
        <v>8000</v>
      </c>
      <c r="D59" s="9">
        <f t="shared" ref="D59:W59" si="14">D45</f>
        <v>4900</v>
      </c>
      <c r="E59" s="9">
        <f t="shared" si="14"/>
        <v>0</v>
      </c>
      <c r="F59" s="9">
        <f t="shared" si="14"/>
        <v>0</v>
      </c>
      <c r="G59" s="9">
        <f t="shared" si="14"/>
        <v>0</v>
      </c>
      <c r="H59" s="9">
        <f t="shared" si="14"/>
        <v>0</v>
      </c>
      <c r="I59" s="9">
        <f t="shared" si="14"/>
        <v>0</v>
      </c>
      <c r="J59" s="9">
        <f t="shared" si="14"/>
        <v>0</v>
      </c>
      <c r="K59" s="9">
        <f t="shared" si="14"/>
        <v>0</v>
      </c>
      <c r="L59" s="9">
        <f t="shared" si="14"/>
        <v>0</v>
      </c>
      <c r="M59" s="9">
        <f t="shared" si="14"/>
        <v>0</v>
      </c>
      <c r="N59" s="9">
        <f t="shared" si="14"/>
        <v>0</v>
      </c>
      <c r="O59" s="9">
        <f t="shared" si="14"/>
        <v>0</v>
      </c>
      <c r="P59" s="9">
        <f t="shared" si="14"/>
        <v>0</v>
      </c>
      <c r="Q59" s="9">
        <f t="shared" si="14"/>
        <v>0</v>
      </c>
      <c r="R59" s="9">
        <f t="shared" si="14"/>
        <v>0</v>
      </c>
      <c r="S59" s="9">
        <f t="shared" si="14"/>
        <v>0</v>
      </c>
      <c r="T59" s="9">
        <f t="shared" si="14"/>
        <v>0</v>
      </c>
      <c r="U59" s="9">
        <f t="shared" si="14"/>
        <v>0</v>
      </c>
      <c r="V59" s="9">
        <f t="shared" si="14"/>
        <v>0</v>
      </c>
      <c r="W59" s="9">
        <f t="shared" si="14"/>
        <v>0</v>
      </c>
    </row>
    <row r="60" spans="1:24" x14ac:dyDescent="0.2">
      <c r="B60" s="39" t="s">
        <v>2</v>
      </c>
      <c r="C60" s="9">
        <f>C46</f>
        <v>24000</v>
      </c>
      <c r="D60" s="9">
        <f t="shared" ref="D60:W60" si="15">D46</f>
        <v>66726</v>
      </c>
      <c r="E60" s="9">
        <f t="shared" si="15"/>
        <v>67459.98599999999</v>
      </c>
      <c r="F60" s="9">
        <f t="shared" si="15"/>
        <v>68202.045845999979</v>
      </c>
      <c r="G60" s="9">
        <f t="shared" si="15"/>
        <v>68952.268350305967</v>
      </c>
      <c r="H60" s="9">
        <f t="shared" si="15"/>
        <v>69710.743302159332</v>
      </c>
      <c r="I60" s="9">
        <f t="shared" si="15"/>
        <v>70477.561478483083</v>
      </c>
      <c r="J60" s="9">
        <f t="shared" si="15"/>
        <v>71252.814654746384</v>
      </c>
      <c r="K60" s="9">
        <f t="shared" si="15"/>
        <v>72036.595615948594</v>
      </c>
      <c r="L60" s="9">
        <f t="shared" si="15"/>
        <v>72828.998167724028</v>
      </c>
      <c r="M60" s="9">
        <f t="shared" si="15"/>
        <v>73630.117147568992</v>
      </c>
      <c r="N60" s="9">
        <f t="shared" si="15"/>
        <v>74440.048436192243</v>
      </c>
      <c r="O60" s="9">
        <f t="shared" si="15"/>
        <v>75258.888968990344</v>
      </c>
      <c r="P60" s="9">
        <f t="shared" si="15"/>
        <v>76086.736747649236</v>
      </c>
      <c r="Q60" s="9">
        <f t="shared" si="15"/>
        <v>76923.690851873369</v>
      </c>
      <c r="R60" s="9">
        <f t="shared" si="15"/>
        <v>77769.851451243972</v>
      </c>
      <c r="S60" s="9">
        <f t="shared" si="15"/>
        <v>78625.319817207652</v>
      </c>
      <c r="T60" s="9">
        <f t="shared" si="15"/>
        <v>79490.198335196925</v>
      </c>
      <c r="U60" s="9">
        <f t="shared" si="15"/>
        <v>80364.590516884084</v>
      </c>
      <c r="V60" s="9">
        <f t="shared" si="15"/>
        <v>81248.601012569794</v>
      </c>
      <c r="W60" s="9">
        <f t="shared" si="15"/>
        <v>82142.335623708059</v>
      </c>
    </row>
    <row r="61" spans="1:24" x14ac:dyDescent="0.2">
      <c r="B61" s="39" t="s">
        <v>118</v>
      </c>
      <c r="C61" s="9">
        <f>C47</f>
        <v>0</v>
      </c>
      <c r="D61" s="9">
        <f t="shared" ref="D61:W61" si="16">D47</f>
        <v>2883500.0000000005</v>
      </c>
      <c r="E61" s="9">
        <f t="shared" si="16"/>
        <v>4613600.0000000009</v>
      </c>
      <c r="F61" s="9">
        <f t="shared" si="16"/>
        <v>7381760.0000000009</v>
      </c>
      <c r="G61" s="9">
        <f t="shared" si="16"/>
        <v>11810816.000000002</v>
      </c>
      <c r="H61" s="9">
        <f t="shared" si="16"/>
        <v>18897305.600000001</v>
      </c>
      <c r="I61" s="9">
        <f t="shared" si="16"/>
        <v>30235688.960000005</v>
      </c>
      <c r="J61" s="9">
        <f t="shared" si="16"/>
        <v>48377102.33600001</v>
      </c>
      <c r="K61" s="9">
        <f t="shared" si="16"/>
        <v>77403363.737600029</v>
      </c>
      <c r="L61" s="9">
        <f t="shared" si="16"/>
        <v>123845381.98016004</v>
      </c>
      <c r="M61" s="9">
        <f t="shared" si="16"/>
        <v>198152611.1682561</v>
      </c>
      <c r="N61" s="9">
        <f t="shared" si="16"/>
        <v>317044177.86920977</v>
      </c>
      <c r="O61" s="9">
        <f t="shared" si="16"/>
        <v>507270684.59073561</v>
      </c>
      <c r="P61" s="9">
        <f t="shared" si="16"/>
        <v>811633095.34517705</v>
      </c>
      <c r="Q61" s="9">
        <f t="shared" si="16"/>
        <v>1298612952.5522833</v>
      </c>
      <c r="R61" s="9">
        <f t="shared" si="16"/>
        <v>2077780724.0836535</v>
      </c>
      <c r="S61" s="9">
        <f t="shared" si="16"/>
        <v>3324449158.5338454</v>
      </c>
      <c r="T61" s="9">
        <f t="shared" si="16"/>
        <v>5319118653.6541529</v>
      </c>
      <c r="U61" s="9">
        <f t="shared" si="16"/>
        <v>8510589845.8466454</v>
      </c>
      <c r="V61" s="9">
        <f t="shared" si="16"/>
        <v>13616943753.354633</v>
      </c>
      <c r="W61" s="9">
        <f t="shared" si="16"/>
        <v>21787110005.367416</v>
      </c>
    </row>
    <row r="62" spans="1:24" x14ac:dyDescent="0.2">
      <c r="B62" s="87" t="s">
        <v>23</v>
      </c>
      <c r="C62" s="89">
        <f>SUM(C55:C61)</f>
        <v>543140</v>
      </c>
      <c r="D62" s="89">
        <f t="shared" ref="D62:W62" si="17">SUM(D55:D61)</f>
        <v>3979789.8000000007</v>
      </c>
      <c r="E62" s="89">
        <f t="shared" si="17"/>
        <v>5727376.5860000011</v>
      </c>
      <c r="F62" s="89">
        <f t="shared" si="17"/>
        <v>8537738.5258460008</v>
      </c>
      <c r="G62" s="89">
        <f t="shared" si="17"/>
        <v>13046228.006350309</v>
      </c>
      <c r="H62" s="89">
        <f t="shared" si="17"/>
        <v>20200807.43660216</v>
      </c>
      <c r="I62" s="89">
        <f t="shared" si="17"/>
        <v>31631543.048883487</v>
      </c>
      <c r="J62" s="89">
        <f t="shared" si="17"/>
        <v>49903316.401534006</v>
      </c>
      <c r="K62" s="89">
        <f t="shared" si="17"/>
        <v>79119897.572005585</v>
      </c>
      <c r="L62" s="89">
        <f t="shared" si="17"/>
        <v>125847276.2496431</v>
      </c>
      <c r="M62" s="89">
        <f t="shared" si="17"/>
        <v>200590991.38322276</v>
      </c>
      <c r="N62" s="89">
        <f t="shared" si="17"/>
        <v>320159858.51105678</v>
      </c>
      <c r="O62" s="89">
        <f t="shared" si="17"/>
        <v>511447933.37790722</v>
      </c>
      <c r="P62" s="89">
        <f t="shared" si="17"/>
        <v>817485653.6052314</v>
      </c>
      <c r="Q62" s="89">
        <f t="shared" si="17"/>
        <v>1307121665.2409177</v>
      </c>
      <c r="R62" s="89">
        <f t="shared" si="17"/>
        <v>2090513745.1100729</v>
      </c>
      <c r="S62" s="89">
        <f t="shared" si="17"/>
        <v>3343914276.4410539</v>
      </c>
      <c r="T62" s="89">
        <f t="shared" si="17"/>
        <v>5349327009.7251282</v>
      </c>
      <c r="U62" s="89">
        <f t="shared" si="17"/>
        <v>8557957879.9428406</v>
      </c>
      <c r="V62" s="89">
        <f t="shared" si="17"/>
        <v>13691736313.96966</v>
      </c>
      <c r="W62" s="89">
        <f t="shared" si="17"/>
        <v>21905749322.260635</v>
      </c>
    </row>
    <row r="103" spans="2:24" ht="21" x14ac:dyDescent="0.2">
      <c r="B103" s="86" t="s">
        <v>53</v>
      </c>
    </row>
    <row r="105" spans="2:24" x14ac:dyDescent="0.2">
      <c r="B105" s="34" t="s">
        <v>46</v>
      </c>
      <c r="C105" s="35">
        <v>0</v>
      </c>
      <c r="D105" s="35">
        <v>1</v>
      </c>
      <c r="E105" s="35">
        <v>2</v>
      </c>
      <c r="F105" s="35">
        <v>3</v>
      </c>
      <c r="G105" s="35">
        <v>4</v>
      </c>
      <c r="H105" s="35">
        <v>5</v>
      </c>
      <c r="I105" s="35">
        <v>6</v>
      </c>
      <c r="J105" s="35">
        <v>7</v>
      </c>
      <c r="K105" s="35">
        <v>8</v>
      </c>
      <c r="L105" s="35">
        <v>9</v>
      </c>
      <c r="M105" s="35">
        <v>10</v>
      </c>
      <c r="N105" s="35">
        <v>11</v>
      </c>
      <c r="O105" s="35">
        <v>12</v>
      </c>
      <c r="P105" s="35">
        <v>13</v>
      </c>
      <c r="Q105" s="35">
        <v>14</v>
      </c>
      <c r="R105" s="35">
        <v>15</v>
      </c>
      <c r="S105" s="35">
        <v>16</v>
      </c>
      <c r="T105" s="35">
        <v>17</v>
      </c>
      <c r="U105" s="35">
        <v>18</v>
      </c>
      <c r="V105" s="35">
        <v>19</v>
      </c>
      <c r="W105" s="35">
        <v>20</v>
      </c>
    </row>
    <row r="106" spans="2:24" x14ac:dyDescent="0.2">
      <c r="B106" s="30" t="s">
        <v>286</v>
      </c>
      <c r="C106" s="7">
        <v>0</v>
      </c>
      <c r="D106" s="7">
        <f>C45*C24</f>
        <v>3200</v>
      </c>
      <c r="E106" s="7">
        <f>($C$45-$D$106)*$C$24</f>
        <v>1920</v>
      </c>
      <c r="F106" s="7">
        <f>($C$45-$D$106-$E$106)*$C$24</f>
        <v>1152</v>
      </c>
      <c r="G106" s="7">
        <f>($C$45-$D$106-$E$106-$F$106)*$C$24</f>
        <v>691.2</v>
      </c>
      <c r="H106" s="7">
        <f>($C$45-$D$106-$E$106-$F$106-$G$106)*$C$24</f>
        <v>414.72</v>
      </c>
      <c r="I106" s="7">
        <f>($C$45-$D$106-$E$106-$F$106-$G$106-$H$106)*$C$24</f>
        <v>248.83199999999999</v>
      </c>
      <c r="J106" s="7">
        <f>($C$45-$D$106-$E$106-$F$106-$G$106-$H$106-$I$106)*$C$24</f>
        <v>149.29919999999998</v>
      </c>
      <c r="K106" s="7">
        <f>($C$45-$D$106-$E$106-$F$106-$G$106-$H$106-$I$106-J106)*$C$24</f>
        <v>89.579519999999988</v>
      </c>
      <c r="L106" s="7">
        <f>($C$45-$D$106-$E$106-$F$106-$G$106-$H$106-$I$106-J106-K106)*$C$24</f>
        <v>53.747711999999979</v>
      </c>
      <c r="M106" s="7">
        <f>($C$45-$D$106-$E$106-$F$106-$G$106-$H$106-$I$106-J106-K106-L106)*$C$24</f>
        <v>32.248627199999987</v>
      </c>
      <c r="N106" s="7">
        <f>($C$45-$D$106-$E$106-$F$106-$G$106-$H$106-$I$106-J106-K106-L106-M106)*$C$24</f>
        <v>19.349176319999994</v>
      </c>
      <c r="O106" s="7">
        <f>($C$45-$D$106-$E$106-$F$106-$G$106-$H$106-$I$106-J106-K106-L106-M106-N106)*$C$24</f>
        <v>11.609505791999995</v>
      </c>
      <c r="P106" s="7">
        <f>($C$45-$D$106-$E$106-$F$106-$G$106-$H$106-$I$106-J106-K106-L106-M106-N106-O106)*$C$24</f>
        <v>6.9657034751999962</v>
      </c>
      <c r="Q106" s="7">
        <f>($C$45-$D$106-$E$106-$F$106-$G$106-$H$106-$I$106-J106-K106-L106-M106-N106-O106-P106)*$C$24</f>
        <v>4.1794220851199979</v>
      </c>
      <c r="R106" s="7">
        <f>($C$45-$D$106-$E$106-$F$106-$G$106-$H$106-$I$106-J106-K106-L106-M106-N106-O106-P106-Q106)*$C$24</f>
        <v>2.5076532510719982</v>
      </c>
      <c r="S106" s="7">
        <f>($C$45-$D$106-$E$106-$F$106-$G$106-$H$106-$I$106-J106-K106-L106-M106-N106-O106-P106-Q106-R106)*$C$24</f>
        <v>1.5045919506431991</v>
      </c>
      <c r="T106" s="7">
        <f>($C$45-$D$106-$E$106-$F$106-$G$106-$H$106-$I$106-J106-K106-L106-M106-N106-O106-P106-Q106-R106-S106)*$C$24</f>
        <v>0.90275517038591924</v>
      </c>
      <c r="U106" s="7">
        <f>($C$45-$D$106-$E$106-$F$106-$G$106-$H$106-$I$106-J106-K106-L106-M106-N106-O106-P106-Q106-R106-S106-T106)*$C$24</f>
        <v>0.54165310223155161</v>
      </c>
      <c r="V106" s="7">
        <f>($C$45-$D$106-$E$106-$F$106-$G$106-$H$106-$I$106-J106-K106-L106-M106-N106-O106-P106-Q106-R106-S106-T106-U106)*$C$24</f>
        <v>0.32499186133893093</v>
      </c>
      <c r="W106" s="9">
        <f>($C$45-$D$106-$E$106-$F$106-$G$106-$H$106-$I$106-J106-K106-L106-M106-N106-O106-P106-Q106-R106-S106-T106-U106-V106)*$C$24</f>
        <v>0.19499511680335857</v>
      </c>
    </row>
    <row r="107" spans="2:24" x14ac:dyDescent="0.2">
      <c r="B107" s="30" t="s">
        <v>287</v>
      </c>
      <c r="C107" s="7">
        <v>0</v>
      </c>
      <c r="D107" s="9">
        <v>0</v>
      </c>
      <c r="E107" s="7">
        <f>D45*C24</f>
        <v>1960</v>
      </c>
      <c r="F107" s="7">
        <f>($D$45-$E$107)*$C$24</f>
        <v>1176</v>
      </c>
      <c r="G107" s="7">
        <f>($D$45-$E$107-$F$107)*$C$24</f>
        <v>705.6</v>
      </c>
      <c r="H107" s="7">
        <f>($D$45-$E$107-$F$107-$G$107)*$C$24</f>
        <v>423.36000000000007</v>
      </c>
      <c r="I107" s="7">
        <f>($D$45-$E$107-$F$107-$G$107-$H$107)*$C$24</f>
        <v>254.01599999999999</v>
      </c>
      <c r="J107" s="7">
        <f>($D$45-$E$107-$F$107-$G$107-$H$107-$I$107)*$C$24</f>
        <v>152.40960000000001</v>
      </c>
      <c r="K107" s="7">
        <f>($D$45-$E$107-$F$107-$G$107-$H$107-$I$107-$J$107)*$C$24</f>
        <v>91.445760000000007</v>
      </c>
      <c r="L107" s="7">
        <f>($D$45-$E$107-$F$107-$G$107-$H$107-$I$107-$J$107-$K$107)*$C$24</f>
        <v>54.867455999999997</v>
      </c>
      <c r="M107" s="7">
        <f>($D$45-$E$107-$F$107-$G$107-$H$107-$I$107-$J$107-$K$107-$L$107)*$C$24</f>
        <v>32.920473599999994</v>
      </c>
      <c r="N107" s="7">
        <f>($D$45-$E$107-$F$107-$G$107-$H$107-$I$107-$J$107-$K$107-$L$107-$M$107)*$C$24</f>
        <v>19.752284159999995</v>
      </c>
      <c r="O107" s="7">
        <f>($D$45-$E$107-$F$107-$G$107-$H$107-$I$107-$J$107-$K$107-$L$107-$M$107-$N$107)*$C$24</f>
        <v>11.851370495999996</v>
      </c>
      <c r="P107" s="7">
        <f>($D$45-$E$107-$F$107-$G$107-$H$107-$I$107-$J$107-$K$107-$L$107-$M$107-$N$107-$O$107)*$C$24</f>
        <v>7.1108222975999986</v>
      </c>
      <c r="Q107" s="7">
        <f>($D$45-$E$107-$F$107-$G$107-$H$107-$I$107-$J$107-$K$107-$L$107-$M$107-$N$107-$O$107-$P$107)*$C$24</f>
        <v>4.266493378559999</v>
      </c>
      <c r="R107" s="7">
        <f>($D$45-$E$107-$F$107-$G$107-$H$107-$I$107-$J$107-$K$107-$L$107-$M$107-$N$107-$O$107-$P$107-$Q$107)*$C$24</f>
        <v>2.559896027135999</v>
      </c>
      <c r="S107" s="7">
        <f>($D$45-$E$107-$F$107-$G$107-$H$107-$I$107-$J$107-$K$107-$L$107-$M$107-$N$107-$O$107-$P$107-$Q$107-$R$107)*$C$24</f>
        <v>1.5359376162815994</v>
      </c>
      <c r="T107" s="7">
        <f>($D$45-$E$107-$F$107-$G$107-$H$107-$I$107-$J$107-$K$107-$L$107-$M$107-$N$107-$O$107-$P$107-$Q$107-$R$107-$S$107)*$C$24</f>
        <v>0.92156256976895967</v>
      </c>
      <c r="U107" s="7">
        <f>($D$45-$E$107-$F$107-$G$107-$H$107-$I$107-$J$107-$K$107-$L$107-$M$107-$N$107-$O$107-$P$107-$Q$107-$R$107-$S$107-$T$107)*$C$24</f>
        <v>0.55293754186137567</v>
      </c>
      <c r="V107" s="7">
        <f>($D$45-$E$107-$F$107-$G$107-$H$107-$I$107-$J$107-$K$107-$L$107-$M$107-$N$107-$O$107-$P$107-$Q$107-$R$107-$S$107-$T$107-$U$107)*$C$24</f>
        <v>0.33176252511682547</v>
      </c>
      <c r="W107" s="7">
        <f>($D$45-$E$107-$F$107-$G$107-$H$107-$I$107-$J$107-$K$107-$L$107-$M$107-$N$107-$O$107-$P$107-$Q$107-$R$107-$S$107-$T$107-$U$107-$V$107)*$C$24</f>
        <v>0.19905751507009525</v>
      </c>
      <c r="X107" s="9"/>
    </row>
    <row r="108" spans="2:24" x14ac:dyDescent="0.2">
      <c r="B108" s="30" t="s">
        <v>288</v>
      </c>
      <c r="C108" s="9">
        <f>SUM(C106:C107)</f>
        <v>0</v>
      </c>
      <c r="D108" s="9">
        <f t="shared" ref="D108:W108" si="18">SUM(D106:D107)</f>
        <v>3200</v>
      </c>
      <c r="E108" s="9">
        <f t="shared" si="18"/>
        <v>3880</v>
      </c>
      <c r="F108" s="9">
        <f t="shared" si="18"/>
        <v>2328</v>
      </c>
      <c r="G108" s="9">
        <f t="shared" si="18"/>
        <v>1396.8000000000002</v>
      </c>
      <c r="H108" s="9">
        <f t="shared" si="18"/>
        <v>838.08000000000015</v>
      </c>
      <c r="I108" s="9">
        <f t="shared" si="18"/>
        <v>502.84799999999996</v>
      </c>
      <c r="J108" s="9">
        <f t="shared" si="18"/>
        <v>301.7088</v>
      </c>
      <c r="K108" s="9">
        <f t="shared" si="18"/>
        <v>181.02528000000001</v>
      </c>
      <c r="L108" s="9">
        <f t="shared" si="18"/>
        <v>108.61516799999998</v>
      </c>
      <c r="M108" s="9">
        <f t="shared" si="18"/>
        <v>65.169100799999981</v>
      </c>
      <c r="N108" s="9">
        <f t="shared" si="18"/>
        <v>39.101460479999986</v>
      </c>
      <c r="O108" s="9">
        <f t="shared" si="18"/>
        <v>23.460876287999991</v>
      </c>
      <c r="P108" s="9">
        <f t="shared" si="18"/>
        <v>14.076525772799995</v>
      </c>
      <c r="Q108" s="9">
        <f t="shared" si="18"/>
        <v>8.4459154636799969</v>
      </c>
      <c r="R108" s="9">
        <f t="shared" si="18"/>
        <v>5.0675492782079967</v>
      </c>
      <c r="S108" s="9">
        <f t="shared" si="18"/>
        <v>3.0405295669247985</v>
      </c>
      <c r="T108" s="9">
        <f t="shared" si="18"/>
        <v>1.8243177401548789</v>
      </c>
      <c r="U108" s="9">
        <f t="shared" si="18"/>
        <v>1.0945906440929272</v>
      </c>
      <c r="V108" s="9">
        <f t="shared" si="18"/>
        <v>0.65675438645575634</v>
      </c>
      <c r="W108" s="9">
        <f t="shared" si="18"/>
        <v>0.39405263187345385</v>
      </c>
    </row>
  </sheetData>
  <mergeCells count="20">
    <mergeCell ref="D14:I14"/>
    <mergeCell ref="D15:I15"/>
    <mergeCell ref="D16:I16"/>
    <mergeCell ref="D22:I22"/>
    <mergeCell ref="D23:I23"/>
    <mergeCell ref="D24:I24"/>
    <mergeCell ref="D25:I25"/>
    <mergeCell ref="B2:F4"/>
    <mergeCell ref="D7:I7"/>
    <mergeCell ref="D9:I9"/>
    <mergeCell ref="D8:I8"/>
    <mergeCell ref="D10:I10"/>
    <mergeCell ref="D11:I11"/>
    <mergeCell ref="D17:I17"/>
    <mergeCell ref="D18:I18"/>
    <mergeCell ref="D19:I19"/>
    <mergeCell ref="D20:I20"/>
    <mergeCell ref="D21:I21"/>
    <mergeCell ref="D12:I12"/>
    <mergeCell ref="D13:I13"/>
  </mergeCells>
  <hyperlinks>
    <hyperlink ref="J8" location="'Cost details'!B11" display="'Cost details'!B11" xr:uid="{7A0E0D80-A440-1E44-89CA-A2FE48FB4A1F}"/>
    <hyperlink ref="J9" location="'Cost details'!B14" display="'Cost details'!B14" xr:uid="{1A4FF831-86EC-3B44-8F3C-EF05766907DF}"/>
    <hyperlink ref="J10" location="'Cost details'!B17" display="'Cost details'!B17" xr:uid="{B1ED810B-2071-1749-8A69-848B514E8068}"/>
    <hyperlink ref="J11" location="'Cost details'!B21" display="'Cost details'!B21" xr:uid="{2C4E04C0-0FA1-E247-9FDE-70ED2F73E183}"/>
    <hyperlink ref="J12" location="'Cost details'!B24" display="'Cost details'!B24" xr:uid="{CF5017A8-862D-2F46-BDAE-5389F0C68021}"/>
    <hyperlink ref="J13" location="'Cost details'!B27" display="'Cost details'!B27" xr:uid="{8752A09E-42E5-4140-BF3B-C46CC83C762B}"/>
    <hyperlink ref="J14" location="'Cost details'!B30" display="'Cost details'!B30" xr:uid="{E0119246-5D83-774B-9D67-6A7CB49A0A29}"/>
    <hyperlink ref="J15" location="'Cost details'!B32" display="'Cost details'!B32" xr:uid="{5EF52612-B953-F141-B3A9-D9E10248868D}"/>
    <hyperlink ref="J16" location="'Cost details'!B38" display="'Cost details'!B38" xr:uid="{1C7D4F0A-1A97-C945-BF1F-57F77453CDC5}"/>
    <hyperlink ref="J17" location="'Cost details'!B57" display="'Cost details'!B57" xr:uid="{3F13C42B-E4D1-4D4A-A8D8-0134496070DF}"/>
    <hyperlink ref="J18" location="'Cost details'!B57" display="'Cost details'!B57" xr:uid="{557A92A8-4846-224E-956E-849881FD2F86}"/>
    <hyperlink ref="J19" location="'Cost details'!B78" display="'Cost details'!B78" xr:uid="{80F620F5-AA52-994B-A7A7-5AC8B76DD36A}"/>
    <hyperlink ref="J20" location="'Cost details'!B78" display="'Cost details'!B78" xr:uid="{A340BA42-C5FD-604F-AF0E-C42DBA807875}"/>
    <hyperlink ref="J21" location="'Cost details'!B78" display="'Cost details'!B78" xr:uid="{E7A7EDC3-2278-FB49-91F7-8E4396C98B09}"/>
    <hyperlink ref="J22" location="'Cost details'!B78" display="'Cost details'!B78" xr:uid="{842AAC40-0C8C-EC41-BD55-17FD175BD925}"/>
    <hyperlink ref="J23" location="'Cost details'!B78" display="'Cost details'!B78" xr:uid="{BC287792-347F-7141-A875-37AD7626951E}"/>
    <hyperlink ref="J24" location="'Cost details'!B78" display="'Cost details'!B78" xr:uid="{BE4951F6-63F4-3F4F-B409-479493E37CBC}"/>
    <hyperlink ref="J25" location="'Cost details'!B78" display="'Cost details'!B78" xr:uid="{97FF0F28-4704-C943-8370-A0542C8AD3C5}"/>
  </hyperlinks>
  <pageMargins left="0.7" right="0.7" top="0.75" bottom="0.75" header="0.3" footer="0.3"/>
  <ignoredErrors>
    <ignoredError sqref="C3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6A1C-F249-504C-A9F9-8E9E1DCA45AB}">
  <sheetPr>
    <tabColor theme="5" tint="0.39997558519241921"/>
  </sheetPr>
  <dimension ref="A2:Z184"/>
  <sheetViews>
    <sheetView topLeftCell="A109" zoomScale="118" workbookViewId="0">
      <selection activeCell="I56" sqref="I56"/>
    </sheetView>
  </sheetViews>
  <sheetFormatPr baseColWidth="10" defaultRowHeight="16" x14ac:dyDescent="0.2"/>
  <sheetData>
    <row r="2" spans="2:26" ht="16" customHeight="1" x14ac:dyDescent="0.2">
      <c r="B2" s="213" t="s">
        <v>239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</row>
    <row r="3" spans="2:26" ht="16" customHeight="1" x14ac:dyDescent="0.2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8"/>
    </row>
    <row r="4" spans="2:26" ht="16" customHeight="1" x14ac:dyDescent="0.2">
      <c r="B4" s="219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1"/>
    </row>
    <row r="7" spans="2:26" ht="21" x14ac:dyDescent="0.25">
      <c r="B7" s="228" t="s">
        <v>200</v>
      </c>
      <c r="C7" s="228"/>
      <c r="D7" s="228"/>
      <c r="E7" s="228"/>
      <c r="F7" s="228"/>
    </row>
    <row r="8" spans="2:26" ht="17" customHeight="1" x14ac:dyDescent="0.2"/>
    <row r="9" spans="2:26" ht="17" customHeight="1" x14ac:dyDescent="0.2"/>
    <row r="10" spans="2:26" ht="17" customHeight="1" x14ac:dyDescent="0.25">
      <c r="B10" s="225" t="s">
        <v>203</v>
      </c>
      <c r="C10" s="226"/>
      <c r="D10" s="227"/>
      <c r="E10" s="225" t="s">
        <v>54</v>
      </c>
      <c r="F10" s="226"/>
      <c r="G10" s="226"/>
      <c r="H10" s="226"/>
      <c r="I10" s="226"/>
      <c r="J10" s="226"/>
      <c r="K10" s="226"/>
      <c r="L10" s="227"/>
      <c r="M10" s="225" t="s">
        <v>218</v>
      </c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7"/>
    </row>
    <row r="11" spans="2:26" x14ac:dyDescent="0.2">
      <c r="B11" s="75" t="s">
        <v>192</v>
      </c>
      <c r="C11" s="76"/>
      <c r="D11" s="77"/>
      <c r="E11" s="78" t="s">
        <v>202</v>
      </c>
      <c r="F11" s="76"/>
      <c r="G11" s="76"/>
      <c r="H11" s="76"/>
      <c r="I11" s="76"/>
      <c r="J11" s="76"/>
      <c r="K11" s="76"/>
      <c r="L11" s="77"/>
      <c r="M11" s="78" t="s">
        <v>219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7"/>
    </row>
    <row r="12" spans="2:26" x14ac:dyDescent="0.2">
      <c r="B12" s="66"/>
      <c r="C12" s="30"/>
      <c r="D12" s="65"/>
      <c r="E12" s="66" t="s">
        <v>201</v>
      </c>
      <c r="F12" s="30"/>
      <c r="G12" s="30"/>
      <c r="H12" s="30"/>
      <c r="I12" s="30"/>
      <c r="J12" s="30"/>
      <c r="K12" s="30"/>
      <c r="L12" s="65"/>
      <c r="M12" s="66" t="s">
        <v>223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65"/>
    </row>
    <row r="13" spans="2:26" x14ac:dyDescent="0.2">
      <c r="B13" s="66"/>
      <c r="C13" s="30"/>
      <c r="D13" s="65"/>
      <c r="E13" s="66"/>
      <c r="F13" s="30"/>
      <c r="G13" s="30"/>
      <c r="H13" s="30"/>
      <c r="I13" s="30"/>
      <c r="J13" s="30"/>
      <c r="K13" s="30"/>
      <c r="L13" s="65"/>
      <c r="M13" s="66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65"/>
    </row>
    <row r="14" spans="2:26" x14ac:dyDescent="0.2">
      <c r="B14" s="75" t="s">
        <v>189</v>
      </c>
      <c r="C14" s="76"/>
      <c r="D14" s="77"/>
      <c r="E14" s="78" t="s">
        <v>204</v>
      </c>
      <c r="F14" s="76"/>
      <c r="G14" s="76"/>
      <c r="H14" s="76"/>
      <c r="I14" s="76"/>
      <c r="J14" s="76"/>
      <c r="K14" s="76"/>
      <c r="L14" s="77"/>
      <c r="M14" s="78" t="s">
        <v>243</v>
      </c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</row>
    <row r="15" spans="2:26" x14ac:dyDescent="0.2">
      <c r="B15" s="66"/>
      <c r="C15" s="30"/>
      <c r="D15" s="65"/>
      <c r="E15" s="66" t="s">
        <v>205</v>
      </c>
      <c r="F15" s="30"/>
      <c r="G15" s="30"/>
      <c r="H15" s="30"/>
      <c r="I15" s="30"/>
      <c r="J15" s="30"/>
      <c r="K15" s="30"/>
      <c r="L15" s="65"/>
      <c r="M15" s="66" t="s">
        <v>221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65"/>
    </row>
    <row r="16" spans="2:26" x14ac:dyDescent="0.2">
      <c r="B16" s="68"/>
      <c r="C16" s="69"/>
      <c r="D16" s="70"/>
      <c r="E16" s="68"/>
      <c r="F16" s="69"/>
      <c r="G16" s="69"/>
      <c r="H16" s="69"/>
      <c r="I16" s="69"/>
      <c r="J16" s="69"/>
      <c r="K16" s="69"/>
      <c r="L16" s="70"/>
      <c r="M16" s="68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70"/>
    </row>
    <row r="17" spans="2:26" x14ac:dyDescent="0.2">
      <c r="B17" s="75" t="s">
        <v>190</v>
      </c>
      <c r="C17" s="76"/>
      <c r="D17" s="77"/>
      <c r="E17" s="78" t="s">
        <v>206</v>
      </c>
      <c r="F17" s="76"/>
      <c r="G17" s="76"/>
      <c r="H17" s="76"/>
      <c r="I17" s="76"/>
      <c r="J17" s="76"/>
      <c r="K17" s="76"/>
      <c r="L17" s="77"/>
      <c r="M17" s="78" t="s">
        <v>219</v>
      </c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7"/>
    </row>
    <row r="18" spans="2:26" x14ac:dyDescent="0.2">
      <c r="B18" s="66"/>
      <c r="C18" s="30"/>
      <c r="D18" s="65"/>
      <c r="E18" s="66" t="s">
        <v>207</v>
      </c>
      <c r="F18" s="30"/>
      <c r="G18" s="30"/>
      <c r="H18" s="30"/>
      <c r="I18" s="30"/>
      <c r="J18" s="30"/>
      <c r="K18" s="30"/>
      <c r="L18" s="65"/>
      <c r="M18" s="66" t="s">
        <v>220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65"/>
    </row>
    <row r="19" spans="2:26" x14ac:dyDescent="0.2">
      <c r="B19" s="66"/>
      <c r="C19" s="30"/>
      <c r="D19" s="65"/>
      <c r="E19" s="66" t="s">
        <v>191</v>
      </c>
      <c r="F19" s="30"/>
      <c r="G19" s="30"/>
      <c r="H19" s="30"/>
      <c r="I19" s="30"/>
      <c r="J19" s="30"/>
      <c r="K19" s="30"/>
      <c r="L19" s="65"/>
      <c r="M19" s="66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65"/>
    </row>
    <row r="20" spans="2:26" x14ac:dyDescent="0.2">
      <c r="B20" s="66"/>
      <c r="C20" s="30"/>
      <c r="D20" s="65"/>
      <c r="E20" s="66"/>
      <c r="F20" s="30"/>
      <c r="G20" s="30"/>
      <c r="H20" s="30"/>
      <c r="I20" s="30"/>
      <c r="J20" s="30"/>
      <c r="K20" s="30"/>
      <c r="L20" s="65"/>
      <c r="M20" s="66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65"/>
    </row>
    <row r="21" spans="2:26" x14ac:dyDescent="0.2">
      <c r="B21" s="75" t="s">
        <v>193</v>
      </c>
      <c r="C21" s="76"/>
      <c r="D21" s="77"/>
      <c r="E21" s="78" t="s">
        <v>208</v>
      </c>
      <c r="F21" s="76"/>
      <c r="G21" s="76"/>
      <c r="H21" s="76"/>
      <c r="I21" s="76"/>
      <c r="J21" s="76"/>
      <c r="K21" s="76"/>
      <c r="L21" s="76"/>
      <c r="M21" s="78" t="s">
        <v>219</v>
      </c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</row>
    <row r="22" spans="2:26" x14ac:dyDescent="0.2">
      <c r="B22" s="66"/>
      <c r="C22" s="30"/>
      <c r="D22" s="65"/>
      <c r="E22" s="66" t="s">
        <v>207</v>
      </c>
      <c r="F22" s="30"/>
      <c r="G22" s="30"/>
      <c r="H22" s="30"/>
      <c r="I22" s="30"/>
      <c r="J22" s="30"/>
      <c r="K22" s="30"/>
      <c r="L22" s="65"/>
      <c r="M22" s="66" t="s">
        <v>222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65"/>
    </row>
    <row r="23" spans="2:26" x14ac:dyDescent="0.2">
      <c r="B23" s="68"/>
      <c r="C23" s="69"/>
      <c r="D23" s="70"/>
      <c r="E23" s="68"/>
      <c r="F23" s="69"/>
      <c r="G23" s="69"/>
      <c r="H23" s="69"/>
      <c r="I23" s="69"/>
      <c r="J23" s="69"/>
      <c r="K23" s="69"/>
      <c r="L23" s="70"/>
      <c r="M23" s="68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70"/>
    </row>
    <row r="24" spans="2:26" x14ac:dyDescent="0.2">
      <c r="B24" s="75" t="s">
        <v>195</v>
      </c>
      <c r="C24" s="76"/>
      <c r="D24" s="77"/>
      <c r="E24" s="78" t="s">
        <v>209</v>
      </c>
      <c r="F24" s="76"/>
      <c r="G24" s="76"/>
      <c r="H24" s="76"/>
      <c r="I24" s="76"/>
      <c r="J24" s="76"/>
      <c r="K24" s="76"/>
      <c r="L24" s="77"/>
      <c r="M24" s="78" t="s">
        <v>224</v>
      </c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7"/>
    </row>
    <row r="25" spans="2:26" x14ac:dyDescent="0.2">
      <c r="B25" s="66"/>
      <c r="C25" s="30"/>
      <c r="D25" s="65"/>
      <c r="E25" s="66" t="s">
        <v>210</v>
      </c>
      <c r="F25" s="30"/>
      <c r="G25" s="30"/>
      <c r="H25" s="30"/>
      <c r="I25" s="30"/>
      <c r="J25" s="30"/>
      <c r="K25" s="30"/>
      <c r="L25" s="65"/>
      <c r="M25" s="66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65"/>
    </row>
    <row r="26" spans="2:26" x14ac:dyDescent="0.2">
      <c r="B26" s="68"/>
      <c r="C26" s="69"/>
      <c r="D26" s="70"/>
      <c r="E26" s="68"/>
      <c r="F26" s="69"/>
      <c r="G26" s="69"/>
      <c r="H26" s="69"/>
      <c r="I26" s="69"/>
      <c r="J26" s="69"/>
      <c r="K26" s="69"/>
      <c r="L26" s="70"/>
      <c r="M26" s="68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70"/>
    </row>
    <row r="27" spans="2:26" x14ac:dyDescent="0.2">
      <c r="B27" s="75" t="s">
        <v>196</v>
      </c>
      <c r="C27" s="76"/>
      <c r="D27" s="77"/>
      <c r="E27" s="78" t="s">
        <v>211</v>
      </c>
      <c r="F27" s="76"/>
      <c r="G27" s="76"/>
      <c r="H27" s="76"/>
      <c r="I27" s="76"/>
      <c r="J27" s="76"/>
      <c r="K27" s="76"/>
      <c r="L27" s="77"/>
      <c r="M27" s="78" t="s">
        <v>219</v>
      </c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7"/>
    </row>
    <row r="28" spans="2:26" x14ac:dyDescent="0.2">
      <c r="B28" s="64"/>
      <c r="C28" s="30"/>
      <c r="D28" s="65"/>
      <c r="E28" s="66" t="s">
        <v>201</v>
      </c>
      <c r="F28" s="30"/>
      <c r="G28" s="30"/>
      <c r="H28" s="30"/>
      <c r="I28" s="30"/>
      <c r="J28" s="30"/>
      <c r="K28" s="30"/>
      <c r="L28" s="65"/>
      <c r="M28" s="66" t="s">
        <v>225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65"/>
    </row>
    <row r="29" spans="2:26" x14ac:dyDescent="0.2">
      <c r="B29" s="64"/>
      <c r="C29" s="30"/>
      <c r="D29" s="65"/>
      <c r="E29" s="66"/>
      <c r="F29" s="30"/>
      <c r="G29" s="30"/>
      <c r="H29" s="30"/>
      <c r="I29" s="30"/>
      <c r="J29" s="30"/>
      <c r="K29" s="30"/>
      <c r="L29" s="65"/>
      <c r="M29" s="66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65"/>
    </row>
    <row r="30" spans="2:26" x14ac:dyDescent="0.2">
      <c r="B30" s="75" t="s">
        <v>197</v>
      </c>
      <c r="C30" s="76"/>
      <c r="D30" s="77"/>
      <c r="E30" s="78" t="s">
        <v>55</v>
      </c>
      <c r="F30" s="76"/>
      <c r="G30" s="76"/>
      <c r="H30" s="76"/>
      <c r="I30" s="76"/>
      <c r="J30" s="76"/>
      <c r="K30" s="76"/>
      <c r="L30" s="77"/>
      <c r="M30" s="78" t="s">
        <v>212</v>
      </c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7"/>
    </row>
    <row r="31" spans="2:26" x14ac:dyDescent="0.2">
      <c r="B31" s="79"/>
      <c r="C31" s="69"/>
      <c r="D31" s="70"/>
      <c r="E31" s="68"/>
      <c r="F31" s="69"/>
      <c r="G31" s="69"/>
      <c r="H31" s="69"/>
      <c r="I31" s="69"/>
      <c r="J31" s="69"/>
      <c r="K31" s="69"/>
      <c r="L31" s="70"/>
      <c r="M31" s="68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70"/>
    </row>
    <row r="32" spans="2:26" x14ac:dyDescent="0.2">
      <c r="B32" s="75" t="s">
        <v>198</v>
      </c>
      <c r="C32" s="76"/>
      <c r="D32" s="77"/>
      <c r="E32" s="78" t="s">
        <v>215</v>
      </c>
      <c r="F32" s="76"/>
      <c r="G32" s="76"/>
      <c r="H32" s="76"/>
      <c r="I32" s="76"/>
      <c r="J32" s="76"/>
      <c r="K32" s="76"/>
      <c r="L32" s="77"/>
      <c r="M32" s="78" t="s">
        <v>227</v>
      </c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7"/>
    </row>
    <row r="33" spans="1:26" x14ac:dyDescent="0.2">
      <c r="B33" s="66"/>
      <c r="C33" s="30"/>
      <c r="D33" s="65"/>
      <c r="E33" s="66" t="s">
        <v>216</v>
      </c>
      <c r="F33" s="30"/>
      <c r="G33" s="30"/>
      <c r="H33" s="30"/>
      <c r="I33" s="30"/>
      <c r="J33" s="30"/>
      <c r="K33" s="30"/>
      <c r="L33" s="65"/>
      <c r="M33" s="66" t="s">
        <v>229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65"/>
    </row>
    <row r="34" spans="1:26" x14ac:dyDescent="0.2">
      <c r="B34" s="66"/>
      <c r="C34" s="30"/>
      <c r="D34" s="65"/>
      <c r="E34" s="66" t="s">
        <v>217</v>
      </c>
      <c r="F34" s="30"/>
      <c r="G34" s="30"/>
      <c r="H34" s="30"/>
      <c r="I34" s="30"/>
      <c r="J34" s="30"/>
      <c r="K34" s="30"/>
      <c r="L34" s="65"/>
      <c r="M34" s="66" t="s">
        <v>232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65"/>
    </row>
    <row r="35" spans="1:26" x14ac:dyDescent="0.2">
      <c r="B35" s="66"/>
      <c r="C35" s="30"/>
      <c r="D35" s="65"/>
      <c r="E35" s="66" t="s">
        <v>228</v>
      </c>
      <c r="F35" s="30"/>
      <c r="G35" s="30"/>
      <c r="H35" s="30"/>
      <c r="I35" s="30"/>
      <c r="J35" s="30"/>
      <c r="K35" s="30"/>
      <c r="L35" s="65"/>
      <c r="M35" s="66" t="s">
        <v>233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65"/>
    </row>
    <row r="36" spans="1:26" x14ac:dyDescent="0.2">
      <c r="B36" s="66"/>
      <c r="C36" s="30"/>
      <c r="D36" s="65"/>
      <c r="E36" s="66"/>
      <c r="F36" s="30"/>
      <c r="G36" s="30"/>
      <c r="H36" s="30"/>
      <c r="I36" s="30"/>
      <c r="J36" s="30"/>
      <c r="K36" s="30"/>
      <c r="L36" s="65"/>
      <c r="M36" s="66" t="s">
        <v>234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65"/>
    </row>
    <row r="37" spans="1:26" x14ac:dyDescent="0.2">
      <c r="B37" s="68"/>
      <c r="C37" s="69"/>
      <c r="D37" s="70"/>
      <c r="E37" s="68"/>
      <c r="F37" s="69"/>
      <c r="G37" s="69"/>
      <c r="H37" s="69"/>
      <c r="I37" s="69"/>
      <c r="J37" s="69"/>
      <c r="K37" s="69"/>
      <c r="L37" s="70"/>
      <c r="M37" s="68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70"/>
    </row>
    <row r="38" spans="1:26" x14ac:dyDescent="0.2">
      <c r="A38" s="51"/>
      <c r="B38" s="64" t="s">
        <v>187</v>
      </c>
      <c r="C38" s="63"/>
      <c r="D38" s="67"/>
      <c r="E38" s="71" t="s">
        <v>56</v>
      </c>
      <c r="F38" s="72"/>
      <c r="G38" s="72"/>
      <c r="H38" s="72"/>
      <c r="I38" s="72"/>
      <c r="J38" s="72"/>
      <c r="K38" s="63"/>
      <c r="L38" s="67"/>
      <c r="M38" s="64" t="s">
        <v>226</v>
      </c>
      <c r="N38" s="63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65"/>
    </row>
    <row r="39" spans="1:26" x14ac:dyDescent="0.2">
      <c r="A39" s="51"/>
      <c r="B39" s="64"/>
      <c r="C39" s="63"/>
      <c r="D39" s="67"/>
      <c r="E39" s="71" t="s">
        <v>57</v>
      </c>
      <c r="F39" s="72"/>
      <c r="G39" s="72"/>
      <c r="H39" s="72"/>
      <c r="I39" s="72"/>
      <c r="J39" s="72"/>
      <c r="K39" s="72"/>
      <c r="L39" s="73"/>
      <c r="M39" s="64" t="s">
        <v>235</v>
      </c>
      <c r="N39" s="63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65"/>
    </row>
    <row r="40" spans="1:26" x14ac:dyDescent="0.2">
      <c r="B40" s="66"/>
      <c r="C40" s="30"/>
      <c r="D40" s="65"/>
      <c r="E40" s="66"/>
      <c r="F40" s="30"/>
      <c r="G40" s="30"/>
      <c r="H40" s="30"/>
      <c r="I40" s="30"/>
      <c r="J40" s="30"/>
      <c r="K40" s="30"/>
      <c r="L40" s="65"/>
      <c r="M40" s="64" t="s">
        <v>236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65"/>
    </row>
    <row r="41" spans="1:26" x14ac:dyDescent="0.2">
      <c r="B41" s="68"/>
      <c r="C41" s="69"/>
      <c r="D41" s="70"/>
      <c r="E41" s="68"/>
      <c r="F41" s="69"/>
      <c r="G41" s="69"/>
      <c r="H41" s="69"/>
      <c r="I41" s="69"/>
      <c r="J41" s="69"/>
      <c r="K41" s="69"/>
      <c r="L41" s="70"/>
      <c r="M41" s="74" t="s">
        <v>237</v>
      </c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70"/>
    </row>
    <row r="43" spans="1:26" ht="19" x14ac:dyDescent="0.25">
      <c r="B43" s="50"/>
    </row>
    <row r="44" spans="1:26" x14ac:dyDescent="0.2">
      <c r="B44" t="s">
        <v>31</v>
      </c>
    </row>
    <row r="45" spans="1:26" x14ac:dyDescent="0.2">
      <c r="B45" s="51" t="s">
        <v>194</v>
      </c>
    </row>
    <row r="46" spans="1:26" x14ac:dyDescent="0.2">
      <c r="B46" s="51" t="s">
        <v>188</v>
      </c>
    </row>
    <row r="47" spans="1:26" x14ac:dyDescent="0.2">
      <c r="B47" s="51" t="s">
        <v>213</v>
      </c>
    </row>
    <row r="48" spans="1:26" x14ac:dyDescent="0.2">
      <c r="B48" s="51" t="s">
        <v>214</v>
      </c>
    </row>
    <row r="49" spans="2:6" x14ac:dyDescent="0.2">
      <c r="B49" s="51" t="s">
        <v>230</v>
      </c>
    </row>
    <row r="50" spans="2:6" x14ac:dyDescent="0.2">
      <c r="B50" s="51" t="s">
        <v>231</v>
      </c>
    </row>
    <row r="51" spans="2:6" x14ac:dyDescent="0.2">
      <c r="B51" s="51" t="s">
        <v>59</v>
      </c>
    </row>
    <row r="52" spans="2:6" x14ac:dyDescent="0.2">
      <c r="B52" s="47" t="s">
        <v>238</v>
      </c>
    </row>
    <row r="55" spans="2:6" x14ac:dyDescent="0.2">
      <c r="B55" s="4"/>
    </row>
    <row r="56" spans="2:6" x14ac:dyDescent="0.2">
      <c r="B56" s="4"/>
    </row>
    <row r="57" spans="2:6" ht="21" x14ac:dyDescent="0.25">
      <c r="B57" s="228" t="s">
        <v>242</v>
      </c>
      <c r="C57" s="228"/>
      <c r="D57" s="228"/>
      <c r="E57" s="228"/>
      <c r="F57" s="228"/>
    </row>
    <row r="58" spans="2:6" ht="21" x14ac:dyDescent="0.25">
      <c r="B58" s="81"/>
      <c r="C58" s="81"/>
      <c r="D58" s="81"/>
      <c r="E58" s="81"/>
      <c r="F58" s="81"/>
    </row>
    <row r="59" spans="2:6" ht="21" x14ac:dyDescent="0.25">
      <c r="B59" s="90" t="s">
        <v>54</v>
      </c>
      <c r="C59" s="81"/>
      <c r="D59" s="81"/>
      <c r="E59" s="81"/>
      <c r="F59" s="81"/>
    </row>
    <row r="60" spans="2:6" ht="21" x14ac:dyDescent="0.25">
      <c r="B60" s="81"/>
      <c r="C60" s="81"/>
      <c r="D60" s="81"/>
      <c r="E60" s="81"/>
      <c r="F60" s="81"/>
    </row>
    <row r="61" spans="2:6" x14ac:dyDescent="0.2">
      <c r="B61" t="s">
        <v>60</v>
      </c>
    </row>
    <row r="63" spans="2:6" ht="19" x14ac:dyDescent="0.2">
      <c r="B63" s="229" t="s">
        <v>0</v>
      </c>
      <c r="C63" s="229"/>
    </row>
    <row r="65" spans="2:6" x14ac:dyDescent="0.2">
      <c r="B65" t="s">
        <v>122</v>
      </c>
    </row>
    <row r="66" spans="2:6" x14ac:dyDescent="0.2">
      <c r="B66" t="s">
        <v>175</v>
      </c>
    </row>
    <row r="67" spans="2:6" x14ac:dyDescent="0.2">
      <c r="B67" t="s">
        <v>123</v>
      </c>
    </row>
    <row r="68" spans="2:6" x14ac:dyDescent="0.2">
      <c r="B68" t="s">
        <v>6</v>
      </c>
    </row>
    <row r="70" spans="2:6" x14ac:dyDescent="0.2">
      <c r="B70" t="s">
        <v>50</v>
      </c>
    </row>
    <row r="71" spans="2:6" x14ac:dyDescent="0.2">
      <c r="B71" s="4" t="s">
        <v>61</v>
      </c>
    </row>
    <row r="72" spans="2:6" x14ac:dyDescent="0.2">
      <c r="B72" s="4" t="s">
        <v>62</v>
      </c>
    </row>
    <row r="73" spans="2:6" x14ac:dyDescent="0.2">
      <c r="B73" s="4" t="s">
        <v>63</v>
      </c>
    </row>
    <row r="74" spans="2:6" x14ac:dyDescent="0.2">
      <c r="B74" s="4" t="s">
        <v>64</v>
      </c>
    </row>
    <row r="75" spans="2:6" x14ac:dyDescent="0.2">
      <c r="B75" s="4" t="s">
        <v>65</v>
      </c>
    </row>
    <row r="76" spans="2:6" x14ac:dyDescent="0.2">
      <c r="B76" s="4" t="s">
        <v>66</v>
      </c>
    </row>
    <row r="77" spans="2:6" x14ac:dyDescent="0.2">
      <c r="B77" s="4"/>
    </row>
    <row r="78" spans="2:6" ht="21" x14ac:dyDescent="0.25">
      <c r="B78" s="228" t="s">
        <v>51</v>
      </c>
      <c r="C78" s="228"/>
      <c r="D78" s="228"/>
      <c r="E78" s="228"/>
      <c r="F78" s="228"/>
    </row>
    <row r="79" spans="2:6" ht="21" x14ac:dyDescent="0.25">
      <c r="B79" s="81"/>
      <c r="C79" s="81"/>
      <c r="D79" s="81"/>
      <c r="E79" s="81"/>
      <c r="F79" s="81"/>
    </row>
    <row r="80" spans="2:6" ht="21" x14ac:dyDescent="0.25">
      <c r="B80" s="90" t="s">
        <v>54</v>
      </c>
      <c r="C80" s="81"/>
      <c r="D80" s="81"/>
      <c r="E80" s="81"/>
      <c r="F80" s="81"/>
    </row>
    <row r="81" spans="2:6" ht="21" x14ac:dyDescent="0.25">
      <c r="B81" s="81"/>
      <c r="C81" s="81"/>
      <c r="D81" s="81"/>
      <c r="E81" s="81"/>
      <c r="F81" s="81"/>
    </row>
    <row r="82" spans="2:6" x14ac:dyDescent="0.2">
      <c r="B82" s="5" t="s">
        <v>67</v>
      </c>
    </row>
    <row r="83" spans="2:6" x14ac:dyDescent="0.2">
      <c r="B83" s="5"/>
    </row>
    <row r="84" spans="2:6" ht="19" x14ac:dyDescent="0.2">
      <c r="B84" s="229" t="s">
        <v>0</v>
      </c>
      <c r="C84" s="229"/>
    </row>
    <row r="85" spans="2:6" x14ac:dyDescent="0.2">
      <c r="B85" s="5"/>
    </row>
    <row r="86" spans="2:6" x14ac:dyDescent="0.2">
      <c r="B86" t="s">
        <v>84</v>
      </c>
    </row>
    <row r="87" spans="2:6" x14ac:dyDescent="0.2">
      <c r="B87" t="s">
        <v>83</v>
      </c>
    </row>
    <row r="89" spans="2:6" x14ac:dyDescent="0.2">
      <c r="B89" t="s">
        <v>31</v>
      </c>
    </row>
    <row r="90" spans="2:6" x14ac:dyDescent="0.2">
      <c r="B90" s="4" t="s">
        <v>69</v>
      </c>
    </row>
    <row r="91" spans="2:6" x14ac:dyDescent="0.2">
      <c r="B91" s="4" t="s">
        <v>68</v>
      </c>
    </row>
    <row r="93" spans="2:6" ht="21" x14ac:dyDescent="0.25">
      <c r="B93" s="228" t="s">
        <v>26</v>
      </c>
      <c r="C93" s="228"/>
      <c r="D93" s="228"/>
      <c r="E93" s="228"/>
      <c r="F93" s="228"/>
    </row>
    <row r="94" spans="2:6" ht="21" x14ac:dyDescent="0.25">
      <c r="B94" s="81"/>
      <c r="C94" s="81"/>
      <c r="D94" s="81"/>
      <c r="E94" s="81"/>
      <c r="F94" s="81"/>
    </row>
    <row r="95" spans="2:6" ht="21" x14ac:dyDescent="0.25">
      <c r="B95" s="90" t="s">
        <v>54</v>
      </c>
      <c r="C95" s="81"/>
      <c r="D95" s="81"/>
      <c r="E95" s="81"/>
      <c r="F95" s="81"/>
    </row>
    <row r="96" spans="2:6" ht="21" x14ac:dyDescent="0.25">
      <c r="B96" s="81"/>
      <c r="C96" s="81"/>
      <c r="D96" s="81"/>
      <c r="E96" s="81"/>
      <c r="F96" s="81"/>
    </row>
    <row r="97" spans="2:6" x14ac:dyDescent="0.2">
      <c r="B97" t="s">
        <v>70</v>
      </c>
    </row>
    <row r="99" spans="2:6" ht="19" x14ac:dyDescent="0.2">
      <c r="B99" s="229" t="s">
        <v>0</v>
      </c>
      <c r="C99" s="229"/>
    </row>
    <row r="101" spans="2:6" x14ac:dyDescent="0.2">
      <c r="B101" t="s">
        <v>124</v>
      </c>
    </row>
    <row r="103" spans="2:6" x14ac:dyDescent="0.2">
      <c r="B103" t="s">
        <v>31</v>
      </c>
    </row>
    <row r="104" spans="2:6" x14ac:dyDescent="0.2">
      <c r="B104" s="4" t="s">
        <v>71</v>
      </c>
    </row>
    <row r="105" spans="2:6" x14ac:dyDescent="0.2">
      <c r="B105" s="4" t="s">
        <v>72</v>
      </c>
    </row>
    <row r="107" spans="2:6" ht="21" x14ac:dyDescent="0.25">
      <c r="B107" s="228" t="s">
        <v>241</v>
      </c>
      <c r="C107" s="228"/>
      <c r="D107" s="228"/>
      <c r="E107" s="228"/>
      <c r="F107" s="228"/>
    </row>
    <row r="108" spans="2:6" ht="21" x14ac:dyDescent="0.25">
      <c r="B108" s="81"/>
      <c r="C108" s="81"/>
      <c r="D108" s="81"/>
      <c r="E108" s="81"/>
      <c r="F108" s="81"/>
    </row>
    <row r="109" spans="2:6" ht="21" x14ac:dyDescent="0.25">
      <c r="B109" s="90" t="s">
        <v>54</v>
      </c>
      <c r="C109" s="81"/>
      <c r="D109" s="81"/>
      <c r="E109" s="81"/>
      <c r="F109" s="81"/>
    </row>
    <row r="110" spans="2:6" ht="21" x14ac:dyDescent="0.25">
      <c r="B110" s="81"/>
      <c r="C110" s="81"/>
      <c r="D110" s="81"/>
      <c r="E110" s="81"/>
      <c r="F110" s="81"/>
    </row>
    <row r="111" spans="2:6" x14ac:dyDescent="0.2">
      <c r="B111" t="s">
        <v>76</v>
      </c>
    </row>
    <row r="113" spans="2:6" ht="19" x14ac:dyDescent="0.2">
      <c r="B113" s="229" t="s">
        <v>0</v>
      </c>
      <c r="C113" s="229"/>
    </row>
    <row r="115" spans="2:6" x14ac:dyDescent="0.2">
      <c r="B115" t="s">
        <v>308</v>
      </c>
    </row>
    <row r="117" spans="2:6" x14ac:dyDescent="0.2">
      <c r="B117" t="s">
        <v>31</v>
      </c>
    </row>
    <row r="118" spans="2:6" x14ac:dyDescent="0.2">
      <c r="B118" s="4" t="s">
        <v>77</v>
      </c>
    </row>
    <row r="120" spans="2:6" ht="21" x14ac:dyDescent="0.25">
      <c r="B120" s="228" t="s">
        <v>2</v>
      </c>
      <c r="C120" s="228"/>
      <c r="D120" s="228"/>
      <c r="E120" s="228"/>
      <c r="F120" s="228"/>
    </row>
    <row r="121" spans="2:6" ht="21" x14ac:dyDescent="0.25">
      <c r="B121" s="81"/>
      <c r="C121" s="81"/>
      <c r="D121" s="81"/>
      <c r="E121" s="81"/>
      <c r="F121" s="81"/>
    </row>
    <row r="122" spans="2:6" ht="21" x14ac:dyDescent="0.25">
      <c r="B122" s="90" t="s">
        <v>54</v>
      </c>
      <c r="C122" s="81"/>
      <c r="D122" s="81"/>
      <c r="E122" s="81"/>
      <c r="F122" s="81"/>
    </row>
    <row r="123" spans="2:6" ht="21" x14ac:dyDescent="0.25">
      <c r="B123" s="82"/>
      <c r="C123" s="81"/>
      <c r="D123" s="81"/>
      <c r="E123" s="81"/>
      <c r="F123" s="81"/>
    </row>
    <row r="124" spans="2:6" ht="21" x14ac:dyDescent="0.25">
      <c r="B124" t="s">
        <v>78</v>
      </c>
      <c r="C124" s="81"/>
      <c r="D124" s="81"/>
      <c r="E124" s="81"/>
      <c r="F124" s="81"/>
    </row>
    <row r="125" spans="2:6" ht="21" x14ac:dyDescent="0.25">
      <c r="B125" t="s">
        <v>7</v>
      </c>
      <c r="C125" s="81"/>
      <c r="D125" s="81"/>
      <c r="E125" s="81"/>
      <c r="F125" s="81"/>
    </row>
    <row r="127" spans="2:6" ht="19" x14ac:dyDescent="0.2">
      <c r="B127" s="229" t="s">
        <v>0</v>
      </c>
      <c r="C127" s="229"/>
    </row>
    <row r="129" spans="2:6" x14ac:dyDescent="0.2">
      <c r="B129" t="s">
        <v>309</v>
      </c>
    </row>
    <row r="131" spans="2:6" x14ac:dyDescent="0.2">
      <c r="B131" t="s">
        <v>31</v>
      </c>
    </row>
    <row r="132" spans="2:6" x14ac:dyDescent="0.2">
      <c r="B132" s="4" t="s">
        <v>79</v>
      </c>
    </row>
    <row r="133" spans="2:6" x14ac:dyDescent="0.2">
      <c r="B133" s="4" t="s">
        <v>80</v>
      </c>
    </row>
    <row r="135" spans="2:6" ht="21" x14ac:dyDescent="0.25">
      <c r="B135" s="228" t="s">
        <v>111</v>
      </c>
      <c r="C135" s="228"/>
      <c r="D135" s="228"/>
      <c r="E135" s="228"/>
      <c r="F135" s="228"/>
    </row>
    <row r="136" spans="2:6" ht="21" x14ac:dyDescent="0.25">
      <c r="B136" s="81"/>
      <c r="C136" s="81"/>
      <c r="D136" s="81"/>
      <c r="E136" s="81"/>
      <c r="F136" s="81"/>
    </row>
    <row r="137" spans="2:6" ht="21" x14ac:dyDescent="0.25">
      <c r="B137" s="90" t="s">
        <v>54</v>
      </c>
      <c r="C137" s="81"/>
      <c r="D137" s="81"/>
      <c r="E137" s="81"/>
      <c r="F137" s="81"/>
    </row>
    <row r="138" spans="2:6" ht="21" x14ac:dyDescent="0.25">
      <c r="B138" s="81"/>
      <c r="C138" s="81"/>
      <c r="D138" s="81"/>
      <c r="E138" s="81"/>
      <c r="F138" s="81"/>
    </row>
    <row r="139" spans="2:6" x14ac:dyDescent="0.2">
      <c r="B139" t="s">
        <v>116</v>
      </c>
    </row>
    <row r="140" spans="2:6" x14ac:dyDescent="0.2">
      <c r="B140" t="s">
        <v>115</v>
      </c>
    </row>
    <row r="141" spans="2:6" x14ac:dyDescent="0.2">
      <c r="B141" t="s">
        <v>254</v>
      </c>
    </row>
    <row r="142" spans="2:6" x14ac:dyDescent="0.2">
      <c r="B142" t="s">
        <v>121</v>
      </c>
    </row>
    <row r="143" spans="2:6" x14ac:dyDescent="0.2">
      <c r="B143" t="s">
        <v>255</v>
      </c>
    </row>
    <row r="145" spans="2:6" ht="19" x14ac:dyDescent="0.2">
      <c r="B145" s="229" t="s">
        <v>0</v>
      </c>
      <c r="C145" s="229"/>
    </row>
    <row r="147" spans="2:6" x14ac:dyDescent="0.2">
      <c r="B147" t="s">
        <v>256</v>
      </c>
    </row>
    <row r="148" spans="2:6" x14ac:dyDescent="0.2">
      <c r="B148" t="s">
        <v>117</v>
      </c>
    </row>
    <row r="150" spans="2:6" x14ac:dyDescent="0.2">
      <c r="B150" t="s">
        <v>31</v>
      </c>
    </row>
    <row r="151" spans="2:6" x14ac:dyDescent="0.2">
      <c r="B151" t="s">
        <v>112</v>
      </c>
    </row>
    <row r="152" spans="2:6" x14ac:dyDescent="0.2">
      <c r="B152" t="s">
        <v>113</v>
      </c>
    </row>
    <row r="153" spans="2:6" x14ac:dyDescent="0.2">
      <c r="B153" t="s">
        <v>114</v>
      </c>
    </row>
    <row r="154" spans="2:6" x14ac:dyDescent="0.2">
      <c r="B154" t="s">
        <v>119</v>
      </c>
    </row>
    <row r="155" spans="2:6" x14ac:dyDescent="0.2">
      <c r="B155" t="s">
        <v>120</v>
      </c>
    </row>
    <row r="157" spans="2:6" ht="21" x14ac:dyDescent="0.25">
      <c r="B157" s="228" t="s">
        <v>53</v>
      </c>
      <c r="C157" s="228"/>
      <c r="D157" s="228"/>
      <c r="E157" s="228"/>
      <c r="F157" s="228"/>
    </row>
    <row r="159" spans="2:6" ht="19" x14ac:dyDescent="0.2">
      <c r="B159" s="90" t="s">
        <v>54</v>
      </c>
    </row>
    <row r="160" spans="2:6" ht="19" x14ac:dyDescent="0.2">
      <c r="B160" s="84"/>
    </row>
    <row r="161" spans="2:2" x14ac:dyDescent="0.2">
      <c r="B161" t="s">
        <v>81</v>
      </c>
    </row>
    <row r="163" spans="2:2" x14ac:dyDescent="0.2">
      <c r="B163" t="s">
        <v>31</v>
      </c>
    </row>
    <row r="164" spans="2:2" x14ac:dyDescent="0.2">
      <c r="B164" s="4" t="s">
        <v>82</v>
      </c>
    </row>
    <row r="168" spans="2:2" x14ac:dyDescent="0.2">
      <c r="B168" s="2"/>
    </row>
    <row r="176" spans="2:2" x14ac:dyDescent="0.2">
      <c r="B176" s="2"/>
    </row>
    <row r="184" spans="2:2" x14ac:dyDescent="0.2">
      <c r="B184" s="2"/>
    </row>
  </sheetData>
  <mergeCells count="18">
    <mergeCell ref="B120:F120"/>
    <mergeCell ref="B135:F135"/>
    <mergeCell ref="B157:F157"/>
    <mergeCell ref="B145:C145"/>
    <mergeCell ref="B127:C127"/>
    <mergeCell ref="B113:C113"/>
    <mergeCell ref="B57:F57"/>
    <mergeCell ref="B78:F78"/>
    <mergeCell ref="B93:F93"/>
    <mergeCell ref="B107:F107"/>
    <mergeCell ref="B99:C99"/>
    <mergeCell ref="B84:C84"/>
    <mergeCell ref="B63:C63"/>
    <mergeCell ref="B10:D10"/>
    <mergeCell ref="B2:P4"/>
    <mergeCell ref="B7:F7"/>
    <mergeCell ref="E10:L10"/>
    <mergeCell ref="M10:Z10"/>
  </mergeCells>
  <hyperlinks>
    <hyperlink ref="B71" r:id="rId1" display="https://www.cwjobs.co.uk/salary-checker/average-tech-salary" xr:uid="{0922830E-61F2-F043-983A-EBCFDD0AC223}"/>
    <hyperlink ref="B72" r:id="rId2" xr:uid="{0B4034F8-8298-9C44-B66C-CEC115E2F6DA}"/>
    <hyperlink ref="B73" r:id="rId3" xr:uid="{787D3871-C005-5B41-8186-0B1C3472D237}"/>
    <hyperlink ref="B74" r:id="rId4" xr:uid="{E9720CDB-5860-3D4B-A140-9AEF87A83C64}"/>
    <hyperlink ref="B75" r:id="rId5" display="https://uk.indeed.com/career/accountant/salaries" xr:uid="{CE408A9C-4A98-2E4C-8046-26767EDFA003}"/>
    <hyperlink ref="B76" r:id="rId6" xr:uid="{6F2B8685-0FE1-FE4F-A2F0-1983CB4534DC}"/>
    <hyperlink ref="B90" r:id="rId7" xr:uid="{7494CBC3-C4FB-BE44-91EA-EC305839CEC9}"/>
    <hyperlink ref="B91" r:id="rId8" display="https://www.experian.co.uk/blogs/latest-thinking/small-business/how-to-get-the-best-from-your-marketing-budget/" xr:uid="{C1E61001-90C9-E64C-8057-CACCFAC12096}"/>
    <hyperlink ref="B104" r:id="rId9" location=":~:text=Employers%27%20liability%20coverage%20typically%20ranges,such%20as%20underwater%20welding%20professionals" display="https://www.moonworkers.co.uk/blog/what-type-of-business-insurance-do-i-need-and-how-much-does-it-cost - :~:text=Employers%27%20liability%20coverage%20typically%20ranges,such%20as%20underwater%20welding%20professionals" xr:uid="{238A396E-81C7-1346-8DEB-F8AAF6D546B0}"/>
    <hyperlink ref="B105" r:id="rId10" xr:uid="{FC33D158-7F9A-A449-9E46-7F929E8091A9}"/>
    <hyperlink ref="B118" r:id="rId11" location=":~:text=You%20can%20find%20Gaming%20PCs,of%20£2%2C000%20or%20more" display="https://www.cyberpowersystem.co.uk/category/gaming-pcs/ - :~:text=You%20can%20find%20Gaming%20PCs,of%20£2%2C000%20or%20more" xr:uid="{BE9BD93C-415D-6944-A42D-1CCA77BF70DF}"/>
    <hyperlink ref="B132" r:id="rId12" display="https://rubberdesk.co.uk/research/flexible-office-space-costs-in-uk" xr:uid="{6FA0E1AA-BA11-364D-BFD1-B0001E6BAB46}"/>
    <hyperlink ref="B133" r:id="rId13" xr:uid="{9D44CF75-3756-E745-B3E3-C735271BB400}"/>
    <hyperlink ref="B164" r:id="rId14" xr:uid="{A8DB224C-A29E-E841-83A8-63591A07D67D}"/>
    <hyperlink ref="B52" r:id="rId15" location=":~:text=On%20average%2C%20app%20owners%20should,initial%20development%20cost%20for%20maintenance" display="https://imaginovation.net/blog/importance-mobile-app-maintenance-cost/ - :~:text=On%20average%2C%20app%20owners%20should,initial%20development%20cost%20for%20maintenance" xr:uid="{862B59FA-B61B-D743-A812-13BB20AE0E8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C1F1-022E-B143-915D-27D52C583F76}">
  <sheetPr>
    <tabColor rgb="FFDDBFF8"/>
  </sheetPr>
  <dimension ref="B2:D73"/>
  <sheetViews>
    <sheetView zoomScale="117" zoomScaleNormal="60" workbookViewId="0">
      <selection activeCell="D76" sqref="D76"/>
    </sheetView>
  </sheetViews>
  <sheetFormatPr baseColWidth="10" defaultRowHeight="16" x14ac:dyDescent="0.2"/>
  <cols>
    <col min="2" max="2" width="27.33203125" customWidth="1"/>
    <col min="3" max="3" width="21.1640625" customWidth="1"/>
    <col min="4" max="4" width="22.1640625" customWidth="1"/>
    <col min="5" max="5" width="17.1640625" customWidth="1"/>
    <col min="6" max="9" width="18.83203125" customWidth="1"/>
    <col min="10" max="14" width="19.83203125" customWidth="1"/>
    <col min="15" max="18" width="21" customWidth="1"/>
    <col min="19" max="22" width="22.83203125" customWidth="1"/>
    <col min="23" max="23" width="13.33203125" customWidth="1"/>
  </cols>
  <sheetData>
    <row r="2" spans="2:4" ht="16" customHeight="1" x14ac:dyDescent="0.2">
      <c r="B2" s="230" t="s">
        <v>285</v>
      </c>
      <c r="C2" s="231"/>
      <c r="D2" s="231"/>
    </row>
    <row r="3" spans="2:4" ht="16" customHeight="1" x14ac:dyDescent="0.2">
      <c r="B3" s="232"/>
      <c r="C3" s="233"/>
      <c r="D3" s="233"/>
    </row>
    <row r="6" spans="2:4" x14ac:dyDescent="0.2">
      <c r="B6" s="125" t="s">
        <v>8</v>
      </c>
      <c r="C6" s="125" t="s">
        <v>13</v>
      </c>
      <c r="D6" s="125" t="s">
        <v>98</v>
      </c>
    </row>
    <row r="7" spans="2:4" x14ac:dyDescent="0.2">
      <c r="B7" s="124" t="s">
        <v>9</v>
      </c>
      <c r="C7">
        <v>3</v>
      </c>
      <c r="D7" t="s">
        <v>126</v>
      </c>
    </row>
    <row r="8" spans="2:4" x14ac:dyDescent="0.2">
      <c r="B8" s="124" t="s">
        <v>10</v>
      </c>
      <c r="C8">
        <v>3</v>
      </c>
      <c r="D8" t="s">
        <v>126</v>
      </c>
    </row>
    <row r="9" spans="2:4" x14ac:dyDescent="0.2">
      <c r="B9" s="124" t="s">
        <v>131</v>
      </c>
      <c r="C9" s="44">
        <f>RoCE!C28</f>
        <v>1689.378027490377</v>
      </c>
      <c r="D9" t="s">
        <v>356</v>
      </c>
    </row>
    <row r="10" spans="2:4" x14ac:dyDescent="0.2">
      <c r="B10" s="124" t="s">
        <v>11</v>
      </c>
      <c r="C10" s="44">
        <f>RoCE!C29</f>
        <v>7699.5423882301475</v>
      </c>
      <c r="D10" t="s">
        <v>356</v>
      </c>
    </row>
    <row r="11" spans="2:4" x14ac:dyDescent="0.2">
      <c r="B11" s="124" t="s">
        <v>95</v>
      </c>
      <c r="C11" s="43">
        <f>'Cash Flow'!$X$50</f>
        <v>1694361702.1038013</v>
      </c>
      <c r="D11" t="s">
        <v>125</v>
      </c>
    </row>
    <row r="12" spans="2:4" x14ac:dyDescent="0.2">
      <c r="B12" s="124" t="s">
        <v>12</v>
      </c>
      <c r="C12" s="18">
        <f>IRR('Cash Flow'!D47:X47)</f>
        <v>0.83903264227443786</v>
      </c>
      <c r="D12" t="s">
        <v>127</v>
      </c>
    </row>
    <row r="15" spans="2:4" ht="19" customHeight="1" x14ac:dyDescent="0.2">
      <c r="B15" s="234" t="s">
        <v>133</v>
      </c>
      <c r="C15" s="234"/>
    </row>
    <row r="16" spans="2:4" ht="19" customHeight="1" x14ac:dyDescent="0.2">
      <c r="B16" s="234"/>
      <c r="C16" s="234"/>
    </row>
    <row r="41" spans="2:3" ht="19" customHeight="1" x14ac:dyDescent="0.2">
      <c r="B41" s="234" t="s">
        <v>134</v>
      </c>
      <c r="C41" s="234"/>
    </row>
    <row r="42" spans="2:3" ht="19" customHeight="1" x14ac:dyDescent="0.2">
      <c r="B42" s="234"/>
      <c r="C42" s="234"/>
    </row>
    <row r="45" spans="2:3" x14ac:dyDescent="0.2">
      <c r="B45" s="19" t="s">
        <v>140</v>
      </c>
      <c r="C45" s="20" t="s">
        <v>141</v>
      </c>
    </row>
    <row r="46" spans="2:3" x14ac:dyDescent="0.2">
      <c r="B46" s="21">
        <v>0</v>
      </c>
      <c r="C46" s="22">
        <f>NPV(Indicators!B46,'Cash Flow'!$E$47:$X$47)+'Cash Flow'!$D$47</f>
        <v>9539748783.4354095</v>
      </c>
    </row>
    <row r="47" spans="2:3" x14ac:dyDescent="0.2">
      <c r="B47" s="21">
        <v>0.05</v>
      </c>
      <c r="C47" s="22">
        <f>NPV(Indicators!B47,'Cash Flow'!$E$47:$X$47)+'Cash Flow'!$D$47</f>
        <v>3916209643.2225485</v>
      </c>
    </row>
    <row r="48" spans="2:3" x14ac:dyDescent="0.2">
      <c r="B48" s="21">
        <v>0.1</v>
      </c>
      <c r="C48" s="22">
        <f>NPV(Indicators!B48,'Cash Flow'!$E$47:$X$47)+'Cash Flow'!$D$47</f>
        <v>1694361702.1038008</v>
      </c>
    </row>
    <row r="49" spans="2:3" x14ac:dyDescent="0.2">
      <c r="B49" s="21">
        <v>0.15</v>
      </c>
      <c r="C49" s="22">
        <f>NPV(Indicators!B49,'Cash Flow'!$E$47:$X$47)+'Cash Flow'!$D$47</f>
        <v>770130922.14999676</v>
      </c>
    </row>
    <row r="50" spans="2:3" x14ac:dyDescent="0.2">
      <c r="B50" s="21">
        <v>0.2</v>
      </c>
      <c r="C50" s="22">
        <f>NPV(Indicators!B50,'Cash Flow'!$E$47:$X$47)+'Cash Flow'!$D$47</f>
        <v>366730531.03214347</v>
      </c>
    </row>
    <row r="51" spans="2:3" x14ac:dyDescent="0.2">
      <c r="B51" s="21">
        <v>0.25</v>
      </c>
      <c r="C51" s="22">
        <f>NPV(Indicators!B51,'Cash Flow'!$E$47:$X$47)+'Cash Flow'!$D$47</f>
        <v>182501395.2683031</v>
      </c>
    </row>
    <row r="52" spans="2:3" x14ac:dyDescent="0.2">
      <c r="B52" s="21">
        <v>0.3</v>
      </c>
      <c r="C52" s="22">
        <f>NPV(Indicators!B52,'Cash Flow'!$E$47:$X$47)+'Cash Flow'!$D$47</f>
        <v>94674390.1505142</v>
      </c>
    </row>
    <row r="53" spans="2:3" x14ac:dyDescent="0.2">
      <c r="B53" s="21">
        <v>0.35</v>
      </c>
      <c r="C53" s="22">
        <f>NPV(Indicators!B53,'Cash Flow'!$E$47:$X$47)+'Cash Flow'!$D$47</f>
        <v>51053727.62264324</v>
      </c>
    </row>
    <row r="54" spans="2:3" x14ac:dyDescent="0.2">
      <c r="B54" s="23">
        <v>0.4</v>
      </c>
      <c r="C54" s="22">
        <f>NPV(Indicators!B54,'Cash Flow'!$E$47:$X$47)+'Cash Flow'!$D$47</f>
        <v>28520552.977084089</v>
      </c>
    </row>
    <row r="55" spans="2:3" x14ac:dyDescent="0.2">
      <c r="B55" s="24">
        <v>0.45</v>
      </c>
      <c r="C55" s="22">
        <f>NPV(Indicators!B55,'Cash Flow'!$E$47:$X$47)+'Cash Flow'!$D$47</f>
        <v>16432017.312246155</v>
      </c>
    </row>
    <row r="56" spans="2:3" x14ac:dyDescent="0.2">
      <c r="B56" s="21">
        <v>0.5</v>
      </c>
      <c r="C56" s="22">
        <f>NPV(Indicators!B56,'Cash Flow'!$E$47:$X$47)+'Cash Flow'!$D$47</f>
        <v>9706225.4048926309</v>
      </c>
    </row>
    <row r="57" spans="2:3" x14ac:dyDescent="0.2">
      <c r="B57" s="21">
        <v>0.55000000000000004</v>
      </c>
      <c r="C57" s="22">
        <f>NPV(Indicators!B57,'Cash Flow'!$E$47:$X$47)+'Cash Flow'!$D$47</f>
        <v>5830703.1324368045</v>
      </c>
    </row>
    <row r="58" spans="2:3" x14ac:dyDescent="0.2">
      <c r="B58" s="21">
        <v>0.6</v>
      </c>
      <c r="C58" s="22">
        <f>NPV(Indicators!B58,'Cash Flow'!$E$47:$X$47)+'Cash Flow'!$D$47</f>
        <v>3521309.4996764408</v>
      </c>
    </row>
    <row r="59" spans="2:3" x14ac:dyDescent="0.2">
      <c r="B59" s="24">
        <v>0.65</v>
      </c>
      <c r="C59" s="22">
        <f>NPV(Indicators!B59,'Cash Flow'!$E$47:$X$47)+'Cash Flow'!$D$47</f>
        <v>2100462.6950861616</v>
      </c>
    </row>
    <row r="60" spans="2:3" x14ac:dyDescent="0.2">
      <c r="B60" s="21">
        <v>0.7</v>
      </c>
      <c r="C60" s="22">
        <f>NPV(Indicators!B60,'Cash Flow'!$E$47:$X$47)+'Cash Flow'!$D$47</f>
        <v>1199517.8342787218</v>
      </c>
    </row>
    <row r="61" spans="2:3" x14ac:dyDescent="0.2">
      <c r="B61" s="21">
        <v>0.75</v>
      </c>
      <c r="C61" s="22">
        <f>NPV(Indicators!B61,'Cash Flow'!$E$47:$X$47)+'Cash Flow'!$D$47</f>
        <v>611912.72827386064</v>
      </c>
    </row>
    <row r="62" spans="2:3" x14ac:dyDescent="0.2">
      <c r="B62" s="21">
        <v>0.8</v>
      </c>
      <c r="C62" s="22">
        <f>NPV(Indicators!B62,'Cash Flow'!$E$47:$X$47)+'Cash Flow'!$D$47</f>
        <v>218574.95906487561</v>
      </c>
    </row>
    <row r="63" spans="2:3" x14ac:dyDescent="0.2">
      <c r="B63" s="45">
        <f>IRR('Cash Flow'!D47:X47)</f>
        <v>0.83903264227443786</v>
      </c>
      <c r="C63" s="46">
        <f>NPV(Indicators!B63,'Cash Flow'!$E$47:$X$47)+'Cash Flow'!$D$47</f>
        <v>0</v>
      </c>
    </row>
    <row r="64" spans="2:3" x14ac:dyDescent="0.2">
      <c r="B64" s="24">
        <v>0.85</v>
      </c>
      <c r="C64" s="22">
        <f>NPV(Indicators!B64,'Cash Flow'!$E$47:$X$47)+'Cash Flow'!$D$47</f>
        <v>-51032.856606354762</v>
      </c>
    </row>
    <row r="65" spans="2:3" x14ac:dyDescent="0.2">
      <c r="B65" s="21">
        <v>0.9</v>
      </c>
      <c r="C65" s="22">
        <f>NPV(Indicators!B65,'Cash Flow'!$E$47:$X$47)+'Cash Flow'!$D$47</f>
        <v>-239805.26834345842</v>
      </c>
    </row>
    <row r="66" spans="2:3" x14ac:dyDescent="0.2">
      <c r="B66" s="21">
        <v>0.95</v>
      </c>
      <c r="C66" s="22">
        <f>NPV(Indicators!B66,'Cash Flow'!$E$47:$X$47)+'Cash Flow'!$D$47</f>
        <v>-374489.22265790834</v>
      </c>
    </row>
    <row r="67" spans="2:3" x14ac:dyDescent="0.2">
      <c r="B67" s="21">
        <v>1</v>
      </c>
      <c r="C67" s="22">
        <f>NPV(Indicators!B67,'Cash Flow'!$E$47:$X$47)+'Cash Flow'!$D$47</f>
        <v>-472166.49972697493</v>
      </c>
    </row>
    <row r="72" spans="2:3" ht="19" customHeight="1" x14ac:dyDescent="0.2"/>
    <row r="73" spans="2:3" ht="19" customHeight="1" x14ac:dyDescent="0.2"/>
  </sheetData>
  <mergeCells count="3">
    <mergeCell ref="B2:D3"/>
    <mergeCell ref="B15:C16"/>
    <mergeCell ref="B41:C4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254E-D170-F849-B29A-F8173228E574}">
  <sheetPr>
    <tabColor rgb="FFDDBFF8"/>
  </sheetPr>
  <dimension ref="B2:W29"/>
  <sheetViews>
    <sheetView zoomScale="119" zoomScaleNormal="87" workbookViewId="0">
      <selection activeCell="D29" sqref="D29"/>
    </sheetView>
  </sheetViews>
  <sheetFormatPr baseColWidth="10" defaultRowHeight="16" x14ac:dyDescent="0.2"/>
  <cols>
    <col min="2" max="2" width="65.33203125" customWidth="1"/>
    <col min="3" max="3" width="19.6640625" customWidth="1"/>
    <col min="4" max="4" width="16.83203125" customWidth="1"/>
    <col min="5" max="5" width="17.5" customWidth="1"/>
    <col min="6" max="6" width="12.1640625" customWidth="1"/>
    <col min="7" max="7" width="11.33203125" bestFit="1" customWidth="1"/>
    <col min="8" max="8" width="12.83203125" bestFit="1" customWidth="1"/>
    <col min="9" max="10" width="13" bestFit="1" customWidth="1"/>
    <col min="11" max="11" width="13.83203125" bestFit="1" customWidth="1"/>
    <col min="12" max="13" width="14" bestFit="1" customWidth="1"/>
    <col min="14" max="15" width="14.1640625" bestFit="1" customWidth="1"/>
    <col min="16" max="16" width="15" bestFit="1" customWidth="1"/>
    <col min="17" max="17" width="15.1640625" bestFit="1" customWidth="1"/>
    <col min="18" max="20" width="15" bestFit="1" customWidth="1"/>
    <col min="21" max="21" width="16.5" bestFit="1" customWidth="1"/>
    <col min="22" max="23" width="16.6640625" bestFit="1" customWidth="1"/>
    <col min="24" max="24" width="16.5" bestFit="1" customWidth="1"/>
  </cols>
  <sheetData>
    <row r="2" spans="2:23" ht="19" customHeight="1" x14ac:dyDescent="0.2">
      <c r="B2" s="230" t="s">
        <v>135</v>
      </c>
      <c r="C2" s="231"/>
      <c r="D2" s="231"/>
      <c r="E2" s="231"/>
      <c r="F2" s="231"/>
      <c r="G2" s="231"/>
    </row>
    <row r="3" spans="2:23" ht="19" customHeight="1" x14ac:dyDescent="0.2">
      <c r="B3" s="232"/>
      <c r="C3" s="233"/>
      <c r="D3" s="233"/>
      <c r="E3" s="233"/>
      <c r="F3" s="233"/>
      <c r="G3" s="233"/>
    </row>
    <row r="6" spans="2:23" x14ac:dyDescent="0.2">
      <c r="B6" s="131" t="s">
        <v>291</v>
      </c>
      <c r="C6" s="131" t="s">
        <v>13</v>
      </c>
      <c r="D6" s="131" t="s">
        <v>98</v>
      </c>
      <c r="E6" s="142" t="s">
        <v>54</v>
      </c>
      <c r="F6" s="143"/>
      <c r="G6" s="143"/>
      <c r="H6" s="143"/>
      <c r="I6" s="144"/>
    </row>
    <row r="7" spans="2:23" x14ac:dyDescent="0.2">
      <c r="B7" s="132" t="s">
        <v>99</v>
      </c>
      <c r="C7" s="137">
        <v>0.4</v>
      </c>
      <c r="D7" s="137" t="s">
        <v>293</v>
      </c>
      <c r="E7" s="145" t="s">
        <v>82</v>
      </c>
      <c r="F7" s="124"/>
      <c r="G7" s="124"/>
      <c r="H7" s="124"/>
      <c r="I7" s="146"/>
    </row>
    <row r="8" spans="2:23" x14ac:dyDescent="0.2">
      <c r="B8" s="132" t="s">
        <v>100</v>
      </c>
      <c r="C8" s="132">
        <v>20</v>
      </c>
      <c r="D8" s="132" t="s">
        <v>126</v>
      </c>
      <c r="E8" s="145"/>
      <c r="F8" s="124"/>
      <c r="G8" s="124"/>
      <c r="H8" s="124"/>
      <c r="I8" s="146"/>
    </row>
    <row r="9" spans="2:23" x14ac:dyDescent="0.2">
      <c r="B9" s="132" t="s">
        <v>290</v>
      </c>
      <c r="C9" s="138">
        <f>Cost!C32+Cost!C45</f>
        <v>63000</v>
      </c>
      <c r="D9" s="140" t="s">
        <v>125</v>
      </c>
      <c r="E9" s="145"/>
      <c r="F9" s="124"/>
      <c r="G9" s="124"/>
      <c r="H9" s="124"/>
      <c r="I9" s="146"/>
    </row>
    <row r="10" spans="2:23" x14ac:dyDescent="0.2">
      <c r="B10" s="133" t="s">
        <v>101</v>
      </c>
      <c r="C10" s="139">
        <f>Cost!C32+Cost!W106</f>
        <v>55000.194995116806</v>
      </c>
      <c r="D10" s="141" t="s">
        <v>125</v>
      </c>
      <c r="E10" s="147" t="s">
        <v>136</v>
      </c>
      <c r="F10" s="148"/>
      <c r="G10" s="148"/>
      <c r="H10" s="148"/>
      <c r="I10" s="149"/>
    </row>
    <row r="11" spans="2:23" x14ac:dyDescent="0.2">
      <c r="C11" s="9"/>
      <c r="D11" s="9"/>
    </row>
    <row r="12" spans="2:23" x14ac:dyDescent="0.2">
      <c r="C12" s="9"/>
      <c r="D12" s="9"/>
    </row>
    <row r="14" spans="2:23" s="128" customFormat="1" x14ac:dyDescent="0.2">
      <c r="B14" s="127" t="s">
        <v>46</v>
      </c>
      <c r="C14" s="127">
        <v>0</v>
      </c>
      <c r="D14" s="127">
        <v>1</v>
      </c>
      <c r="E14" s="127">
        <v>2</v>
      </c>
      <c r="F14" s="127">
        <v>3</v>
      </c>
      <c r="G14" s="127">
        <v>4</v>
      </c>
      <c r="H14" s="127">
        <v>5</v>
      </c>
      <c r="I14" s="127">
        <v>6</v>
      </c>
      <c r="J14" s="127">
        <v>7</v>
      </c>
      <c r="K14" s="127">
        <v>8</v>
      </c>
      <c r="L14" s="127">
        <v>9</v>
      </c>
      <c r="M14" s="127">
        <v>10</v>
      </c>
      <c r="N14" s="127">
        <v>11</v>
      </c>
      <c r="O14" s="127">
        <v>12</v>
      </c>
      <c r="P14" s="127">
        <v>13</v>
      </c>
      <c r="Q14" s="127">
        <v>14</v>
      </c>
      <c r="R14" s="127">
        <v>15</v>
      </c>
      <c r="S14" s="127">
        <v>16</v>
      </c>
      <c r="T14" s="127">
        <v>17</v>
      </c>
      <c r="U14" s="127">
        <v>18</v>
      </c>
      <c r="V14" s="127">
        <v>19</v>
      </c>
      <c r="W14" s="127">
        <v>20</v>
      </c>
    </row>
    <row r="15" spans="2:23" x14ac:dyDescent="0.2">
      <c r="B15" s="124" t="s">
        <v>102</v>
      </c>
      <c r="C15" s="43">
        <f>Cost!C45</f>
        <v>8000</v>
      </c>
      <c r="D15" s="43">
        <f>Cost!C45*0.6 + Cost!D45</f>
        <v>9700</v>
      </c>
      <c r="E15" s="43">
        <f>D15*0.6</f>
        <v>5820</v>
      </c>
      <c r="F15" s="43">
        <f t="shared" ref="F15:W15" si="0">E15*0.6</f>
        <v>3492</v>
      </c>
      <c r="G15" s="43">
        <f t="shared" si="0"/>
        <v>2095.1999999999998</v>
      </c>
      <c r="H15" s="43">
        <f t="shared" si="0"/>
        <v>1257.1199999999999</v>
      </c>
      <c r="I15" s="43">
        <f t="shared" si="0"/>
        <v>754.27199999999993</v>
      </c>
      <c r="J15" s="43">
        <f t="shared" si="0"/>
        <v>452.56319999999994</v>
      </c>
      <c r="K15" s="43">
        <f t="shared" si="0"/>
        <v>271.53791999999993</v>
      </c>
      <c r="L15" s="43">
        <f t="shared" si="0"/>
        <v>162.92275199999995</v>
      </c>
      <c r="M15" s="43">
        <f t="shared" si="0"/>
        <v>97.753651199999965</v>
      </c>
      <c r="N15" s="43">
        <f t="shared" si="0"/>
        <v>58.652190719999979</v>
      </c>
      <c r="O15" s="43">
        <f t="shared" si="0"/>
        <v>35.191314431999984</v>
      </c>
      <c r="P15" s="43">
        <f t="shared" si="0"/>
        <v>21.114788659199991</v>
      </c>
      <c r="Q15" s="43">
        <f t="shared" si="0"/>
        <v>12.668873195519994</v>
      </c>
      <c r="R15" s="43">
        <f t="shared" si="0"/>
        <v>7.601323917311996</v>
      </c>
      <c r="S15" s="43">
        <f t="shared" si="0"/>
        <v>4.560794350387197</v>
      </c>
      <c r="T15" s="43">
        <f t="shared" si="0"/>
        <v>2.7364766102323181</v>
      </c>
      <c r="U15" s="43">
        <f t="shared" si="0"/>
        <v>1.6418859661393908</v>
      </c>
      <c r="V15" s="43">
        <f t="shared" si="0"/>
        <v>0.98513157968363441</v>
      </c>
      <c r="W15" s="43">
        <f t="shared" si="0"/>
        <v>0.59107894781018067</v>
      </c>
    </row>
    <row r="16" spans="2:23" x14ac:dyDescent="0.2">
      <c r="B16" s="124" t="s">
        <v>292</v>
      </c>
      <c r="C16" s="43">
        <f>Cost!C108</f>
        <v>0</v>
      </c>
      <c r="D16" s="43">
        <f>Cost!D108</f>
        <v>3200</v>
      </c>
      <c r="E16" s="43">
        <f>Cost!E108</f>
        <v>3880</v>
      </c>
      <c r="F16" s="43">
        <f>Cost!F108</f>
        <v>2328</v>
      </c>
      <c r="G16" s="43">
        <f>Cost!G108</f>
        <v>1396.8000000000002</v>
      </c>
      <c r="H16" s="43">
        <f>Cost!H108</f>
        <v>838.08000000000015</v>
      </c>
      <c r="I16" s="43">
        <f>Cost!I108</f>
        <v>502.84799999999996</v>
      </c>
      <c r="J16" s="43">
        <f>Cost!J108</f>
        <v>301.7088</v>
      </c>
      <c r="K16" s="43">
        <f>Cost!K108</f>
        <v>181.02528000000001</v>
      </c>
      <c r="L16" s="43">
        <f>Cost!L108</f>
        <v>108.61516799999998</v>
      </c>
      <c r="M16" s="43">
        <f>Cost!M108</f>
        <v>65.169100799999981</v>
      </c>
      <c r="N16" s="43">
        <f>Cost!N108</f>
        <v>39.101460479999986</v>
      </c>
      <c r="O16" s="43">
        <f>Cost!O108</f>
        <v>23.460876287999991</v>
      </c>
      <c r="P16" s="43">
        <f>Cost!P108</f>
        <v>14.076525772799995</v>
      </c>
      <c r="Q16" s="43">
        <f>Cost!Q108</f>
        <v>8.4459154636799969</v>
      </c>
      <c r="R16" s="43">
        <f>Cost!R108</f>
        <v>5.0675492782079967</v>
      </c>
      <c r="S16" s="43">
        <f>Cost!S108</f>
        <v>3.0405295669247985</v>
      </c>
      <c r="T16" s="43">
        <f>Cost!T108</f>
        <v>1.8243177401548789</v>
      </c>
      <c r="U16" s="43">
        <f>Cost!U108</f>
        <v>1.0945906440929272</v>
      </c>
      <c r="V16" s="43">
        <f>Cost!V108</f>
        <v>0.65675438645575634</v>
      </c>
      <c r="W16" s="43">
        <f>Cost!W108</f>
        <v>0.39405263187345385</v>
      </c>
    </row>
    <row r="17" spans="2:23" x14ac:dyDescent="0.2">
      <c r="B17" s="124" t="s">
        <v>103</v>
      </c>
      <c r="C17" s="43">
        <f>Cost!$C$55</f>
        <v>260900</v>
      </c>
      <c r="D17" s="43">
        <f>Cost!$C$55</f>
        <v>260900</v>
      </c>
      <c r="E17" s="43">
        <f>Cost!$C$55</f>
        <v>260900</v>
      </c>
      <c r="F17" s="43">
        <f>Cost!$C$55</f>
        <v>260900</v>
      </c>
      <c r="G17" s="43">
        <f>Cost!$C$55</f>
        <v>260900</v>
      </c>
      <c r="H17" s="43">
        <f>Cost!$C$55</f>
        <v>260900</v>
      </c>
      <c r="I17" s="43">
        <f>Cost!$C$55</f>
        <v>260900</v>
      </c>
      <c r="J17" s="43">
        <f>Cost!$C$55</f>
        <v>260900</v>
      </c>
      <c r="K17" s="43">
        <f>Cost!$C$55</f>
        <v>260900</v>
      </c>
      <c r="L17" s="43">
        <f>Cost!$C$55</f>
        <v>260900</v>
      </c>
      <c r="M17" s="43">
        <f>Cost!$C$55</f>
        <v>260900</v>
      </c>
      <c r="N17" s="43">
        <f>Cost!$C$55</f>
        <v>260900</v>
      </c>
      <c r="O17" s="43">
        <f>Cost!$C$55</f>
        <v>260900</v>
      </c>
      <c r="P17" s="43">
        <f>Cost!$C$55</f>
        <v>260900</v>
      </c>
      <c r="Q17" s="43">
        <f>Cost!$C$55</f>
        <v>260900</v>
      </c>
      <c r="R17" s="43">
        <f>Cost!$C$55</f>
        <v>260900</v>
      </c>
      <c r="S17" s="43">
        <f>Cost!$C$55</f>
        <v>260900</v>
      </c>
      <c r="T17" s="43">
        <f>Cost!$C$55</f>
        <v>260900</v>
      </c>
      <c r="U17" s="43">
        <f>Cost!$C$55</f>
        <v>260900</v>
      </c>
      <c r="V17" s="43">
        <f>Cost!$C$55</f>
        <v>260900</v>
      </c>
      <c r="W17" s="43">
        <f>Cost!$C$55</f>
        <v>260900</v>
      </c>
    </row>
    <row r="18" spans="2:23" x14ac:dyDescent="0.2">
      <c r="B18" s="124" t="s">
        <v>104</v>
      </c>
      <c r="C18" s="43">
        <f t="shared" ref="C18:W18" si="1">C15+C17</f>
        <v>268900</v>
      </c>
      <c r="D18" s="43">
        <f t="shared" si="1"/>
        <v>270600</v>
      </c>
      <c r="E18" s="43">
        <f t="shared" si="1"/>
        <v>266720</v>
      </c>
      <c r="F18" s="43">
        <f t="shared" si="1"/>
        <v>264392</v>
      </c>
      <c r="G18" s="43">
        <f t="shared" si="1"/>
        <v>262995.20000000001</v>
      </c>
      <c r="H18" s="43">
        <f t="shared" si="1"/>
        <v>262157.12</v>
      </c>
      <c r="I18" s="43">
        <f t="shared" si="1"/>
        <v>261654.272</v>
      </c>
      <c r="J18" s="43">
        <f t="shared" si="1"/>
        <v>261352.5632</v>
      </c>
      <c r="K18" s="43">
        <f t="shared" si="1"/>
        <v>261171.53792</v>
      </c>
      <c r="L18" s="43">
        <f t="shared" si="1"/>
        <v>261062.92275200001</v>
      </c>
      <c r="M18" s="43">
        <f t="shared" si="1"/>
        <v>260997.75365120001</v>
      </c>
      <c r="N18" s="43">
        <f t="shared" si="1"/>
        <v>260958.65219071999</v>
      </c>
      <c r="O18" s="43">
        <f t="shared" si="1"/>
        <v>260935.19131443201</v>
      </c>
      <c r="P18" s="43">
        <f t="shared" si="1"/>
        <v>260921.11478865921</v>
      </c>
      <c r="Q18" s="43">
        <f t="shared" si="1"/>
        <v>260912.66887319551</v>
      </c>
      <c r="R18" s="43">
        <f t="shared" si="1"/>
        <v>260907.6013239173</v>
      </c>
      <c r="S18" s="43">
        <f t="shared" si="1"/>
        <v>260904.5607943504</v>
      </c>
      <c r="T18" s="43">
        <f t="shared" si="1"/>
        <v>260902.73647661024</v>
      </c>
      <c r="U18" s="43">
        <f t="shared" si="1"/>
        <v>260901.64188596615</v>
      </c>
      <c r="V18" s="43">
        <f t="shared" si="1"/>
        <v>260900.98513157968</v>
      </c>
      <c r="W18" s="43">
        <f t="shared" si="1"/>
        <v>260900.59107894782</v>
      </c>
    </row>
    <row r="19" spans="2:23" x14ac:dyDescent="0.2">
      <c r="B19" s="124" t="s">
        <v>105</v>
      </c>
      <c r="C19" s="43">
        <f>'Cash Flow'!D47</f>
        <v>-543140</v>
      </c>
      <c r="D19" s="43">
        <f>'Cash Flow'!E47</f>
        <v>-605889.80000000075</v>
      </c>
      <c r="E19" s="43">
        <f>'Cash Flow'!F47</f>
        <v>-329136.58600000106</v>
      </c>
      <c r="F19" s="43">
        <f>'Cash Flow'!G47</f>
        <v>99445.474153999239</v>
      </c>
      <c r="G19" s="43">
        <f>'Cash Flow'!H47</f>
        <v>773266.39364968985</v>
      </c>
      <c r="H19" s="43">
        <f>'Cash Flow'!I47</f>
        <v>1910383.6033978388</v>
      </c>
      <c r="I19" s="43">
        <f>'Cash Flow'!J47</f>
        <v>3746362.615116518</v>
      </c>
      <c r="J19" s="43">
        <f>'Cash Flow'!K47</f>
        <v>6701332.6608659923</v>
      </c>
      <c r="K19" s="43">
        <f>'Cash Flow'!L47</f>
        <v>11447540.927834421</v>
      </c>
      <c r="L19" s="43">
        <f>'Cash Flow'!M47</f>
        <v>19060625.35010092</v>
      </c>
      <c r="M19" s="43">
        <f>'Cash Flow'!N47</f>
        <v>31261651.17636767</v>
      </c>
      <c r="N19" s="43">
        <f>'Cash Flow'!O47</f>
        <v>50804369.584288001</v>
      </c>
      <c r="O19" s="43">
        <f>'Cash Flow'!P47</f>
        <v>82094831.574644387</v>
      </c>
      <c r="P19" s="43">
        <f>'Cash Flow'!Q47</f>
        <v>132182770.31885111</v>
      </c>
      <c r="Q19" s="43">
        <f>'Cash Flow'!R47</f>
        <v>212347813.03761506</v>
      </c>
      <c r="R19" s="43">
        <f>'Cash Flow'!S47</f>
        <v>340637420.13557935</v>
      </c>
      <c r="S19" s="43">
        <f>'Cash Flow'!T47</f>
        <v>545927587.9519887</v>
      </c>
      <c r="T19" s="43">
        <f>'Cash Flow'!U47</f>
        <v>874419973.30374241</v>
      </c>
      <c r="U19" s="43">
        <f>'Cash Flow'!V47</f>
        <v>1400037292.9033508</v>
      </c>
      <c r="V19" s="43">
        <f>'Cash Flow'!W47</f>
        <v>2241055962.5842457</v>
      </c>
      <c r="W19" s="43">
        <f>'Cash Flow'!X47</f>
        <v>3586718320.2256165</v>
      </c>
    </row>
    <row r="22" spans="2:23" x14ac:dyDescent="0.2">
      <c r="B22" s="131" t="s">
        <v>54</v>
      </c>
      <c r="C22" s="131" t="s">
        <v>294</v>
      </c>
      <c r="D22" s="131" t="s">
        <v>14</v>
      </c>
    </row>
    <row r="23" spans="2:23" x14ac:dyDescent="0.2">
      <c r="B23" s="132" t="s">
        <v>137</v>
      </c>
      <c r="C23" s="134">
        <f>SUM(C19:W19)</f>
        <v>9539748783.4354095</v>
      </c>
      <c r="D23" s="134" t="s">
        <v>125</v>
      </c>
    </row>
    <row r="24" spans="2:23" x14ac:dyDescent="0.2">
      <c r="B24" s="132" t="s">
        <v>107</v>
      </c>
      <c r="C24" s="134">
        <f>AVERAGE(C19:W19)</f>
        <v>454273751.59216237</v>
      </c>
      <c r="D24" s="134" t="s">
        <v>125</v>
      </c>
    </row>
    <row r="25" spans="2:23" x14ac:dyDescent="0.2">
      <c r="B25" s="132" t="s">
        <v>138</v>
      </c>
      <c r="C25" s="134">
        <f>W18</f>
        <v>260900.59107894782</v>
      </c>
      <c r="D25" s="134" t="s">
        <v>125</v>
      </c>
    </row>
    <row r="26" spans="2:23" x14ac:dyDescent="0.2">
      <c r="B26" s="132" t="s">
        <v>106</v>
      </c>
      <c r="C26" s="134">
        <f>C18</f>
        <v>268900</v>
      </c>
      <c r="D26" s="134" t="s">
        <v>125</v>
      </c>
    </row>
    <row r="27" spans="2:23" x14ac:dyDescent="0.2">
      <c r="B27" s="132" t="s">
        <v>139</v>
      </c>
      <c r="C27" s="134">
        <f>((C9-C10)/2)+C10</f>
        <v>59000.097497558403</v>
      </c>
      <c r="D27" s="134" t="s">
        <v>125</v>
      </c>
    </row>
    <row r="28" spans="2:23" x14ac:dyDescent="0.2">
      <c r="B28" s="132" t="s">
        <v>109</v>
      </c>
      <c r="C28" s="135">
        <f>C24/C26</f>
        <v>1689.378027490377</v>
      </c>
      <c r="D28" s="132" t="s">
        <v>295</v>
      </c>
    </row>
    <row r="29" spans="2:23" x14ac:dyDescent="0.2">
      <c r="B29" s="133" t="s">
        <v>108</v>
      </c>
      <c r="C29" s="136">
        <f>C24/C27</f>
        <v>7699.5423882301475</v>
      </c>
      <c r="D29" s="133" t="s">
        <v>132</v>
      </c>
    </row>
  </sheetData>
  <mergeCells count="1">
    <mergeCell ref="B2:G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F817-4CDC-2046-B9CE-2AB197508E7C}">
  <sheetPr>
    <tabColor rgb="FFBCB6F8"/>
  </sheetPr>
  <dimension ref="A2:I47"/>
  <sheetViews>
    <sheetView topLeftCell="A24" zoomScale="114" workbookViewId="0">
      <selection activeCell="F26" sqref="F26:F30"/>
    </sheetView>
  </sheetViews>
  <sheetFormatPr baseColWidth="10" defaultRowHeight="16" x14ac:dyDescent="0.2"/>
  <cols>
    <col min="3" max="3" width="18.83203125" customWidth="1"/>
    <col min="4" max="4" width="29.33203125" customWidth="1"/>
    <col min="5" max="5" width="15.83203125" customWidth="1"/>
    <col min="9" max="9" width="11.6640625" bestFit="1" customWidth="1"/>
    <col min="10" max="10" width="16.5" bestFit="1" customWidth="1"/>
    <col min="11" max="11" width="20.5" customWidth="1"/>
    <col min="12" max="12" width="15.1640625" bestFit="1" customWidth="1"/>
  </cols>
  <sheetData>
    <row r="2" spans="1:9" ht="26" customHeight="1" x14ac:dyDescent="0.2">
      <c r="B2" s="235" t="s">
        <v>142</v>
      </c>
      <c r="C2" s="236"/>
      <c r="D2" s="236"/>
      <c r="E2" s="236"/>
    </row>
    <row r="3" spans="1:9" ht="26" customHeight="1" x14ac:dyDescent="0.2">
      <c r="B3" s="235"/>
      <c r="C3" s="236"/>
      <c r="D3" s="236"/>
      <c r="E3" s="236"/>
    </row>
    <row r="6" spans="1:9" x14ac:dyDescent="0.2">
      <c r="B6" s="240" t="s">
        <v>314</v>
      </c>
      <c r="C6" s="241"/>
      <c r="D6" s="241"/>
      <c r="E6" s="242"/>
    </row>
    <row r="7" spans="1:9" x14ac:dyDescent="0.2">
      <c r="B7" s="124" t="s">
        <v>143</v>
      </c>
      <c r="C7" s="124" t="s">
        <v>144</v>
      </c>
      <c r="D7" s="124" t="s">
        <v>141</v>
      </c>
      <c r="E7" s="124" t="s">
        <v>145</v>
      </c>
    </row>
    <row r="8" spans="1:9" x14ac:dyDescent="0.2">
      <c r="B8" s="18">
        <v>-0.2</v>
      </c>
      <c r="C8" s="9">
        <f>C10*0.8</f>
        <v>416000</v>
      </c>
      <c r="D8" s="43">
        <v>1705605389.6828818</v>
      </c>
      <c r="E8" s="152">
        <f>(D8-$D$10)/$D$10</f>
        <v>6.6359429424779114E-3</v>
      </c>
    </row>
    <row r="9" spans="1:9" x14ac:dyDescent="0.2">
      <c r="B9" s="18">
        <v>-0.1</v>
      </c>
      <c r="C9" s="9">
        <f>C10*0.9</f>
        <v>468000</v>
      </c>
      <c r="D9" s="43">
        <v>1699983545.8933418</v>
      </c>
      <c r="E9" s="152">
        <f>(D9-$D$10)/$D$10</f>
        <v>3.3179714712390966E-3</v>
      </c>
    </row>
    <row r="10" spans="1:9" x14ac:dyDescent="0.2">
      <c r="A10" s="124" t="s">
        <v>176</v>
      </c>
      <c r="B10" s="130">
        <v>0</v>
      </c>
      <c r="C10" s="126">
        <f>Cost!D41+Cost!D42</f>
        <v>520000</v>
      </c>
      <c r="D10" s="129">
        <f>'Cash Flow'!X50</f>
        <v>1694361702.1038013</v>
      </c>
      <c r="E10" s="130">
        <f t="shared" ref="E10:E12" si="0">(D10-$D$10)/$D$10</f>
        <v>0</v>
      </c>
    </row>
    <row r="11" spans="1:9" x14ac:dyDescent="0.2">
      <c r="B11" s="18">
        <v>0.1</v>
      </c>
      <c r="C11" s="9">
        <f>C10*1.1</f>
        <v>572000</v>
      </c>
      <c r="D11" s="43">
        <v>1688739858.314261</v>
      </c>
      <c r="E11" s="152">
        <f t="shared" si="0"/>
        <v>-3.3179714712389557E-3</v>
      </c>
    </row>
    <row r="12" spans="1:9" x14ac:dyDescent="0.2">
      <c r="B12" s="18">
        <v>0.2</v>
      </c>
      <c r="C12" s="9">
        <f>C10*1.2</f>
        <v>624000</v>
      </c>
      <c r="D12" s="43">
        <v>1683118014.5247204</v>
      </c>
      <c r="E12" s="152">
        <f t="shared" si="0"/>
        <v>-6.6359429424780528E-3</v>
      </c>
    </row>
    <row r="13" spans="1:9" x14ac:dyDescent="0.2">
      <c r="I13" s="18"/>
    </row>
    <row r="14" spans="1:9" x14ac:dyDescent="0.2">
      <c r="B14" s="240" t="s">
        <v>146</v>
      </c>
      <c r="C14" s="241"/>
      <c r="D14" s="241"/>
      <c r="E14" s="242"/>
    </row>
    <row r="15" spans="1:9" x14ac:dyDescent="0.2">
      <c r="B15" s="124" t="s">
        <v>143</v>
      </c>
      <c r="C15" s="124" t="s">
        <v>144</v>
      </c>
      <c r="D15" s="124" t="s">
        <v>141</v>
      </c>
      <c r="E15" s="124" t="s">
        <v>145</v>
      </c>
    </row>
    <row r="16" spans="1:9" x14ac:dyDescent="0.2">
      <c r="B16" s="18">
        <v>-0.2</v>
      </c>
      <c r="C16" s="18">
        <f>C18*0.8</f>
        <v>4.0000000000000008E-2</v>
      </c>
      <c r="D16" s="43">
        <v>1694779249.4234812</v>
      </c>
      <c r="E16" s="152">
        <f>(D16-$D$18)/$D$18</f>
        <v>2.4643340271532848E-4</v>
      </c>
    </row>
    <row r="17" spans="1:5" x14ac:dyDescent="0.2">
      <c r="B17" s="18">
        <v>-0.1</v>
      </c>
      <c r="C17" s="18">
        <f>C18*0.9</f>
        <v>4.5000000000000005E-2</v>
      </c>
      <c r="D17" s="43">
        <v>1694575767.1873801</v>
      </c>
      <c r="E17" s="152">
        <f>(D17-$D$18)/$D$18</f>
        <v>1.2633966130905312E-4</v>
      </c>
    </row>
    <row r="18" spans="1:5" x14ac:dyDescent="0.2">
      <c r="A18" s="124" t="s">
        <v>176</v>
      </c>
      <c r="B18" s="130">
        <v>0</v>
      </c>
      <c r="C18" s="130">
        <v>0.05</v>
      </c>
      <c r="D18" s="129">
        <f>D27</f>
        <v>1694361702.1038013</v>
      </c>
      <c r="E18" s="154">
        <f t="shared" ref="E18:E20" si="1">(D18-$D$18)/$D$18</f>
        <v>0</v>
      </c>
    </row>
    <row r="19" spans="1:5" x14ac:dyDescent="0.2">
      <c r="B19" s="18">
        <v>0.1</v>
      </c>
      <c r="C19" s="18">
        <f>C18*1.1</f>
        <v>5.5000000000000007E-2</v>
      </c>
      <c r="D19" s="43">
        <v>1694136444.6246371</v>
      </c>
      <c r="E19" s="153">
        <f t="shared" si="1"/>
        <v>-1.3294533208843955E-4</v>
      </c>
    </row>
    <row r="20" spans="1:5" x14ac:dyDescent="0.2">
      <c r="B20" s="18">
        <v>0.2</v>
      </c>
      <c r="C20" s="18">
        <f>C18*1.2</f>
        <v>0.06</v>
      </c>
      <c r="D20" s="43">
        <v>1693899349.3113894</v>
      </c>
      <c r="E20" s="153">
        <f t="shared" si="1"/>
        <v>-2.7287726808138113E-4</v>
      </c>
    </row>
    <row r="23" spans="1:5" x14ac:dyDescent="0.2">
      <c r="B23" s="240" t="s">
        <v>312</v>
      </c>
      <c r="C23" s="241"/>
      <c r="D23" s="241"/>
      <c r="E23" s="242"/>
    </row>
    <row r="24" spans="1:5" x14ac:dyDescent="0.2">
      <c r="B24" s="124" t="s">
        <v>143</v>
      </c>
      <c r="C24" s="124" t="s">
        <v>144</v>
      </c>
      <c r="D24" s="124" t="s">
        <v>141</v>
      </c>
      <c r="E24" s="124" t="s">
        <v>145</v>
      </c>
    </row>
    <row r="25" spans="1:5" x14ac:dyDescent="0.2">
      <c r="B25" s="18">
        <v>-0.2</v>
      </c>
      <c r="C25" s="9">
        <f>C27*0.8</f>
        <v>36131.040000000001</v>
      </c>
      <c r="D25" s="43">
        <v>1694438603.0816262</v>
      </c>
      <c r="E25" s="152">
        <f>(D25-$D$27)/$D$27</f>
        <v>4.538639992242649E-5</v>
      </c>
    </row>
    <row r="26" spans="1:5" x14ac:dyDescent="0.2">
      <c r="B26" s="18">
        <v>-0.1</v>
      </c>
      <c r="C26" s="9">
        <f>C27*0.9</f>
        <v>40647.420000000006</v>
      </c>
      <c r="D26" s="43">
        <v>1694400152.5927141</v>
      </c>
      <c r="E26" s="152">
        <f>(D26-$D$27)/$D$27</f>
        <v>2.2693199961424312E-5</v>
      </c>
    </row>
    <row r="27" spans="1:5" x14ac:dyDescent="0.2">
      <c r="A27" s="124" t="s">
        <v>176</v>
      </c>
      <c r="B27" s="130">
        <v>0</v>
      </c>
      <c r="C27" s="126">
        <f>Cost!D39</f>
        <v>45163.8</v>
      </c>
      <c r="D27" s="129">
        <f>'Cash Flow'!X50</f>
        <v>1694361702.1038013</v>
      </c>
      <c r="E27" s="154">
        <f t="shared" ref="E27:E28" si="2">(D27-$D$27)/$D$27</f>
        <v>0</v>
      </c>
    </row>
    <row r="28" spans="1:5" x14ac:dyDescent="0.2">
      <c r="B28" s="18">
        <v>0.1</v>
      </c>
      <c r="C28" s="9">
        <f>C27*1.1</f>
        <v>49680.180000000008</v>
      </c>
      <c r="D28" s="43">
        <v>1694323251.6148887</v>
      </c>
      <c r="E28" s="152">
        <f t="shared" si="2"/>
        <v>-2.2693199961283599E-5</v>
      </c>
    </row>
    <row r="29" spans="1:5" x14ac:dyDescent="0.2">
      <c r="B29" s="18">
        <v>0.2</v>
      </c>
      <c r="C29" s="9">
        <f>C27*1.2</f>
        <v>54196.560000000005</v>
      </c>
      <c r="D29" s="43">
        <v>1694284801.1259756</v>
      </c>
      <c r="E29" s="152">
        <f>(D29-$D$27)/$D$27</f>
        <v>-4.5386399922848624E-5</v>
      </c>
    </row>
    <row r="32" spans="1:5" x14ac:dyDescent="0.2">
      <c r="B32" s="240" t="s">
        <v>319</v>
      </c>
      <c r="C32" s="241"/>
      <c r="D32" s="241"/>
      <c r="E32" s="242"/>
    </row>
    <row r="33" spans="1:5" x14ac:dyDescent="0.2">
      <c r="B33" s="124" t="s">
        <v>143</v>
      </c>
      <c r="C33" s="124" t="s">
        <v>144</v>
      </c>
      <c r="D33" s="124" t="s">
        <v>141</v>
      </c>
      <c r="E33" s="124" t="s">
        <v>145</v>
      </c>
    </row>
    <row r="34" spans="1:5" x14ac:dyDescent="0.2">
      <c r="B34" s="18">
        <v>-0.2</v>
      </c>
      <c r="C34" s="9">
        <f>C36*0.8</f>
        <v>323894.40000000002</v>
      </c>
      <c r="D34" s="43">
        <v>1694563071.4621785</v>
      </c>
      <c r="E34" s="152">
        <f>(D34-$D$36)/$D$36</f>
        <v>1.1884673628257079E-4</v>
      </c>
    </row>
    <row r="35" spans="1:5" x14ac:dyDescent="0.2">
      <c r="B35" s="18">
        <v>-0.1</v>
      </c>
      <c r="C35" s="9">
        <f>C36*0.9</f>
        <v>364381.2</v>
      </c>
      <c r="D35" s="43">
        <v>1694462386.7829897</v>
      </c>
      <c r="E35" s="152">
        <f t="shared" ref="E35:E38" si="3">(D35-$D$36)/$D$36</f>
        <v>5.9423368141215039E-5</v>
      </c>
    </row>
    <row r="36" spans="1:5" x14ac:dyDescent="0.2">
      <c r="A36" s="124" t="s">
        <v>176</v>
      </c>
      <c r="B36" s="130">
        <v>0</v>
      </c>
      <c r="C36" s="126">
        <f>Cost!D43</f>
        <v>404868</v>
      </c>
      <c r="D36" s="129">
        <f>'Cash Flow'!X50</f>
        <v>1694361702.1038013</v>
      </c>
      <c r="E36" s="154">
        <f t="shared" si="3"/>
        <v>0</v>
      </c>
    </row>
    <row r="37" spans="1:5" x14ac:dyDescent="0.2">
      <c r="B37" s="18">
        <v>0.1</v>
      </c>
      <c r="C37" s="9">
        <f>C36*1.1</f>
        <v>445354.80000000005</v>
      </c>
      <c r="D37" s="43">
        <v>1694261017.4246128</v>
      </c>
      <c r="E37" s="153">
        <f t="shared" si="3"/>
        <v>-5.9423368141215039E-5</v>
      </c>
    </row>
    <row r="38" spans="1:5" x14ac:dyDescent="0.2">
      <c r="B38" s="18">
        <v>0.2</v>
      </c>
      <c r="C38" s="9">
        <f>C36*1.2</f>
        <v>485841.6</v>
      </c>
      <c r="D38" s="43">
        <v>1694160332.745424</v>
      </c>
      <c r="E38" s="153">
        <f t="shared" si="3"/>
        <v>-1.1884673628257079E-4</v>
      </c>
    </row>
    <row r="41" spans="1:5" x14ac:dyDescent="0.2">
      <c r="B41" s="237" t="s">
        <v>313</v>
      </c>
      <c r="C41" s="238"/>
      <c r="D41" s="238"/>
      <c r="E41" s="239"/>
    </row>
    <row r="42" spans="1:5" x14ac:dyDescent="0.2">
      <c r="B42" s="124" t="s">
        <v>143</v>
      </c>
      <c r="C42" s="124" t="s">
        <v>144</v>
      </c>
      <c r="D42" s="124" t="s">
        <v>141</v>
      </c>
      <c r="E42" s="124" t="s">
        <v>145</v>
      </c>
    </row>
    <row r="43" spans="1:5" x14ac:dyDescent="0.2">
      <c r="B43" s="18">
        <v>-0.2</v>
      </c>
      <c r="C43">
        <f>C45*0.8</f>
        <v>86.304000000000002</v>
      </c>
      <c r="D43" s="105">
        <v>-629964176.78877783</v>
      </c>
      <c r="E43" s="151">
        <f>(D43-$D$45)/$D$45</f>
        <v>-1.3718002927040809</v>
      </c>
    </row>
    <row r="44" spans="1:5" x14ac:dyDescent="0.2">
      <c r="B44" s="18">
        <v>-0.1</v>
      </c>
      <c r="C44">
        <f>C45*0.9</f>
        <v>97.091999999999999</v>
      </c>
      <c r="D44" s="43">
        <v>532198762.65751123</v>
      </c>
      <c r="E44" s="151">
        <f t="shared" ref="E44:E47" si="4">(D44-$D$45)/$D$45</f>
        <v>-0.68590014635204066</v>
      </c>
    </row>
    <row r="45" spans="1:5" x14ac:dyDescent="0.2">
      <c r="A45" s="124" t="s">
        <v>176</v>
      </c>
      <c r="B45" s="130">
        <v>0</v>
      </c>
      <c r="C45" s="124">
        <f>Main!D34</f>
        <v>107.88</v>
      </c>
      <c r="D45" s="129">
        <f>'Cash Flow'!X50</f>
        <v>1694361702.1038013</v>
      </c>
      <c r="E45" s="130">
        <f t="shared" si="4"/>
        <v>0</v>
      </c>
    </row>
    <row r="46" spans="1:5" x14ac:dyDescent="0.2">
      <c r="B46" s="18">
        <v>0.1</v>
      </c>
      <c r="C46">
        <f>C45*1.1</f>
        <v>118.66800000000001</v>
      </c>
      <c r="D46" s="43">
        <v>2856524641.5500913</v>
      </c>
      <c r="E46" s="18">
        <f t="shared" si="4"/>
        <v>0.68590014635204066</v>
      </c>
    </row>
    <row r="47" spans="1:5" x14ac:dyDescent="0.2">
      <c r="B47" s="18">
        <v>0.2</v>
      </c>
      <c r="C47">
        <f>C45*1.2</f>
        <v>129.45599999999999</v>
      </c>
      <c r="D47" s="43">
        <v>4018687580.9963803</v>
      </c>
      <c r="E47" s="18">
        <f t="shared" si="4"/>
        <v>1.3718002927040809</v>
      </c>
    </row>
  </sheetData>
  <mergeCells count="6">
    <mergeCell ref="B2:E3"/>
    <mergeCell ref="B41:E41"/>
    <mergeCell ref="B32:E32"/>
    <mergeCell ref="B23:E23"/>
    <mergeCell ref="B14:E14"/>
    <mergeCell ref="B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Cash Flow</vt:lpstr>
      <vt:lpstr>Revenue</vt:lpstr>
      <vt:lpstr>Revenue details</vt:lpstr>
      <vt:lpstr>Cost</vt:lpstr>
      <vt:lpstr>Cost details</vt:lpstr>
      <vt:lpstr>Indicators</vt:lpstr>
      <vt:lpstr>RoCE</vt:lpstr>
      <vt:lpstr>Sensitivity Analysis</vt:lpstr>
      <vt:lpstr>Gantt Chart</vt:lpstr>
      <vt:lpstr>Assumptions</vt:lpstr>
      <vt:lpstr>Market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2024-02-18T18:08:20Z</dcterms:created>
  <dcterms:modified xsi:type="dcterms:W3CDTF">2024-03-15T14:47:08Z</dcterms:modified>
</cp:coreProperties>
</file>