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Расчёт финансовых результатов" sheetId="6" r:id="rId2"/>
    <sheet name="5.1" sheetId="2" r:id="rId3"/>
    <sheet name="6.1" sheetId="3" r:id="rId4"/>
    <sheet name="Расчёт ФОТ" sheetId="4" r:id="rId5"/>
    <sheet name="Приложения" sheetId="5" r:id="rId6"/>
  </sheets>
  <definedNames>
    <definedName name="_xlnm._FilterDatabase" localSheetId="0" hidden="1">Лист1!$A$50:$I$51</definedName>
  </definedNames>
  <calcPr calcId="145621"/>
  <fileRecoveryPr repairLoad="1"/>
</workbook>
</file>

<file path=xl/calcChain.xml><?xml version="1.0" encoding="utf-8"?>
<calcChain xmlns="http://schemas.openxmlformats.org/spreadsheetml/2006/main">
  <c r="C26" i="6" l="1"/>
  <c r="G4" i="6"/>
  <c r="E62" i="6" l="1"/>
  <c r="M29" i="6"/>
  <c r="M30" i="6"/>
  <c r="N24" i="6"/>
  <c r="N23" i="6"/>
  <c r="N15" i="6"/>
  <c r="N14" i="6"/>
  <c r="N18" i="6"/>
  <c r="N17" i="6"/>
  <c r="N7" i="6"/>
  <c r="N12" i="6"/>
  <c r="N19" i="6"/>
  <c r="N22" i="6"/>
  <c r="N21" i="6"/>
  <c r="N20" i="6"/>
  <c r="F79" i="6"/>
  <c r="F80" i="6"/>
  <c r="F78" i="6"/>
  <c r="E80" i="6"/>
  <c r="E79" i="6"/>
  <c r="E78" i="6"/>
  <c r="C59" i="6"/>
  <c r="F52" i="6"/>
  <c r="H76" i="6"/>
  <c r="H75" i="6"/>
  <c r="H74" i="6"/>
  <c r="F76" i="6"/>
  <c r="F75" i="6"/>
  <c r="F74" i="6"/>
  <c r="F69" i="6"/>
  <c r="E74" i="6"/>
  <c r="E69" i="6"/>
  <c r="D76" i="6"/>
  <c r="D75" i="6"/>
  <c r="D74" i="6"/>
  <c r="C74" i="6"/>
  <c r="H71" i="6"/>
  <c r="H70" i="6"/>
  <c r="H69" i="6"/>
  <c r="G74" i="6"/>
  <c r="G69" i="6"/>
  <c r="F71" i="6"/>
  <c r="F70" i="6"/>
  <c r="D71" i="6" l="1"/>
  <c r="D70" i="6"/>
  <c r="D69" i="6"/>
  <c r="C69" i="6"/>
  <c r="B76" i="6"/>
  <c r="B71" i="6"/>
  <c r="E64" i="6"/>
  <c r="D64" i="6"/>
  <c r="C64" i="6"/>
  <c r="E63" i="6"/>
  <c r="D63" i="6"/>
  <c r="C63" i="6"/>
  <c r="D62" i="6"/>
  <c r="C62" i="6"/>
  <c r="D61" i="6"/>
  <c r="C61" i="6"/>
  <c r="D60" i="6"/>
  <c r="E60" i="6"/>
  <c r="C60" i="6"/>
  <c r="D59" i="6"/>
  <c r="D58" i="6"/>
  <c r="E58" i="6"/>
  <c r="C58" i="6"/>
  <c r="D57" i="6"/>
  <c r="E57" i="6" s="1"/>
  <c r="E61" i="6"/>
  <c r="C57" i="6"/>
  <c r="E56" i="6"/>
  <c r="D56" i="6"/>
  <c r="C56" i="6"/>
  <c r="B53" i="6"/>
  <c r="C53" i="6"/>
  <c r="E51" i="6"/>
  <c r="F51" i="6"/>
  <c r="G51" i="6"/>
  <c r="D51" i="6"/>
  <c r="E50" i="6"/>
  <c r="F50" i="6"/>
  <c r="G50" i="6"/>
  <c r="D50" i="6"/>
  <c r="E49" i="6"/>
  <c r="F49" i="6"/>
  <c r="G49" i="6"/>
  <c r="D49" i="6"/>
  <c r="G48" i="6"/>
  <c r="E48" i="6"/>
  <c r="C22" i="6"/>
  <c r="C24" i="6"/>
  <c r="F47" i="6"/>
  <c r="G47" i="6"/>
  <c r="E47" i="6"/>
  <c r="D47" i="6"/>
  <c r="F48" i="6"/>
  <c r="D48" i="6"/>
  <c r="D46" i="6"/>
  <c r="F46" i="6"/>
  <c r="D45" i="6"/>
  <c r="F45" i="6"/>
  <c r="G46" i="6"/>
  <c r="E46" i="6"/>
  <c r="G45" i="6"/>
  <c r="E45" i="6"/>
  <c r="G44" i="6"/>
  <c r="E44" i="6"/>
  <c r="G31" i="6"/>
  <c r="G32" i="6"/>
  <c r="G33" i="6"/>
  <c r="G39" i="6" s="1"/>
  <c r="G34" i="6"/>
  <c r="G35" i="6"/>
  <c r="G36" i="6"/>
  <c r="G37" i="6"/>
  <c r="G38" i="6"/>
  <c r="G30" i="6"/>
  <c r="F31" i="6"/>
  <c r="F32" i="6"/>
  <c r="F33" i="6"/>
  <c r="F34" i="6"/>
  <c r="F35" i="6"/>
  <c r="F36" i="6"/>
  <c r="F37" i="6"/>
  <c r="F38" i="6"/>
  <c r="F30" i="6"/>
  <c r="C25" i="6"/>
  <c r="C23" i="6"/>
  <c r="C21" i="6"/>
  <c r="C20" i="6"/>
  <c r="C19" i="6"/>
  <c r="C18" i="6"/>
  <c r="C17" i="6"/>
  <c r="C16" i="6"/>
  <c r="E59" i="6" l="1"/>
  <c r="F5" i="6"/>
  <c r="G5" i="6" s="1"/>
  <c r="F6" i="6"/>
  <c r="G6" i="6" s="1"/>
  <c r="F7" i="6"/>
  <c r="G7" i="6" s="1"/>
  <c r="F9" i="6"/>
  <c r="G9" i="6" s="1"/>
  <c r="G13" i="6" s="1"/>
  <c r="F10" i="6"/>
  <c r="G10" i="6" s="1"/>
  <c r="F11" i="6"/>
  <c r="G11" i="6" s="1"/>
  <c r="F12" i="6"/>
  <c r="G12" i="6" s="1"/>
  <c r="F4" i="6"/>
  <c r="G8" i="6" s="1"/>
  <c r="AG78" i="5" l="1"/>
  <c r="AG63" i="5"/>
  <c r="AG70" i="5"/>
  <c r="AG64" i="5"/>
  <c r="AG56" i="5"/>
  <c r="AG46" i="5"/>
  <c r="AG42" i="5"/>
  <c r="AF78" i="5"/>
  <c r="AE78" i="5"/>
  <c r="AE63" i="5"/>
  <c r="AE64" i="5"/>
  <c r="AE70" i="5"/>
  <c r="AG71" i="5"/>
  <c r="AG72" i="5"/>
  <c r="AG73" i="5"/>
  <c r="AG74" i="5"/>
  <c r="AG75" i="5"/>
  <c r="AG76" i="5"/>
  <c r="AG77" i="5"/>
  <c r="AE72" i="5"/>
  <c r="AE73" i="5"/>
  <c r="AE74" i="5"/>
  <c r="AE75" i="5"/>
  <c r="AE76" i="5"/>
  <c r="AE77" i="5"/>
  <c r="AE71" i="5"/>
  <c r="AG69" i="5"/>
  <c r="AG68" i="5"/>
  <c r="AG67" i="5"/>
  <c r="AG66" i="5"/>
  <c r="AE69" i="5"/>
  <c r="AE68" i="5"/>
  <c r="AE67" i="5"/>
  <c r="AE66" i="5"/>
  <c r="AE65" i="5"/>
  <c r="AG65" i="5"/>
  <c r="AG57" i="5"/>
  <c r="AG58" i="5"/>
  <c r="AG59" i="5"/>
  <c r="AG60" i="5"/>
  <c r="AG61" i="5"/>
  <c r="AG62" i="5"/>
  <c r="AG48" i="5"/>
  <c r="AG49" i="5"/>
  <c r="AG50" i="5"/>
  <c r="AG51" i="5"/>
  <c r="AG52" i="5"/>
  <c r="AG53" i="5"/>
  <c r="AG54" i="5"/>
  <c r="AG55" i="5"/>
  <c r="AE56" i="5"/>
  <c r="AE48" i="5"/>
  <c r="AE49" i="5"/>
  <c r="AE50" i="5"/>
  <c r="AE51" i="5"/>
  <c r="AE46" i="5" s="1"/>
  <c r="AE52" i="5"/>
  <c r="AE53" i="5"/>
  <c r="AE54" i="5"/>
  <c r="AE55" i="5"/>
  <c r="AE57" i="5"/>
  <c r="AE58" i="5"/>
  <c r="AE59" i="5"/>
  <c r="AE60" i="5"/>
  <c r="AE61" i="5"/>
  <c r="AE62" i="5"/>
  <c r="AE47" i="5"/>
  <c r="AG47" i="5"/>
  <c r="AG45" i="5"/>
  <c r="AG44" i="5"/>
  <c r="AG43" i="5"/>
  <c r="AE42" i="5"/>
  <c r="AE44" i="5"/>
  <c r="AE45" i="5"/>
  <c r="AE43" i="5"/>
  <c r="AF63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64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42" i="5"/>
  <c r="V17" i="5" l="1"/>
  <c r="V18" i="5"/>
  <c r="W18" i="5" s="1"/>
  <c r="V19" i="5"/>
  <c r="W19" i="5" s="1"/>
  <c r="V20" i="5"/>
  <c r="V21" i="5"/>
  <c r="W21" i="5" s="1"/>
  <c r="V22" i="5"/>
  <c r="W22" i="5" s="1"/>
  <c r="V23" i="5"/>
  <c r="V24" i="5"/>
  <c r="V25" i="5"/>
  <c r="V26" i="5"/>
  <c r="W26" i="5" s="1"/>
  <c r="V27" i="5"/>
  <c r="W27" i="5" s="1"/>
  <c r="V28" i="5"/>
  <c r="V29" i="5"/>
  <c r="W29" i="5" s="1"/>
  <c r="V30" i="5"/>
  <c r="W30" i="5" s="1"/>
  <c r="V31" i="5"/>
  <c r="V32" i="5"/>
  <c r="V33" i="5"/>
  <c r="V16" i="5"/>
  <c r="W16" i="5" s="1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16" i="5"/>
  <c r="S33" i="5"/>
  <c r="S28" i="5"/>
  <c r="S29" i="5"/>
  <c r="S30" i="5"/>
  <c r="S31" i="5"/>
  <c r="S32" i="5"/>
  <c r="S26" i="5"/>
  <c r="S27" i="5"/>
  <c r="S21" i="5"/>
  <c r="S22" i="5"/>
  <c r="S23" i="5"/>
  <c r="S24" i="5"/>
  <c r="S25" i="5"/>
  <c r="S19" i="5"/>
  <c r="S20" i="5"/>
  <c r="S18" i="5"/>
  <c r="S17" i="5"/>
  <c r="S16" i="5"/>
  <c r="AB5" i="5"/>
  <c r="AB6" i="5"/>
  <c r="AB7" i="5"/>
  <c r="AB8" i="5"/>
  <c r="AB9" i="5"/>
  <c r="AB10" i="5"/>
  <c r="AB11" i="5"/>
  <c r="AB4" i="5"/>
  <c r="AA5" i="5"/>
  <c r="AA6" i="5"/>
  <c r="AA7" i="5"/>
  <c r="AA8" i="5"/>
  <c r="AA9" i="5"/>
  <c r="AA10" i="5"/>
  <c r="AA11" i="5"/>
  <c r="AA4" i="5"/>
  <c r="Z11" i="5"/>
  <c r="Z5" i="5"/>
  <c r="Z6" i="5"/>
  <c r="Z7" i="5"/>
  <c r="Z8" i="5"/>
  <c r="Z9" i="5"/>
  <c r="Z10" i="5"/>
  <c r="Z4" i="5"/>
  <c r="Y5" i="5"/>
  <c r="Y6" i="5"/>
  <c r="Y7" i="5"/>
  <c r="Y8" i="5"/>
  <c r="Y9" i="5"/>
  <c r="Y10" i="5"/>
  <c r="Y11" i="5"/>
  <c r="Y4" i="5"/>
  <c r="X11" i="5"/>
  <c r="X5" i="5"/>
  <c r="X6" i="5"/>
  <c r="X7" i="5"/>
  <c r="X8" i="5"/>
  <c r="X9" i="5"/>
  <c r="X10" i="5"/>
  <c r="X4" i="5"/>
  <c r="W5" i="5"/>
  <c r="W6" i="5"/>
  <c r="W7" i="5"/>
  <c r="W8" i="5"/>
  <c r="W9" i="5"/>
  <c r="W10" i="5"/>
  <c r="W4" i="5"/>
  <c r="W11" i="5" s="1"/>
  <c r="U8" i="5"/>
  <c r="T10" i="5"/>
  <c r="U10" i="5" s="1"/>
  <c r="T5" i="5"/>
  <c r="U5" i="5" s="1"/>
  <c r="T6" i="5"/>
  <c r="U6" i="5" s="1"/>
  <c r="T7" i="5"/>
  <c r="U7" i="5" s="1"/>
  <c r="T8" i="5"/>
  <c r="T9" i="5"/>
  <c r="U9" i="5" s="1"/>
  <c r="T4" i="5"/>
  <c r="U4" i="5" s="1"/>
  <c r="U11" i="5" s="1"/>
  <c r="X33" i="5" l="1"/>
  <c r="X17" i="5"/>
  <c r="X28" i="5"/>
  <c r="X20" i="5"/>
  <c r="W33" i="5"/>
  <c r="W25" i="5"/>
  <c r="X25" i="5" s="1"/>
  <c r="W17" i="5"/>
  <c r="X27" i="5"/>
  <c r="X19" i="5"/>
  <c r="W32" i="5"/>
  <c r="X32" i="5" s="1"/>
  <c r="W28" i="5"/>
  <c r="W24" i="5"/>
  <c r="X24" i="5" s="1"/>
  <c r="W20" i="5"/>
  <c r="X16" i="5"/>
  <c r="X30" i="5"/>
  <c r="X26" i="5"/>
  <c r="X22" i="5"/>
  <c r="X18" i="5"/>
  <c r="W31" i="5"/>
  <c r="X31" i="5" s="1"/>
  <c r="W23" i="5"/>
  <c r="X23" i="5" s="1"/>
  <c r="X29" i="5"/>
  <c r="X21" i="5"/>
  <c r="P19" i="5"/>
  <c r="P10" i="5"/>
  <c r="P13" i="5"/>
  <c r="P16" i="5"/>
  <c r="P7" i="5"/>
  <c r="P9" i="5"/>
  <c r="P12" i="5"/>
  <c r="P15" i="5"/>
  <c r="P18" i="5"/>
  <c r="P6" i="5"/>
  <c r="O10" i="5"/>
  <c r="Q10" i="5" s="1"/>
  <c r="O13" i="5"/>
  <c r="O16" i="5"/>
  <c r="O19" i="5"/>
  <c r="O7" i="5"/>
  <c r="Q7" i="5" s="1"/>
  <c r="O18" i="5"/>
  <c r="O9" i="5"/>
  <c r="Q9" i="5" s="1"/>
  <c r="O12" i="5"/>
  <c r="O15" i="5"/>
  <c r="O6" i="5"/>
  <c r="N10" i="5"/>
  <c r="N13" i="5"/>
  <c r="N16" i="5"/>
  <c r="N19" i="5"/>
  <c r="N7" i="5"/>
  <c r="N9" i="5"/>
  <c r="N12" i="5"/>
  <c r="N15" i="5"/>
  <c r="N18" i="5"/>
  <c r="N6" i="5"/>
  <c r="M10" i="5"/>
  <c r="M13" i="5"/>
  <c r="M16" i="5"/>
  <c r="M19" i="5"/>
  <c r="M7" i="5"/>
  <c r="M9" i="5"/>
  <c r="M12" i="5"/>
  <c r="M15" i="5"/>
  <c r="M18" i="5"/>
  <c r="M6" i="5"/>
  <c r="G46" i="4"/>
  <c r="J19" i="5"/>
  <c r="K19" i="5" s="1"/>
  <c r="J18" i="5"/>
  <c r="K18" i="5" s="1"/>
  <c r="J16" i="5"/>
  <c r="K16" i="5" s="1"/>
  <c r="J15" i="5"/>
  <c r="K15" i="5" s="1"/>
  <c r="J13" i="5"/>
  <c r="K13" i="5" s="1"/>
  <c r="J12" i="5"/>
  <c r="K12" i="5" s="1"/>
  <c r="J10" i="5"/>
  <c r="K10" i="5" s="1"/>
  <c r="J9" i="5"/>
  <c r="K9" i="5" s="1"/>
  <c r="J7" i="5"/>
  <c r="K7" i="5" s="1"/>
  <c r="J6" i="5"/>
  <c r="I17" i="5"/>
  <c r="L17" i="5" s="1"/>
  <c r="I14" i="5"/>
  <c r="L14" i="5" s="1"/>
  <c r="I11" i="5"/>
  <c r="L11" i="5" s="1"/>
  <c r="I8" i="5"/>
  <c r="L8" i="5" s="1"/>
  <c r="I5" i="5"/>
  <c r="L5" i="5" s="1"/>
  <c r="Y23" i="5" l="1"/>
  <c r="Z23" i="5" s="1"/>
  <c r="AA23" i="5" s="1"/>
  <c r="Y24" i="5"/>
  <c r="Z24" i="5" s="1"/>
  <c r="AA24" i="5" s="1"/>
  <c r="Y31" i="5"/>
  <c r="Z31" i="5" s="1"/>
  <c r="AA31" i="5" s="1"/>
  <c r="Y32" i="5"/>
  <c r="Z32" i="5" s="1"/>
  <c r="AA32" i="5" s="1"/>
  <c r="Y25" i="5"/>
  <c r="Z25" i="5" s="1"/>
  <c r="AA25" i="5" s="1"/>
  <c r="Y26" i="5"/>
  <c r="Z26" i="5" s="1"/>
  <c r="AA26" i="5" s="1"/>
  <c r="Y27" i="5"/>
  <c r="Z27" i="5" s="1"/>
  <c r="AA27" i="5" s="1"/>
  <c r="Z28" i="5"/>
  <c r="AA28" i="5" s="1"/>
  <c r="Y28" i="5"/>
  <c r="Y33" i="5"/>
  <c r="Z33" i="5" s="1"/>
  <c r="AA33" i="5" s="1"/>
  <c r="Y30" i="5"/>
  <c r="Z30" i="5" s="1"/>
  <c r="AA30" i="5" s="1"/>
  <c r="Y21" i="5"/>
  <c r="Z21" i="5" s="1"/>
  <c r="AA21" i="5" s="1"/>
  <c r="Y18" i="5"/>
  <c r="Z18" i="5" s="1"/>
  <c r="AA18" i="5" s="1"/>
  <c r="Y16" i="5"/>
  <c r="Z16" i="5" s="1"/>
  <c r="AA16" i="5" s="1"/>
  <c r="Z20" i="5"/>
  <c r="AA20" i="5" s="1"/>
  <c r="Y20" i="5"/>
  <c r="Z17" i="5"/>
  <c r="AA17" i="5" s="1"/>
  <c r="Y17" i="5"/>
  <c r="Z29" i="5"/>
  <c r="AA29" i="5" s="1"/>
  <c r="Y29" i="5"/>
  <c r="Y22" i="5"/>
  <c r="Z22" i="5" s="1"/>
  <c r="AA22" i="5" s="1"/>
  <c r="Y19" i="5"/>
  <c r="Z19" i="5" s="1"/>
  <c r="AA19" i="5" s="1"/>
  <c r="Q15" i="5"/>
  <c r="Q16" i="5"/>
  <c r="P22" i="5"/>
  <c r="M21" i="5"/>
  <c r="O21" i="5"/>
  <c r="Q18" i="5"/>
  <c r="Q13" i="5"/>
  <c r="Q22" i="5" s="1"/>
  <c r="J21" i="5"/>
  <c r="Q12" i="5"/>
  <c r="Q19" i="5"/>
  <c r="J22" i="5"/>
  <c r="M22" i="5"/>
  <c r="L20" i="5"/>
  <c r="N21" i="5"/>
  <c r="P21" i="5"/>
  <c r="N22" i="5"/>
  <c r="K22" i="5"/>
  <c r="K6" i="5"/>
  <c r="K21" i="5" s="1"/>
  <c r="O22" i="5"/>
  <c r="Q6" i="5"/>
  <c r="C51" i="5"/>
  <c r="D46" i="5" s="1"/>
  <c r="C45" i="5"/>
  <c r="D45" i="5" s="1"/>
  <c r="E32" i="5"/>
  <c r="E34" i="5"/>
  <c r="E35" i="5"/>
  <c r="E36" i="5"/>
  <c r="E37" i="5"/>
  <c r="E38" i="5"/>
  <c r="E39" i="5"/>
  <c r="E40" i="5"/>
  <c r="E31" i="5"/>
  <c r="E30" i="5"/>
  <c r="E29" i="5"/>
  <c r="E28" i="5"/>
  <c r="D49" i="5" l="1"/>
  <c r="Q21" i="5"/>
  <c r="D51" i="5"/>
  <c r="D48" i="5"/>
  <c r="D47" i="5"/>
  <c r="D50" i="5"/>
  <c r="E13" i="5"/>
  <c r="T24" i="5" s="1"/>
  <c r="E14" i="5"/>
  <c r="T25" i="5" s="1"/>
  <c r="E15" i="5"/>
  <c r="T26" i="5" s="1"/>
  <c r="E16" i="5"/>
  <c r="T27" i="5" s="1"/>
  <c r="E18" i="5"/>
  <c r="T28" i="5" s="1"/>
  <c r="E19" i="5"/>
  <c r="T29" i="5" s="1"/>
  <c r="E20" i="5"/>
  <c r="T30" i="5" s="1"/>
  <c r="E21" i="5"/>
  <c r="T31" i="5" s="1"/>
  <c r="E22" i="5"/>
  <c r="T32" i="5" s="1"/>
  <c r="E23" i="5"/>
  <c r="T33" i="5" s="1"/>
  <c r="E12" i="5"/>
  <c r="T23" i="5" s="1"/>
  <c r="E11" i="5"/>
  <c r="T22" i="5" s="1"/>
  <c r="E10" i="5"/>
  <c r="T21" i="5" s="1"/>
  <c r="E9" i="5"/>
  <c r="T20" i="5" s="1"/>
  <c r="E8" i="5"/>
  <c r="T19" i="5" s="1"/>
  <c r="E6" i="5"/>
  <c r="T18" i="5" s="1"/>
  <c r="E5" i="5"/>
  <c r="T17" i="5" s="1"/>
  <c r="E4" i="5"/>
  <c r="T16" i="5" s="1"/>
  <c r="G48" i="4" l="1"/>
  <c r="B58" i="4" s="1"/>
  <c r="C31" i="5"/>
  <c r="B56" i="4" l="1"/>
  <c r="G52" i="4"/>
  <c r="B62" i="4" s="1"/>
  <c r="G47" i="4"/>
  <c r="B57" i="4" s="1"/>
  <c r="G49" i="4"/>
  <c r="B59" i="4" s="1"/>
  <c r="G50" i="4"/>
  <c r="B60" i="4" s="1"/>
  <c r="G51" i="4"/>
  <c r="B61" i="4" s="1"/>
  <c r="B69" i="4" l="1"/>
  <c r="B79" i="4" s="1"/>
  <c r="B63" i="4"/>
  <c r="B66" i="4"/>
  <c r="B76" i="4" s="1"/>
  <c r="B68" i="4"/>
  <c r="B78" i="4" s="1"/>
  <c r="B71" i="4"/>
  <c r="B81" i="4" s="1"/>
  <c r="B67" i="4"/>
  <c r="B77" i="4" s="1"/>
  <c r="B70" i="4"/>
  <c r="B80" i="4" s="1"/>
  <c r="B72" i="4"/>
  <c r="B82" i="4" s="1"/>
  <c r="A53" i="4"/>
  <c r="B88" i="4" l="1"/>
  <c r="B98" i="4" s="1"/>
  <c r="B90" i="4"/>
  <c r="B100" i="4" s="1"/>
  <c r="B87" i="4"/>
  <c r="B97" i="4" s="1"/>
  <c r="B92" i="4"/>
  <c r="B102" i="4" s="1"/>
  <c r="B86" i="4"/>
  <c r="B96" i="4" s="1"/>
  <c r="B91" i="4"/>
  <c r="B101" i="4" s="1"/>
  <c r="B89" i="4"/>
  <c r="B99" i="4" s="1"/>
  <c r="B73" i="4"/>
  <c r="B83" i="4" s="1"/>
  <c r="B93" i="4" l="1"/>
  <c r="B103" i="4" s="1"/>
  <c r="H6" i="4"/>
  <c r="H2" i="4"/>
  <c r="H5" i="4"/>
  <c r="B2" i="4"/>
  <c r="H4" i="4"/>
  <c r="H3" i="4"/>
  <c r="B6" i="4"/>
  <c r="B5" i="4"/>
  <c r="B4" i="4"/>
  <c r="B3" i="4"/>
  <c r="B3" i="2"/>
  <c r="B2" i="2"/>
  <c r="B14" i="4" l="1"/>
  <c r="B22" i="4" s="1"/>
  <c r="H14" i="4"/>
  <c r="H22" i="4" s="1"/>
  <c r="H13" i="4"/>
  <c r="H21" i="4" s="1"/>
  <c r="H15" i="4"/>
  <c r="H23" i="4" s="1"/>
  <c r="H17" i="4"/>
  <c r="H25" i="4"/>
  <c r="B15" i="4"/>
  <c r="B23" i="4" s="1"/>
  <c r="B16" i="4"/>
  <c r="B24" i="4"/>
  <c r="B7" i="4"/>
  <c r="B17" i="4"/>
  <c r="B25" i="4" s="1"/>
  <c r="H16" i="4"/>
  <c r="H24" i="4" s="1"/>
  <c r="B13" i="4"/>
  <c r="B21" i="4" s="1"/>
  <c r="H7" i="4"/>
  <c r="B6" i="3"/>
  <c r="B5" i="3"/>
  <c r="B2" i="3"/>
  <c r="B3" i="3"/>
  <c r="B4" i="3"/>
  <c r="D42" i="1"/>
  <c r="D40" i="1"/>
  <c r="D39" i="1"/>
  <c r="D35" i="1"/>
  <c r="D36" i="1"/>
  <c r="D37" i="1"/>
  <c r="D38" i="1"/>
  <c r="D34" i="1"/>
  <c r="D33" i="1"/>
  <c r="B8" i="2"/>
  <c r="B7" i="2"/>
  <c r="B6" i="2"/>
  <c r="B5" i="2"/>
  <c r="B4" i="2"/>
  <c r="H32" i="4" l="1"/>
  <c r="H40" i="4"/>
  <c r="H30" i="4"/>
  <c r="H38" i="4" s="1"/>
  <c r="H31" i="4"/>
  <c r="H39" i="4" s="1"/>
  <c r="B31" i="4"/>
  <c r="B39" i="4" s="1"/>
  <c r="B29" i="4"/>
  <c r="B37" i="4" s="1"/>
  <c r="B18" i="4"/>
  <c r="B26" i="4" s="1"/>
  <c r="H18" i="4"/>
  <c r="H26" i="4" s="1"/>
  <c r="B33" i="4"/>
  <c r="B41" i="4" s="1"/>
  <c r="B32" i="4"/>
  <c r="B40" i="4" s="1"/>
  <c r="H33" i="4"/>
  <c r="H41" i="4" s="1"/>
  <c r="H29" i="4"/>
  <c r="H37" i="4"/>
  <c r="B30" i="4"/>
  <c r="B38" i="4" s="1"/>
  <c r="B34" i="4" l="1"/>
  <c r="B42" i="4"/>
  <c r="H34" i="4"/>
  <c r="H42" i="4" s="1"/>
</calcChain>
</file>

<file path=xl/sharedStrings.xml><?xml version="1.0" encoding="utf-8"?>
<sst xmlns="http://schemas.openxmlformats.org/spreadsheetml/2006/main" count="571" uniqueCount="392">
  <si>
    <t>Таблица 1 - Исходные данные по вариантам</t>
  </si>
  <si>
    <t>Вариант</t>
  </si>
  <si>
    <t>ДЗП,%</t>
  </si>
  <si>
    <t>Номенклатура, шт</t>
  </si>
  <si>
    <t>Изделие А</t>
  </si>
  <si>
    <t>Изделие Б</t>
  </si>
  <si>
    <t>Таблица 2 - Технологический процесс изготовления изделий</t>
  </si>
  <si>
    <t>Наименование
операций</t>
  </si>
  <si>
    <t>Средний тарифный разряд</t>
  </si>
  <si>
    <t>Трудоёмкость изготовления изделия</t>
  </si>
  <si>
    <t>Коэфф-ты</t>
  </si>
  <si>
    <t xml:space="preserve">1. Станочная
</t>
  </si>
  <si>
    <t>2. Слесарная</t>
  </si>
  <si>
    <t>3. Монтажно-сборочная</t>
  </si>
  <si>
    <t>4. Накладочная, регулировочная, испытательная</t>
  </si>
  <si>
    <t>5. Технический контроль качества</t>
  </si>
  <si>
    <t>-</t>
  </si>
  <si>
    <t>Таблица 4 – Перечень и норма расхода используемых материалов и
комплектующих деталей</t>
  </si>
  <si>
    <t>Норма расхода материалов и комплектующих деталей на единицу изделия</t>
  </si>
  <si>
    <t>М1, кг</t>
  </si>
  <si>
    <t>Д1, шт</t>
  </si>
  <si>
    <t>Д2, шт</t>
  </si>
  <si>
    <t>Д3, шт</t>
  </si>
  <si>
    <t>М2, кг</t>
  </si>
  <si>
    <t>М3, кг</t>
  </si>
  <si>
    <t>Цены:</t>
  </si>
  <si>
    <t>М1, р/кг</t>
  </si>
  <si>
    <t>М2</t>
  </si>
  <si>
    <t>М3</t>
  </si>
  <si>
    <t>Д1, р/шт</t>
  </si>
  <si>
    <t>Д2</t>
  </si>
  <si>
    <t>Д3</t>
  </si>
  <si>
    <t>Fд1,2=</t>
  </si>
  <si>
    <t>Fд3-5=</t>
  </si>
  <si>
    <t>Cp1=</t>
  </si>
  <si>
    <t>Q</t>
  </si>
  <si>
    <t>П</t>
  </si>
  <si>
    <t>А, н/ч</t>
  </si>
  <si>
    <t>Б, н/ч</t>
  </si>
  <si>
    <t>Кв.н.</t>
  </si>
  <si>
    <t>Квыб.</t>
  </si>
  <si>
    <t>Cp2=</t>
  </si>
  <si>
    <t>Ср3=</t>
  </si>
  <si>
    <t>Ср4=</t>
  </si>
  <si>
    <t>Ср5=</t>
  </si>
  <si>
    <t>Таблица 6 – Расчет полезного фонда времени</t>
  </si>
  <si>
    <t>№</t>
  </si>
  <si>
    <t>Состав фонда времени</t>
  </si>
  <si>
    <t>Ед. изм.</t>
  </si>
  <si>
    <t>К-во</t>
  </si>
  <si>
    <t>Процент</t>
  </si>
  <si>
    <t>Календарные дни</t>
  </si>
  <si>
    <t>Дни</t>
  </si>
  <si>
    <t>Час</t>
  </si>
  <si>
    <t>Выходные</t>
  </si>
  <si>
    <t>Рабочие</t>
  </si>
  <si>
    <t>Невыходы</t>
  </si>
  <si>
    <t>Отпуска</t>
  </si>
  <si>
    <t>Учебные Отпуска</t>
  </si>
  <si>
    <t>Отпуска по беременности</t>
  </si>
  <si>
    <t>Гос. Обязанности</t>
  </si>
  <si>
    <t>болезни</t>
  </si>
  <si>
    <t>Явочное время</t>
  </si>
  <si>
    <t>Средняя продолжительность раб. Дня</t>
  </si>
  <si>
    <t>Полезный  фонд времени(Фn)</t>
  </si>
  <si>
    <t>Чосн1</t>
  </si>
  <si>
    <t>Чосн2</t>
  </si>
  <si>
    <t>Чосн3</t>
  </si>
  <si>
    <t>Чосн4</t>
  </si>
  <si>
    <t>Чк</t>
  </si>
  <si>
    <t>Тарифный разряд</t>
  </si>
  <si>
    <t>Тарифный коэффициент</t>
  </si>
  <si>
    <t xml:space="preserve">Часовая тарифная ставка к-го разряда </t>
  </si>
  <si>
    <t>Таблица 8 – тарифная сетка 8-ми разрядная (диапазон от 1 до 2,39)</t>
  </si>
  <si>
    <t>Расчет прямой сдельной заработной платы для изделий А:</t>
  </si>
  <si>
    <t>ЗП1</t>
  </si>
  <si>
    <t>ЗП2</t>
  </si>
  <si>
    <t>ЗП3</t>
  </si>
  <si>
    <t>ЗП4</t>
  </si>
  <si>
    <t>ЗП5</t>
  </si>
  <si>
    <t>ЗП</t>
  </si>
  <si>
    <t>РК</t>
  </si>
  <si>
    <t>Расчет прямой сдельной заработной платы для изделий Б:</t>
  </si>
  <si>
    <t>Доплаты до основной заработной платы для изделий А</t>
  </si>
  <si>
    <t>ДОС1</t>
  </si>
  <si>
    <t>ДОС2</t>
  </si>
  <si>
    <t>ДОС3</t>
  </si>
  <si>
    <t>ДОС4</t>
  </si>
  <si>
    <t>ДОС5</t>
  </si>
  <si>
    <t>ДОС</t>
  </si>
  <si>
    <t>Доплаты до основной заработной платы для изделий Б</t>
  </si>
  <si>
    <t>Расчет ЗПосн для изделий А</t>
  </si>
  <si>
    <t>Расчет ЗПосн для изделий Б</t>
  </si>
  <si>
    <t>ДЗП</t>
  </si>
  <si>
    <t>Дополнительная заработная плата (ЗПдоп.) для изделий А</t>
  </si>
  <si>
    <t>Дополнительная заработная плата (ЗПдоп.) для изделий Б</t>
  </si>
  <si>
    <t>Расчет годового ФОТ для изделий А</t>
  </si>
  <si>
    <t>Расчет годового ФОТ для изделий Б</t>
  </si>
  <si>
    <t>ФОТ1</t>
  </si>
  <si>
    <t>ФОТ2</t>
  </si>
  <si>
    <t>ФОТ3</t>
  </si>
  <si>
    <t>ФОТ4</t>
  </si>
  <si>
    <t>ФОТ5</t>
  </si>
  <si>
    <t>ФОТ</t>
  </si>
  <si>
    <t>Численность вспомогательного персонала</t>
  </si>
  <si>
    <t xml:space="preserve">Расчет простой повременной заработной платы </t>
  </si>
  <si>
    <t>Количество</t>
  </si>
  <si>
    <t>Разряд</t>
  </si>
  <si>
    <t>Часовая тарифная ставка</t>
  </si>
  <si>
    <t>ЗПпр.повр.1</t>
  </si>
  <si>
    <t>ЗПпр.повр.2</t>
  </si>
  <si>
    <t>ЗПпр.повр.3</t>
  </si>
  <si>
    <t>ЗПпр.повр.4</t>
  </si>
  <si>
    <t>ЗПпр.повр.5</t>
  </si>
  <si>
    <t>ЗПпр.повр.6</t>
  </si>
  <si>
    <t>ЗПпр.повр.7</t>
  </si>
  <si>
    <t>ЗПпр.повр.</t>
  </si>
  <si>
    <t xml:space="preserve">Доплаты до основной заработной платы </t>
  </si>
  <si>
    <t>ДОС6</t>
  </si>
  <si>
    <t>ДОС7</t>
  </si>
  <si>
    <t>ДОСс</t>
  </si>
  <si>
    <t xml:space="preserve">Основная заработная плата </t>
  </si>
  <si>
    <t>ЗП осн.1</t>
  </si>
  <si>
    <t>ЗП осн.2</t>
  </si>
  <si>
    <t>ЗП осн.3</t>
  </si>
  <si>
    <t>ЗП осн.4</t>
  </si>
  <si>
    <t>ЗП осн.5</t>
  </si>
  <si>
    <t>ЗП осн.6</t>
  </si>
  <si>
    <t>ЗП осн.7</t>
  </si>
  <si>
    <t>ЗП осн.</t>
  </si>
  <si>
    <t>Дополнительная заработная плата (ЗПдоп.):</t>
  </si>
  <si>
    <t>ЗПдоп.1</t>
  </si>
  <si>
    <t>ЗПдоп.2</t>
  </si>
  <si>
    <t>ЗПдоп.3</t>
  </si>
  <si>
    <t>ЗПдоп.4</t>
  </si>
  <si>
    <t>ЗПдоп.5</t>
  </si>
  <si>
    <t>ЗПдоп.6</t>
  </si>
  <si>
    <t>ЗПдоп.7</t>
  </si>
  <si>
    <t>ЗПдоп.</t>
  </si>
  <si>
    <t>Годовой ФОТ</t>
  </si>
  <si>
    <t>ФОТ6</t>
  </si>
  <si>
    <t>ФОТ7</t>
  </si>
  <si>
    <t>№ п/п</t>
  </si>
  <si>
    <t>Наименование должности</t>
  </si>
  <si>
    <t>Количество, чел.</t>
  </si>
  <si>
    <t>Квалификация</t>
  </si>
  <si>
    <t>Месячный оклад, р.</t>
  </si>
  <si>
    <t>1.1</t>
  </si>
  <si>
    <t>1.2</t>
  </si>
  <si>
    <t>1.3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</si>
  <si>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</si>
  <si>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</si>
  <si>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</si>
  <si>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</si>
  <si>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</si>
  <si>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</si>
  <si>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</si>
  <si>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</si>
  <si>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</si>
  <si>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</si>
  <si>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</si>
  <si>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</si>
  <si>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</si>
  <si>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3.3</t>
  </si>
  <si>
    <t>3.4</t>
  </si>
  <si>
    <t>3.5</t>
  </si>
  <si>
    <t>3.6</t>
  </si>
  <si>
    <t>4</t>
  </si>
  <si>
    <t>4.1</t>
  </si>
  <si>
    <t>4.2</t>
  </si>
  <si>
    <t>4.3</t>
  </si>
  <si>
    <t>4.4</t>
  </si>
  <si>
    <t>4.5</t>
  </si>
  <si>
    <t>5</t>
  </si>
  <si>
    <t>5.1</t>
  </si>
  <si>
    <t>5.2</t>
  </si>
  <si>
    <t>5.3</t>
  </si>
  <si>
    <t>5.4</t>
  </si>
  <si>
    <t>5.5</t>
  </si>
  <si>
    <t>5.6</t>
  </si>
  <si>
    <t>5.7</t>
  </si>
  <si>
    <t>Директор</t>
  </si>
  <si>
    <t>Зам. Директора</t>
  </si>
  <si>
    <t>Гл. бухгалтер</t>
  </si>
  <si>
    <t>Специалисты</t>
  </si>
  <si>
    <t>Технолог</t>
  </si>
  <si>
    <t>Конструктор</t>
  </si>
  <si>
    <t>Программист</t>
  </si>
  <si>
    <t>Бухгалтер</t>
  </si>
  <si>
    <t>Энергетик</t>
  </si>
  <si>
    <t>Мастер</t>
  </si>
  <si>
    <t>Механик</t>
  </si>
  <si>
    <t>Маркетолог</t>
  </si>
  <si>
    <t>Экономист</t>
  </si>
  <si>
    <t>Другие служащие</t>
  </si>
  <si>
    <t>Агент по
снабжению</t>
  </si>
  <si>
    <t>Референт</t>
  </si>
  <si>
    <t>Экспедитор</t>
  </si>
  <si>
    <t>Инспектор отдела кадров</t>
  </si>
  <si>
    <t>Уборщик производственных помещений</t>
  </si>
  <si>
    <t>Уборщик бытовых помещений</t>
  </si>
  <si>
    <t>Основные рабочие</t>
  </si>
  <si>
    <t>Станочник</t>
  </si>
  <si>
    <t>Слесарь по изготовлению изделий</t>
  </si>
  <si>
    <t>Монтажник</t>
  </si>
  <si>
    <t>Наладчик при изготовлении изделий</t>
  </si>
  <si>
    <t>Контролер</t>
  </si>
  <si>
    <t>Вспомогательные рабочие</t>
  </si>
  <si>
    <t>Наладчик оборудования</t>
  </si>
  <si>
    <t>Техник по обслуживанию подъемно-транспортного оборудования</t>
  </si>
  <si>
    <t>Слесари по ремонту инструмента и приспособлений</t>
  </si>
  <si>
    <t>Водитель транспортных средств</t>
  </si>
  <si>
    <t>Разнорабочий, занятый на складских и транспортных работах</t>
  </si>
  <si>
    <t>Кладовщик инструментального склада</t>
  </si>
  <si>
    <t>Кладовщик склада готовой продукции</t>
  </si>
  <si>
    <t>Таблица 9 – Шкала соответствия коэффициентов и квалификационных уровней</t>
  </si>
  <si>
    <t xml:space="preserve">Квалификационный
уровень
</t>
  </si>
  <si>
    <t xml:space="preserve">Коэффициент
</t>
  </si>
  <si>
    <t>Руководители</t>
  </si>
  <si>
    <t>МРОТ</t>
  </si>
  <si>
    <t>Приложение 1</t>
  </si>
  <si>
    <t>Приложение 2</t>
  </si>
  <si>
    <t>Часовая тарифная ставка, руб.</t>
  </si>
  <si>
    <t>Категория работников</t>
  </si>
  <si>
    <t>Количество человек</t>
  </si>
  <si>
    <t>%</t>
  </si>
  <si>
    <t>1</t>
  </si>
  <si>
    <t>Рабочие, в том числе:</t>
  </si>
  <si>
    <t xml:space="preserve">       основные рабочие</t>
  </si>
  <si>
    <t xml:space="preserve">       вспомогательные рабочие</t>
  </si>
  <si>
    <t xml:space="preserve">Руководители (управленческий персонал) </t>
  </si>
  <si>
    <t xml:space="preserve">                                          Итого:</t>
  </si>
  <si>
    <t>Приложение 3</t>
  </si>
  <si>
    <t>Наименование операций</t>
  </si>
  <si>
    <t>Трудоёмкость работ по изделиям</t>
  </si>
  <si>
    <t>Одного</t>
  </si>
  <si>
    <t>Всех</t>
  </si>
  <si>
    <t>Доплаты до осн. ЗП, руб.</t>
  </si>
  <si>
    <t>Прямая ЗП, руб</t>
  </si>
  <si>
    <t>Основная ЗП, руб.</t>
  </si>
  <si>
    <t>Дополнительная ЗП, руб</t>
  </si>
  <si>
    <t>Годовой фонд оплаты труда</t>
  </si>
  <si>
    <t>1. Станочные</t>
  </si>
  <si>
    <t>3. Монтажно-сборочные</t>
  </si>
  <si>
    <t>4. Наладочные</t>
  </si>
  <si>
    <t>5. Технический контроль</t>
  </si>
  <si>
    <t>6. Итого</t>
  </si>
  <si>
    <t>Приложение 4</t>
  </si>
  <si>
    <t>Наименование</t>
  </si>
  <si>
    <t>Число вспомогательных рабочих, чел.</t>
  </si>
  <si>
    <t>Простая ЗП, руб.</t>
  </si>
  <si>
    <t>Доплаты до основной ЗП, руб.</t>
  </si>
  <si>
    <t>Дополнительная ЗП, руб.</t>
  </si>
  <si>
    <t>6</t>
  </si>
  <si>
    <t>7</t>
  </si>
  <si>
    <t>8</t>
  </si>
  <si>
    <t>9</t>
  </si>
  <si>
    <t>Полезный фонд, ч.</t>
  </si>
  <si>
    <t>10</t>
  </si>
  <si>
    <t xml:space="preserve">Разнорабочий, занятый на складских и транспортных
работах </t>
  </si>
  <si>
    <t>Итого:</t>
  </si>
  <si>
    <t>Наименование профессии</t>
  </si>
  <si>
    <t>Месячный оклад, руб.</t>
  </si>
  <si>
    <t>Численность работников по категориям, чел.</t>
  </si>
  <si>
    <t xml:space="preserve">Оплата по окладу с учётом поясного коэффициента, руб. </t>
  </si>
  <si>
    <t>Основная ЗП + Дополнительная ЗП, руб.</t>
  </si>
  <si>
    <t>Приложение 5</t>
  </si>
  <si>
    <t xml:space="preserve"> </t>
  </si>
  <si>
    <t>Категории персонала</t>
  </si>
  <si>
    <t>Годовой ФОТ, руб</t>
  </si>
  <si>
    <t>Числ. Персонала, чел</t>
  </si>
  <si>
    <t>1.Руководители</t>
  </si>
  <si>
    <t>2.Специалисты</t>
  </si>
  <si>
    <t>3.Другие служащие</t>
  </si>
  <si>
    <t>4.1. Основные</t>
  </si>
  <si>
    <t>4.2. Вспомогательные</t>
  </si>
  <si>
    <t>4. Рабочие</t>
  </si>
  <si>
    <t>2. Слесарные</t>
  </si>
  <si>
    <t>Среднемесячная ЗП, руб.</t>
  </si>
  <si>
    <t>Наименование материала</t>
  </si>
  <si>
    <t>Норма расхода</t>
  </si>
  <si>
    <t>Цена за ед. с НДС, руб.</t>
  </si>
  <si>
    <t>Цена за ед. без НДС, руб.</t>
  </si>
  <si>
    <t>Общая сумма затрат без НДС, руб.</t>
  </si>
  <si>
    <t>6=5/1,20</t>
  </si>
  <si>
    <t>7=4*6</t>
  </si>
  <si>
    <t>М1</t>
  </si>
  <si>
    <t>Д1</t>
  </si>
  <si>
    <t>кг</t>
  </si>
  <si>
    <t>шт.</t>
  </si>
  <si>
    <t>А</t>
  </si>
  <si>
    <t>Б</t>
  </si>
  <si>
    <t xml:space="preserve">Таблица 10 – Расшифровка затрат по статье «Сырье и материалы» для изделий «А» и «Б» </t>
  </si>
  <si>
    <t>Затраты на оплату труда, в том числе:</t>
  </si>
  <si>
    <t>ФОТ руководителей</t>
  </si>
  <si>
    <t>ФОТ специалистов</t>
  </si>
  <si>
    <t>ФОТ других служащих</t>
  </si>
  <si>
    <t>ФОТ вспомогательных рабочих</t>
  </si>
  <si>
    <t>Статьи расходов</t>
  </si>
  <si>
    <t>Сумма, руб.</t>
  </si>
  <si>
    <t>1.4</t>
  </si>
  <si>
    <t>Страховые взносы (СВ)=30%*пункт 1</t>
  </si>
  <si>
    <t>Амортизационные отчисления основных средств (данные расчетов таблицы 12)</t>
  </si>
  <si>
    <t>Прочие расходы</t>
  </si>
  <si>
    <t>Итого общая сумма накладных расходов (1+2+3+4)</t>
  </si>
  <si>
    <t xml:space="preserve">Основная заработная плата основных рабочих </t>
  </si>
  <si>
    <t>Процент накладных расходов = (5:6)*100%</t>
  </si>
  <si>
    <t xml:space="preserve">Таблица 11 - Смета затрат накладных расходов (годовая) </t>
  </si>
  <si>
    <t>Таблица 12 – Расчет амортизационных отчислений по основным средствам</t>
  </si>
  <si>
    <t>Наименование основных средств</t>
  </si>
  <si>
    <t>Номер амортизационной группы</t>
  </si>
  <si>
    <t>Здание</t>
  </si>
  <si>
    <t>Станочное оборудование</t>
  </si>
  <si>
    <t>Наладочное, регулировочное и испытательное оборудование</t>
  </si>
  <si>
    <t>Оборудование для контроля технологических процессов</t>
  </si>
  <si>
    <t>Производственный и хозяйственный инвентарь</t>
  </si>
  <si>
    <t>Транспортные средства</t>
  </si>
  <si>
    <t>Слесарное оборудование</t>
  </si>
  <si>
    <t>Монтажно-сборочное оборудование</t>
  </si>
  <si>
    <t>Компьютеры и оргтехника</t>
  </si>
  <si>
    <t>Норма амортизации, %</t>
  </si>
  <si>
    <t>Общая первоначальная стоимость, руб</t>
  </si>
  <si>
    <t xml:space="preserve">Срок полезного использования, г. </t>
  </si>
  <si>
    <t>Сумма амортизационных отчислений, руб</t>
  </si>
  <si>
    <t>Таблица 13 – Калькуляция по изделиям «А» и «Б»</t>
  </si>
  <si>
    <t>Наименование статей калькуляции</t>
  </si>
  <si>
    <t>Условное обозначение</t>
  </si>
  <si>
    <t>Затраты, руб.</t>
  </si>
  <si>
    <t>Изделие "А"</t>
  </si>
  <si>
    <t>Изделие "Б"</t>
  </si>
  <si>
    <t>На одно изделие</t>
  </si>
  <si>
    <t>На все изделия</t>
  </si>
  <si>
    <t>Сырье и материалы</t>
  </si>
  <si>
    <t>Основная заработная плата основных рабочих</t>
  </si>
  <si>
    <t>Дополнительная заработная плата основных рабочих</t>
  </si>
  <si>
    <t>Страховые взносы (30 %*( ЗПОо.р.+ ЗПДо.р.)</t>
  </si>
  <si>
    <t>Накладные расходы (НРi=%НР*ЗПОо.р.i)</t>
  </si>
  <si>
    <t>Производственная себестоимость (1+2+3+4+5)</t>
  </si>
  <si>
    <t>Коммерческие расходы</t>
  </si>
  <si>
    <t>Полная себестоимость (6+7)</t>
  </si>
  <si>
    <t>М</t>
  </si>
  <si>
    <t>ЗПОо.р.</t>
  </si>
  <si>
    <t>ЗПДо.р.</t>
  </si>
  <si>
    <t>СВ</t>
  </si>
  <si>
    <t>НР</t>
  </si>
  <si>
    <t>Спр</t>
  </si>
  <si>
    <t>КР</t>
  </si>
  <si>
    <t>Сп</t>
  </si>
  <si>
    <t>Ца</t>
  </si>
  <si>
    <t>Цб</t>
  </si>
  <si>
    <t>Наименование показателя</t>
  </si>
  <si>
    <t>По изделию «А»</t>
  </si>
  <si>
    <t>По изделию «Б»</t>
  </si>
  <si>
    <t>По предприятию</t>
  </si>
  <si>
    <t>Выручка от продажи, руб.</t>
  </si>
  <si>
    <t>Переменные затраты на годовой объем выпуска, руб.</t>
  </si>
  <si>
    <t>Маржинальная прибыль, руб.</t>
  </si>
  <si>
    <t>Постоянные затраты на годовой объем выпуска, руб.</t>
  </si>
  <si>
    <t>Прибыль от продаж, руб.</t>
  </si>
  <si>
    <t>Текущий налог на прибыль, руб.</t>
  </si>
  <si>
    <t>Прибыль чистая, руб.</t>
  </si>
  <si>
    <t>Рентабельность продукции, %</t>
  </si>
  <si>
    <t>Рентабельность продаж, %</t>
  </si>
  <si>
    <t>Таблица 14 – Финансовые показатели деятельности предприятия</t>
  </si>
  <si>
    <t>Таблица 15 – Данные для построения графика безубыточности</t>
  </si>
  <si>
    <t>Наименование показателей</t>
  </si>
  <si>
    <t>Результат</t>
  </si>
  <si>
    <t>Капитальные (единовременные затраты)</t>
  </si>
  <si>
    <t>Общая площадь</t>
  </si>
  <si>
    <t>м2</t>
  </si>
  <si>
    <t>Численность работников  предприятия, в том числе:</t>
  </si>
  <si>
    <t>чел.</t>
  </si>
  <si>
    <t xml:space="preserve">    рабочих</t>
  </si>
  <si>
    <t xml:space="preserve">    руководителей</t>
  </si>
  <si>
    <t xml:space="preserve">    специалистов</t>
  </si>
  <si>
    <t xml:space="preserve">    других служащих</t>
  </si>
  <si>
    <t>Себестоимость единицы изделия:</t>
  </si>
  <si>
    <t xml:space="preserve"> «А»</t>
  </si>
  <si>
    <t xml:space="preserve"> «Б»</t>
  </si>
  <si>
    <t>Прогнозируемая цена единицы изделия:</t>
  </si>
  <si>
    <t>Выручка от реализации (продажи) продукции</t>
  </si>
  <si>
    <t>Маржинальный доход (прибыль)</t>
  </si>
  <si>
    <t>Прибыль от продаж</t>
  </si>
  <si>
    <t>Чистая прибыль</t>
  </si>
  <si>
    <t>Рентабельность предприятия</t>
  </si>
  <si>
    <t>Срок окупаемости капитальных затрат</t>
  </si>
  <si>
    <t>лет</t>
  </si>
  <si>
    <t>руб.</t>
  </si>
  <si>
    <t xml:space="preserve">Таблица 16 – Показатели деятельности предприятия </t>
  </si>
  <si>
    <t>6. Расчет показателей производственной программы</t>
  </si>
  <si>
    <t>Nтп=</t>
  </si>
  <si>
    <t xml:space="preserve"> Nтп=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</si>
</sst>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4" fillId="2" borderId="7" applyNumberFormat="0" applyAlignment="0" applyProtection="0"/>
    <xf numFmtId="0" fontId="5" fillId="3" borderId="8" applyNumberFormat="0" applyAlignment="0" applyProtection="0"/>
    <xf numFmtId="43" fontId="7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/>
    </xf>
    <xf numFmtId="0" fontId="4" fillId="2" borderId="7" xfId="1"/>
    <xf numFmtId="2" fontId="1" fillId="0" borderId="0" xfId="0" applyNumberFormat="1" applyFont="1"/>
    <xf numFmtId="0" fontId="1" fillId="0" borderId="0" xfId="0" applyFont="1"/>
    <xf numFmtId="2" fontId="4" fillId="2" borderId="7" xfId="1" applyNumberFormat="1"/>
    <xf numFmtId="0" fontId="0" fillId="0" borderId="0" xfId="0" applyAlignment="1">
      <alignment horizontal="center" vertical="center" wrapText="1"/>
    </xf>
    <xf numFmtId="49" fontId="4" fillId="2" borderId="7" xfId="1" applyNumberFormat="1" applyAlignment="1" applyProtection="1">
      <alignment horizontal="center" vertical="center"/>
    </xf>
    <xf numFmtId="0" fontId="4" fillId="2" borderId="7" xfId="1" applyAlignment="1" applyProtection="1">
      <alignment horizontal="center" vertical="center" wrapText="1"/>
    </xf>
    <xf numFmtId="0" fontId="4" fillId="2" borderId="7" xfId="1" applyAlignment="1" applyProtection="1">
      <alignment horizontal="center" vertical="center"/>
    </xf>
    <xf numFmtId="49" fontId="5" fillId="3" borderId="8" xfId="2" applyNumberFormat="1" applyAlignment="1" applyProtection="1">
      <alignment horizontal="right" vertical="center"/>
    </xf>
    <xf numFmtId="0" fontId="5" fillId="3" borderId="8" xfId="2" applyAlignment="1" applyProtection="1"/>
    <xf numFmtId="49" fontId="4" fillId="2" borderId="7" xfId="1" applyNumberFormat="1" applyAlignment="1" applyProtection="1">
      <alignment horizontal="right" vertical="center"/>
    </xf>
    <xf numFmtId="0" fontId="4" fillId="2" borderId="7" xfId="1" applyAlignment="1" applyProtection="1">
      <alignment vertical="center" wrapText="1"/>
    </xf>
    <xf numFmtId="2" fontId="4" fillId="2" borderId="7" xfId="1" applyNumberFormat="1" applyProtection="1"/>
    <xf numFmtId="0" fontId="5" fillId="3" borderId="8" xfId="2" applyAlignment="1" applyProtection="1">
      <alignment vertical="center" wrapText="1"/>
    </xf>
    <xf numFmtId="2" fontId="5" fillId="3" borderId="8" xfId="2" applyNumberFormat="1" applyProtection="1"/>
    <xf numFmtId="49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/>
    <xf numFmtId="49" fontId="6" fillId="0" borderId="9" xfId="0" applyNumberFormat="1" applyFont="1" applyBorder="1" applyAlignment="1" applyProtection="1"/>
    <xf numFmtId="0" fontId="5" fillId="3" borderId="8" xfId="2" applyProtection="1"/>
    <xf numFmtId="0" fontId="4" fillId="2" borderId="7" xfId="1" applyProtection="1"/>
    <xf numFmtId="0" fontId="5" fillId="3" borderId="8" xfId="2" applyAlignment="1" applyProtection="1">
      <alignment horizontal="center" vertical="center" wrapText="1"/>
    </xf>
    <xf numFmtId="49" fontId="0" fillId="0" borderId="0" xfId="0" applyNumberFormat="1" applyAlignment="1" applyProtection="1">
      <alignment horizontal="right" vertical="center"/>
    </xf>
    <xf numFmtId="49" fontId="6" fillId="0" borderId="0" xfId="0" applyNumberFormat="1" applyFont="1" applyAlignment="1" applyProtection="1">
      <alignment vertical="center"/>
    </xf>
    <xf numFmtId="49" fontId="4" fillId="2" borderId="7" xfId="1" applyNumberFormat="1" applyAlignment="1">
      <alignment horizontal="center" vertical="center" wrapText="1"/>
    </xf>
    <xf numFmtId="0" fontId="4" fillId="2" borderId="7" xfId="1" applyAlignment="1">
      <alignment horizontal="center" vertical="center" wrapText="1"/>
    </xf>
    <xf numFmtId="1" fontId="4" fillId="2" borderId="7" xfId="1" applyNumberFormat="1"/>
    <xf numFmtId="0" fontId="4" fillId="2" borderId="7" xfId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7" xfId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2" borderId="7" xfId="1" applyNumberFormat="1" applyAlignment="1">
      <alignment vertical="center" wrapText="1"/>
    </xf>
    <xf numFmtId="0" fontId="4" fillId="2" borderId="7" xfId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2" borderId="7" xfId="1" applyAlignment="1">
      <alignment horizontal="center" vertical="center" wrapText="1"/>
    </xf>
    <xf numFmtId="0" fontId="5" fillId="3" borderId="8" xfId="2" applyAlignment="1">
      <alignment horizontal="center" vertical="center" wrapText="1"/>
    </xf>
    <xf numFmtId="2" fontId="5" fillId="3" borderId="8" xfId="2" applyNumberFormat="1"/>
    <xf numFmtId="0" fontId="5" fillId="3" borderId="8" xfId="2"/>
    <xf numFmtId="0" fontId="4" fillId="2" borderId="7" xfId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4" fillId="2" borderId="7" xfId="1" applyAlignment="1">
      <alignment horizontal="center" vertical="center" wrapText="1"/>
    </xf>
    <xf numFmtId="0" fontId="4" fillId="2" borderId="7" xfId="1" applyAlignment="1">
      <alignment horizontal="center" vertical="center"/>
    </xf>
    <xf numFmtId="0" fontId="4" fillId="2" borderId="7" xfId="1" applyAlignment="1"/>
    <xf numFmtId="0" fontId="4" fillId="2" borderId="7" xfId="1" applyAlignment="1">
      <alignment horizontal="left"/>
    </xf>
    <xf numFmtId="2" fontId="4" fillId="2" borderId="7" xfId="1" applyNumberFormat="1" applyAlignment="1">
      <alignment horizontal="right"/>
    </xf>
    <xf numFmtId="0" fontId="4" fillId="2" borderId="7" xfId="1" applyAlignment="1">
      <alignment horizontal="left" wrapText="1"/>
    </xf>
    <xf numFmtId="0" fontId="4" fillId="2" borderId="7" xfId="1" applyAlignment="1">
      <alignment horizontal="left" vertical="center"/>
    </xf>
    <xf numFmtId="0" fontId="0" fillId="0" borderId="13" xfId="0" applyBorder="1" applyAlignment="1"/>
    <xf numFmtId="4" fontId="4" fillId="2" borderId="7" xfId="1" applyNumberFormat="1"/>
    <xf numFmtId="0" fontId="4" fillId="2" borderId="11" xfId="1" applyBorder="1"/>
    <xf numFmtId="0" fontId="4" fillId="2" borderId="7" xfId="1" applyAlignment="1">
      <alignment vertical="center" wrapText="1"/>
    </xf>
    <xf numFmtId="3" fontId="4" fillId="2" borderId="7" xfId="1" applyNumberFormat="1" applyAlignment="1">
      <alignment horizontal="right" vertical="center" wrapText="1"/>
    </xf>
    <xf numFmtId="2" fontId="4" fillId="2" borderId="7" xfId="1" applyNumberFormat="1" applyAlignment="1">
      <alignment horizontal="right" vertical="center" wrapText="1"/>
    </xf>
    <xf numFmtId="4" fontId="4" fillId="2" borderId="7" xfId="1" applyNumberFormat="1" applyAlignment="1">
      <alignment horizontal="right" vertical="center" wrapText="1"/>
    </xf>
    <xf numFmtId="0" fontId="4" fillId="2" borderId="7" xfId="1" applyAlignment="1">
      <alignment vertical="center"/>
    </xf>
    <xf numFmtId="0" fontId="4" fillId="2" borderId="7" xfId="1" applyAlignment="1">
      <alignment horizontal="right" vertical="center"/>
    </xf>
    <xf numFmtId="3" fontId="4" fillId="2" borderId="7" xfId="1" applyNumberFormat="1" applyAlignment="1">
      <alignment horizontal="right" vertical="center"/>
    </xf>
    <xf numFmtId="2" fontId="4" fillId="2" borderId="7" xfId="1" applyNumberFormat="1" applyAlignment="1">
      <alignment horizontal="right" vertical="center"/>
    </xf>
    <xf numFmtId="43" fontId="0" fillId="0" borderId="0" xfId="3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3" fontId="4" fillId="2" borderId="7" xfId="1" applyNumberFormat="1" applyAlignment="1">
      <alignment horizontal="center" vertical="center" wrapText="1"/>
    </xf>
    <xf numFmtId="2" fontId="4" fillId="2" borderId="7" xfId="1" applyNumberFormat="1" applyAlignment="1">
      <alignment horizontal="center" vertical="center" wrapText="1"/>
    </xf>
    <xf numFmtId="0" fontId="4" fillId="2" borderId="7" xfId="1" applyAlignment="1">
      <alignment horizontal="center" vertical="center" wrapText="1"/>
    </xf>
    <xf numFmtId="4" fontId="4" fillId="2" borderId="7" xfId="1" applyNumberFormat="1" applyAlignment="1">
      <alignment horizontal="center" vertical="center" wrapText="1"/>
    </xf>
    <xf numFmtId="3" fontId="4" fillId="2" borderId="10" xfId="1" applyNumberFormat="1" applyBorder="1" applyAlignment="1">
      <alignment horizontal="center" vertical="center"/>
    </xf>
    <xf numFmtId="3" fontId="4" fillId="2" borderId="11" xfId="1" applyNumberFormat="1" applyBorder="1" applyAlignment="1">
      <alignment horizontal="center" vertical="center"/>
    </xf>
    <xf numFmtId="3" fontId="4" fillId="2" borderId="12" xfId="1" applyNumberFormat="1" applyBorder="1" applyAlignment="1">
      <alignment horizontal="center" vertical="center"/>
    </xf>
    <xf numFmtId="2" fontId="4" fillId="2" borderId="10" xfId="1" applyNumberFormat="1" applyBorder="1" applyAlignment="1">
      <alignment horizontal="center" vertical="center"/>
    </xf>
    <xf numFmtId="0" fontId="4" fillId="2" borderId="11" xfId="1" applyBorder="1" applyAlignment="1">
      <alignment horizontal="center" vertical="center"/>
    </xf>
    <xf numFmtId="0" fontId="4" fillId="2" borderId="12" xfId="1" applyBorder="1" applyAlignment="1">
      <alignment horizontal="center" vertical="center"/>
    </xf>
    <xf numFmtId="4" fontId="4" fillId="2" borderId="10" xfId="1" applyNumberFormat="1" applyBorder="1" applyAlignment="1">
      <alignment horizontal="center" vertical="center"/>
    </xf>
    <xf numFmtId="4" fontId="4" fillId="2" borderId="11" xfId="1" applyNumberFormat="1" applyBorder="1" applyAlignment="1">
      <alignment horizontal="center" vertical="center"/>
    </xf>
    <xf numFmtId="4" fontId="4" fillId="2" borderId="12" xfId="1" applyNumberFormat="1" applyBorder="1" applyAlignment="1">
      <alignment horizontal="center" vertical="center"/>
    </xf>
    <xf numFmtId="0" fontId="4" fillId="2" borderId="7" xfId="1" applyAlignment="1">
      <alignment horizontal="center"/>
    </xf>
    <xf numFmtId="0" fontId="4" fillId="2" borderId="10" xfId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2" borderId="7" xfId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2" borderId="7" xfId="1" applyAlignment="1">
      <alignment horizontal="center" vertical="center"/>
    </xf>
    <xf numFmtId="0" fontId="4" fillId="2" borderId="7" xfId="1" applyAlignment="1">
      <alignment horizontal="left" vertical="center"/>
    </xf>
    <xf numFmtId="0" fontId="6" fillId="0" borderId="9" xfId="0" applyFont="1" applyBorder="1" applyAlignment="1">
      <alignment horizontal="center"/>
    </xf>
    <xf numFmtId="1" fontId="4" fillId="2" borderId="7" xfId="1" applyNumberFormat="1" applyAlignment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0" xfId="0" applyNumberFormat="1" applyFont="1" applyAlignment="1" applyProtection="1">
      <alignment horizontal="center" vertical="center"/>
    </xf>
    <xf numFmtId="49" fontId="4" fillId="2" borderId="7" xfId="1" applyNumberFormat="1" applyAlignment="1">
      <alignment horizontal="center" vertical="center" wrapText="1"/>
    </xf>
  </cellXfs>
  <cellStyles count="4">
    <cellStyle name="Вывод" xfId="1" builtinId="21"/>
    <cellStyle name="Контрольная ячейка" xfId="2" builtinId="23"/>
    <cellStyle name="Обычный" xfId="0" builtinId="0"/>
    <cellStyle name="Финансовый" xfId="3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 b="0"/>
              <a:t>График</a:t>
            </a:r>
            <a:r>
              <a:rPr lang="ru-RU" sz="1200" b="0" baseline="0"/>
              <a:t> безубыточности изделия А</a:t>
            </a:r>
            <a:endParaRPr lang="ru-RU" sz="1200" b="0"/>
          </a:p>
        </c:rich>
      </c:tx>
      <c:layout>
        <c:manualLayout>
          <c:xMode val="edge"/>
          <c:yMode val="edge"/>
          <c:x val="0.31528107702691854"/>
          <c:y val="3.1915390110896107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Зпер</c:v>
          </c:tx>
          <c:marker>
            <c:symbol val="none"/>
          </c:marker>
          <c:dLbls>
            <c:dLbl>
              <c:idx val="2"/>
              <c:layout>
                <c:manualLayout>
                  <c:x val="0.10147244379749161"/>
                  <c:y val="-0.7066979238841281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Q</a:t>
                    </a:r>
                    <a:r>
                      <a:rPr lang="en-US" baseline="0"/>
                      <a:t> = 4950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'Расчёт финансовых результатов'!$B$69:$B$71</c:f>
              <c:numCache>
                <c:formatCode>General</c:formatCode>
                <c:ptCount val="3"/>
                <c:pt idx="0">
                  <c:v>0</c:v>
                </c:pt>
                <c:pt idx="1">
                  <c:v>3111</c:v>
                </c:pt>
                <c:pt idx="2">
                  <c:v>4950</c:v>
                </c:pt>
              </c:numCache>
            </c:numRef>
          </c:xVal>
          <c:yVal>
            <c:numRef>
              <c:f>'Расчёт финансовых результатов'!$D$69:$D$71</c:f>
              <c:numCache>
                <c:formatCode>General</c:formatCode>
                <c:ptCount val="3"/>
                <c:pt idx="0">
                  <c:v>0</c:v>
                </c:pt>
                <c:pt idx="1">
                  <c:v>23206400.689040996</c:v>
                </c:pt>
                <c:pt idx="2">
                  <c:v>36924359.823449999</c:v>
                </c:pt>
              </c:numCache>
            </c:numRef>
          </c:yVal>
          <c:smooth val="1"/>
        </c:ser>
        <c:ser>
          <c:idx val="1"/>
          <c:order val="1"/>
          <c:tx>
            <c:v>Sпол</c:v>
          </c:tx>
          <c:marker>
            <c:symbol val="none"/>
          </c:marker>
          <c:xVal>
            <c:numRef>
              <c:f>'Расчёт финансовых результатов'!$B$69:$B$71</c:f>
              <c:numCache>
                <c:formatCode>General</c:formatCode>
                <c:ptCount val="3"/>
                <c:pt idx="0">
                  <c:v>0</c:v>
                </c:pt>
                <c:pt idx="1">
                  <c:v>3111</c:v>
                </c:pt>
                <c:pt idx="2">
                  <c:v>4950</c:v>
                </c:pt>
              </c:numCache>
            </c:numRef>
          </c:xVal>
          <c:yVal>
            <c:numRef>
              <c:f>'Расчёт финансовых результатов'!$F$69:$F$71</c:f>
              <c:numCache>
                <c:formatCode>0.00</c:formatCode>
                <c:ptCount val="3"/>
                <c:pt idx="0">
                  <c:v>106900859.81313753</c:v>
                </c:pt>
                <c:pt idx="1">
                  <c:v>130107260.50217852</c:v>
                </c:pt>
                <c:pt idx="2">
                  <c:v>143825219.63658753</c:v>
                </c:pt>
              </c:numCache>
            </c:numRef>
          </c:yVal>
          <c:smooth val="1"/>
        </c:ser>
        <c:ser>
          <c:idx val="2"/>
          <c:order val="2"/>
          <c:tx>
            <c:v>В</c:v>
          </c:tx>
          <c:marker>
            <c:symbol val="none"/>
          </c:marker>
          <c:dPt>
            <c:idx val="1"/>
            <c:bubble3D val="0"/>
          </c:dPt>
          <c:dLbls>
            <c:dLbl>
              <c:idx val="0"/>
              <c:layout>
                <c:manualLayout>
                  <c:x val="-1.3192246594311975E-3"/>
                  <c:y val="-0.2188483893318590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Зона убытков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9.6500682174681371E-2"/>
                  <c:y val="-9.118682888827459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К</a:t>
                    </a:r>
                    <a:r>
                      <a:rPr lang="en-US"/>
                      <a:t> = 3111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0156937384803362"/>
                  <c:y val="0.11854287755475697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Зона прибыли 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'Расчёт финансовых результатов'!$B$69:$B$71</c:f>
              <c:numCache>
                <c:formatCode>General</c:formatCode>
                <c:ptCount val="3"/>
                <c:pt idx="0">
                  <c:v>0</c:v>
                </c:pt>
                <c:pt idx="1">
                  <c:v>3111</c:v>
                </c:pt>
                <c:pt idx="2">
                  <c:v>4950</c:v>
                </c:pt>
              </c:numCache>
            </c:numRef>
          </c:xVal>
          <c:yVal>
            <c:numRef>
              <c:f>'Расчёт финансовых результатов'!$H$69:$H$71</c:f>
              <c:numCache>
                <c:formatCode>General</c:formatCode>
                <c:ptCount val="3"/>
                <c:pt idx="0">
                  <c:v>0</c:v>
                </c:pt>
                <c:pt idx="1">
                  <c:v>130107260.50217852</c:v>
                </c:pt>
                <c:pt idx="2">
                  <c:v>207017338.31108445</c:v>
                </c:pt>
              </c:numCache>
            </c:numRef>
          </c:yVal>
          <c:smooth val="1"/>
        </c:ser>
        <c:ser>
          <c:idx val="3"/>
          <c:order val="3"/>
          <c:tx>
            <c:v>Зпост</c:v>
          </c:tx>
          <c:marker>
            <c:symbol val="none"/>
          </c:marker>
          <c:xVal>
            <c:numRef>
              <c:f>'Расчёт финансовых результатов'!$B$69:$B$71</c:f>
              <c:numCache>
                <c:formatCode>General</c:formatCode>
                <c:ptCount val="3"/>
                <c:pt idx="0">
                  <c:v>0</c:v>
                </c:pt>
                <c:pt idx="1">
                  <c:v>3111</c:v>
                </c:pt>
                <c:pt idx="2">
                  <c:v>4950</c:v>
                </c:pt>
              </c:numCache>
            </c:numRef>
          </c:xVal>
          <c:yVal>
            <c:numRef>
              <c:f>'Расчёт финансовых результатов'!$E$78:$E$80</c:f>
              <c:numCache>
                <c:formatCode>0.00</c:formatCode>
                <c:ptCount val="3"/>
                <c:pt idx="0">
                  <c:v>106900859.81313753</c:v>
                </c:pt>
                <c:pt idx="1">
                  <c:v>106900859.81313753</c:v>
                </c:pt>
                <c:pt idx="2">
                  <c:v>106900859.81313753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69184"/>
        <c:axId val="230172544"/>
      </c:scatterChart>
      <c:valAx>
        <c:axId val="20706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72544"/>
        <c:crosses val="autoZero"/>
        <c:crossBetween val="midCat"/>
      </c:valAx>
      <c:valAx>
        <c:axId val="23017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6918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 b="0" i="0" baseline="0">
                <a:effectLst/>
              </a:rPr>
              <a:t>График безубыточности изделия Б</a:t>
            </a:r>
            <a:endParaRPr lang="ru-RU" sz="1200">
              <a:effectLst/>
            </a:endParaRP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Зпер</c:v>
          </c:tx>
          <c:marker>
            <c:symbol val="none"/>
          </c:marker>
          <c:xVal>
            <c:numRef>
              <c:f>'Расчёт финансовых результатов'!$B$74:$B$76</c:f>
              <c:numCache>
                <c:formatCode>General</c:formatCode>
                <c:ptCount val="3"/>
                <c:pt idx="0">
                  <c:v>0</c:v>
                </c:pt>
                <c:pt idx="1">
                  <c:v>2496</c:v>
                </c:pt>
                <c:pt idx="2">
                  <c:v>5220</c:v>
                </c:pt>
              </c:numCache>
            </c:numRef>
          </c:xVal>
          <c:yVal>
            <c:numRef>
              <c:f>'Расчёт финансовых результатов'!$D$74:$D$76</c:f>
              <c:numCache>
                <c:formatCode>#,##0</c:formatCode>
                <c:ptCount val="3"/>
                <c:pt idx="0" formatCode="General">
                  <c:v>0</c:v>
                </c:pt>
                <c:pt idx="1">
                  <c:v>24035653.484543998</c:v>
                </c:pt>
                <c:pt idx="2">
                  <c:v>50266871.470079996</c:v>
                </c:pt>
              </c:numCache>
            </c:numRef>
          </c:yVal>
          <c:smooth val="1"/>
        </c:ser>
        <c:ser>
          <c:idx val="1"/>
          <c:order val="1"/>
          <c:tx>
            <c:v>Sпол</c:v>
          </c:tx>
          <c:marker>
            <c:symbol val="none"/>
          </c:marker>
          <c:dLbls>
            <c:dLbl>
              <c:idx val="0"/>
              <c:layout>
                <c:manualLayout>
                  <c:x val="0.2011180261928516"/>
                  <c:y val="-8.7962962962962965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К</a:t>
                    </a:r>
                    <a:r>
                      <a:rPr lang="ru-RU" baseline="0"/>
                      <a:t> = 2496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9.9453968996465081E-2"/>
                  <c:y val="-0.1296296296296296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Зона прибыли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'Расчёт финансовых результатов'!$B$74:$B$76</c:f>
              <c:numCache>
                <c:formatCode>General</c:formatCode>
                <c:ptCount val="3"/>
                <c:pt idx="0">
                  <c:v>0</c:v>
                </c:pt>
                <c:pt idx="1">
                  <c:v>2496</c:v>
                </c:pt>
                <c:pt idx="2">
                  <c:v>5220</c:v>
                </c:pt>
              </c:numCache>
            </c:numRef>
          </c:xVal>
          <c:yVal>
            <c:numRef>
              <c:f>'Расчёт финансовых результатов'!$F$74:$F$76</c:f>
              <c:numCache>
                <c:formatCode>#,##0.00</c:formatCode>
                <c:ptCount val="3"/>
                <c:pt idx="0" formatCode="0.00">
                  <c:v>150734188.5896259</c:v>
                </c:pt>
                <c:pt idx="1">
                  <c:v>174769842.0741699</c:v>
                </c:pt>
                <c:pt idx="2">
                  <c:v>201001060.05970588</c:v>
                </c:pt>
              </c:numCache>
            </c:numRef>
          </c:yVal>
          <c:smooth val="1"/>
        </c:ser>
        <c:ser>
          <c:idx val="2"/>
          <c:order val="2"/>
          <c:tx>
            <c:v>В</c:v>
          </c:tx>
          <c:marker>
            <c:symbol val="none"/>
          </c:marker>
          <c:dLbls>
            <c:dLbl>
              <c:idx val="0"/>
              <c:layout>
                <c:manualLayout>
                  <c:x val="-4.4203504225357997E-3"/>
                  <c:y val="-0.20370370370370369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Зона</a:t>
                    </a:r>
                    <a:r>
                      <a:rPr lang="ru-RU" baseline="0"/>
                      <a:t> убытков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8.6193439796936402E-2"/>
                  <c:y val="-0.138888888888888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Q</a:t>
                    </a:r>
                    <a:r>
                      <a:rPr lang="en-US" baseline="0"/>
                      <a:t> = 5220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'Расчёт финансовых результатов'!$B$74:$B$76</c:f>
              <c:numCache>
                <c:formatCode>General</c:formatCode>
                <c:ptCount val="3"/>
                <c:pt idx="0">
                  <c:v>0</c:v>
                </c:pt>
                <c:pt idx="1">
                  <c:v>2496</c:v>
                </c:pt>
                <c:pt idx="2">
                  <c:v>5220</c:v>
                </c:pt>
              </c:numCache>
            </c:numRef>
          </c:xVal>
          <c:yVal>
            <c:numRef>
              <c:f>'Расчёт финансовых результатов'!$H$74:$H$76</c:f>
              <c:numCache>
                <c:formatCode>General</c:formatCode>
                <c:ptCount val="3"/>
                <c:pt idx="0">
                  <c:v>0</c:v>
                </c:pt>
                <c:pt idx="1">
                  <c:v>174769842.0741699</c:v>
                </c:pt>
                <c:pt idx="2">
                  <c:v>365504237.03011495</c:v>
                </c:pt>
              </c:numCache>
            </c:numRef>
          </c:yVal>
          <c:smooth val="1"/>
        </c:ser>
        <c:ser>
          <c:idx val="3"/>
          <c:order val="3"/>
          <c:tx>
            <c:v>Зпост</c:v>
          </c:tx>
          <c:marker>
            <c:symbol val="none"/>
          </c:marker>
          <c:xVal>
            <c:numRef>
              <c:f>'Расчёт финансовых результатов'!$B$74:$B$76</c:f>
              <c:numCache>
                <c:formatCode>General</c:formatCode>
                <c:ptCount val="3"/>
                <c:pt idx="0">
                  <c:v>0</c:v>
                </c:pt>
                <c:pt idx="1">
                  <c:v>2496</c:v>
                </c:pt>
                <c:pt idx="2">
                  <c:v>5220</c:v>
                </c:pt>
              </c:numCache>
            </c:numRef>
          </c:xVal>
          <c:yVal>
            <c:numRef>
              <c:f>'Расчёт финансовых результатов'!$F$78:$F$80</c:f>
              <c:numCache>
                <c:formatCode>0.00</c:formatCode>
                <c:ptCount val="3"/>
                <c:pt idx="0">
                  <c:v>150734188.5896259</c:v>
                </c:pt>
                <c:pt idx="1">
                  <c:v>150734188.5896259</c:v>
                </c:pt>
                <c:pt idx="2">
                  <c:v>150734188.5896259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40160"/>
        <c:axId val="147741696"/>
      </c:scatterChart>
      <c:valAx>
        <c:axId val="14774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41696"/>
        <c:crosses val="autoZero"/>
        <c:crossBetween val="midCat"/>
      </c:valAx>
      <c:valAx>
        <c:axId val="147741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40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67</xdr:row>
      <xdr:rowOff>0</xdr:rowOff>
    </xdr:from>
    <xdr:to>
      <xdr:col>1</xdr:col>
      <xdr:colOff>175260</xdr:colOff>
      <xdr:row>68</xdr:row>
      <xdr:rowOff>7620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3312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251460</xdr:colOff>
      <xdr:row>67</xdr:row>
      <xdr:rowOff>7620</xdr:rowOff>
    </xdr:from>
    <xdr:to>
      <xdr:col>1</xdr:col>
      <xdr:colOff>419100</xdr:colOff>
      <xdr:row>67</xdr:row>
      <xdr:rowOff>167640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" y="12952655"/>
          <a:ext cx="16764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220980</xdr:colOff>
      <xdr:row>68</xdr:row>
      <xdr:rowOff>7620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3533120"/>
          <a:ext cx="2209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876300</xdr:colOff>
      <xdr:row>68</xdr:row>
      <xdr:rowOff>7620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7320" y="13533120"/>
          <a:ext cx="876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259080</xdr:colOff>
      <xdr:row>67</xdr:row>
      <xdr:rowOff>175260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3533120"/>
          <a:ext cx="2590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1074420</xdr:colOff>
      <xdr:row>68</xdr:row>
      <xdr:rowOff>7620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13533120"/>
          <a:ext cx="10744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67</xdr:row>
      <xdr:rowOff>0</xdr:rowOff>
    </xdr:from>
    <xdr:to>
      <xdr:col>6</xdr:col>
      <xdr:colOff>182880</xdr:colOff>
      <xdr:row>68</xdr:row>
      <xdr:rowOff>22860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13533120"/>
          <a:ext cx="1828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67</xdr:row>
      <xdr:rowOff>0</xdr:rowOff>
    </xdr:from>
    <xdr:to>
      <xdr:col>8</xdr:col>
      <xdr:colOff>68580</xdr:colOff>
      <xdr:row>67</xdr:row>
      <xdr:rowOff>175260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3560" y="13533120"/>
          <a:ext cx="6781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175260</xdr:colOff>
      <xdr:row>73</xdr:row>
      <xdr:rowOff>0</xdr:rowOff>
    </xdr:to>
    <xdr:pic>
      <xdr:nvPicPr>
        <xdr:cNvPr id="44" name="Рисунок 4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51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220980</xdr:colOff>
      <xdr:row>71</xdr:row>
      <xdr:rowOff>167640</xdr:rowOff>
    </xdr:from>
    <xdr:to>
      <xdr:col>1</xdr:col>
      <xdr:colOff>388620</xdr:colOff>
      <xdr:row>72</xdr:row>
      <xdr:rowOff>144780</xdr:rowOff>
    </xdr:to>
    <xdr:pic>
      <xdr:nvPicPr>
        <xdr:cNvPr id="45" name="Рисунок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" y="14432280"/>
          <a:ext cx="16764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220980</xdr:colOff>
      <xdr:row>73</xdr:row>
      <xdr:rowOff>0</xdr:rowOff>
    </xdr:to>
    <xdr:pic>
      <xdr:nvPicPr>
        <xdr:cNvPr id="46" name="Рисунок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4455140"/>
          <a:ext cx="2209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876300</xdr:colOff>
      <xdr:row>73</xdr:row>
      <xdr:rowOff>0</xdr:rowOff>
    </xdr:to>
    <xdr:pic>
      <xdr:nvPicPr>
        <xdr:cNvPr id="47" name="Рисунок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7320" y="14455140"/>
          <a:ext cx="876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259080</xdr:colOff>
      <xdr:row>72</xdr:row>
      <xdr:rowOff>175260</xdr:rowOff>
    </xdr:to>
    <xdr:pic>
      <xdr:nvPicPr>
        <xdr:cNvPr id="48" name="Рисунок 4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4455140"/>
          <a:ext cx="2590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1021080</xdr:colOff>
      <xdr:row>73</xdr:row>
      <xdr:rowOff>0</xdr:rowOff>
    </xdr:to>
    <xdr:pic>
      <xdr:nvPicPr>
        <xdr:cNvPr id="49" name="Рисунок 4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14455140"/>
          <a:ext cx="10210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72</xdr:row>
      <xdr:rowOff>0</xdr:rowOff>
    </xdr:from>
    <xdr:to>
      <xdr:col>6</xdr:col>
      <xdr:colOff>182880</xdr:colOff>
      <xdr:row>73</xdr:row>
      <xdr:rowOff>15240</xdr:rowOff>
    </xdr:to>
    <xdr:pic>
      <xdr:nvPicPr>
        <xdr:cNvPr id="50" name="Рисунок 4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8660" y="14455140"/>
          <a:ext cx="1828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678180</xdr:colOff>
      <xdr:row>72</xdr:row>
      <xdr:rowOff>175260</xdr:rowOff>
    </xdr:to>
    <xdr:pic>
      <xdr:nvPicPr>
        <xdr:cNvPr id="51" name="Рисунок 5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6920" y="14455140"/>
          <a:ext cx="6781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165650</xdr:colOff>
      <xdr:row>83</xdr:row>
      <xdr:rowOff>35860</xdr:rowOff>
    </xdr:from>
    <xdr:to>
      <xdr:col>7</xdr:col>
      <xdr:colOff>430305</xdr:colOff>
      <xdr:row>98</xdr:row>
      <xdr:rowOff>131938</xdr:rowOff>
    </xdr:to>
    <xdr:graphicFrame macro="">
      <xdr:nvGraphicFramePr>
        <xdr:cNvPr id="4" name="Диаграмма 3" title="График безубыточности изделия 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466163</xdr:colOff>
      <xdr:row>76</xdr:row>
      <xdr:rowOff>156882</xdr:rowOff>
    </xdr:from>
    <xdr:to>
      <xdr:col>18</xdr:col>
      <xdr:colOff>116540</xdr:colOff>
      <xdr:row>92</xdr:row>
      <xdr:rowOff>31376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B21" workbookViewId="0">
      <selection activeCell="D52" sqref="D52"/>
    </sheetView>
  </sheetViews>
  <sheetFormatPr defaultRowHeight="14.4" x14ac:dyDescent="0.3"/>
  <cols>
    <col min="1" max="1" width="18.88671875" customWidth="1"/>
    <col min="2" max="2" width="21.109375" bestFit="1" customWidth="1"/>
    <col min="3" max="3" width="15.6640625" customWidth="1"/>
    <col min="4" max="4" width="9.44140625" bestFit="1" customWidth="1"/>
    <col min="5" max="5" width="24.21875" customWidth="1"/>
  </cols>
  <sheetData>
    <row r="1" spans="1:9" x14ac:dyDescent="0.3">
      <c r="A1" s="1" t="s">
        <v>0</v>
      </c>
      <c r="B1" s="1"/>
      <c r="C1" s="1"/>
      <c r="D1" s="1"/>
    </row>
    <row r="2" spans="1:9" x14ac:dyDescent="0.3">
      <c r="A2" s="76" t="s">
        <v>1</v>
      </c>
      <c r="B2" s="76" t="s">
        <v>2</v>
      </c>
      <c r="C2" s="76" t="s">
        <v>3</v>
      </c>
      <c r="D2" s="76"/>
      <c r="E2" s="76"/>
      <c r="F2" s="76"/>
    </row>
    <row r="3" spans="1:9" x14ac:dyDescent="0.3">
      <c r="A3" s="76"/>
      <c r="B3" s="76"/>
      <c r="C3" s="76" t="s">
        <v>4</v>
      </c>
      <c r="D3" s="76"/>
      <c r="E3" s="76" t="s">
        <v>5</v>
      </c>
      <c r="F3" s="76"/>
    </row>
    <row r="4" spans="1:9" x14ac:dyDescent="0.3">
      <c r="A4" s="76"/>
      <c r="B4" s="76"/>
      <c r="C4" t="s">
        <v>35</v>
      </c>
      <c r="D4" t="s">
        <v>36</v>
      </c>
      <c r="E4" t="s">
        <v>35</v>
      </c>
      <c r="F4" t="s">
        <v>36</v>
      </c>
    </row>
    <row r="5" spans="1:9" x14ac:dyDescent="0.3">
      <c r="A5">
        <v>25</v>
      </c>
      <c r="B5">
        <v>12</v>
      </c>
      <c r="C5">
        <v>4950</v>
      </c>
      <c r="D5">
        <v>230</v>
      </c>
      <c r="E5">
        <v>5220</v>
      </c>
      <c r="F5">
        <v>175</v>
      </c>
    </row>
    <row r="6" spans="1:9" x14ac:dyDescent="0.3">
      <c r="A6" s="76" t="s">
        <v>6</v>
      </c>
      <c r="B6" s="76"/>
      <c r="C6" s="76"/>
      <c r="D6" s="76"/>
      <c r="E6" s="76"/>
      <c r="F6" s="76"/>
    </row>
    <row r="7" spans="1:9" x14ac:dyDescent="0.3">
      <c r="A7" s="80" t="s">
        <v>7</v>
      </c>
      <c r="B7" s="76"/>
      <c r="C7" s="76" t="s">
        <v>8</v>
      </c>
      <c r="D7" s="76" t="s">
        <v>9</v>
      </c>
      <c r="E7" s="76"/>
      <c r="F7" s="76" t="s">
        <v>10</v>
      </c>
      <c r="G7" s="76"/>
    </row>
    <row r="8" spans="1:9" x14ac:dyDescent="0.3">
      <c r="A8" s="76"/>
      <c r="B8" s="76"/>
      <c r="C8" s="76"/>
      <c r="D8" t="s">
        <v>37</v>
      </c>
      <c r="E8" t="s">
        <v>38</v>
      </c>
      <c r="F8" t="s">
        <v>39</v>
      </c>
      <c r="G8" t="s">
        <v>40</v>
      </c>
    </row>
    <row r="9" spans="1:9" x14ac:dyDescent="0.3">
      <c r="A9" s="79" t="s">
        <v>11</v>
      </c>
      <c r="B9" s="78"/>
      <c r="C9" s="2">
        <v>4</v>
      </c>
      <c r="D9" s="2">
        <v>1.8</v>
      </c>
      <c r="E9" s="2">
        <v>2.5</v>
      </c>
      <c r="F9" s="2">
        <v>1.03</v>
      </c>
      <c r="G9" s="2" t="s">
        <v>16</v>
      </c>
    </row>
    <row r="10" spans="1:9" x14ac:dyDescent="0.3">
      <c r="A10" s="78" t="s">
        <v>12</v>
      </c>
      <c r="B10" s="78"/>
      <c r="C10" s="2">
        <v>4</v>
      </c>
      <c r="D10" s="2">
        <v>2.4</v>
      </c>
      <c r="E10" s="2">
        <v>2.9</v>
      </c>
      <c r="F10" s="2">
        <v>1</v>
      </c>
      <c r="G10" s="2" t="s">
        <v>16</v>
      </c>
    </row>
    <row r="11" spans="1:9" x14ac:dyDescent="0.3">
      <c r="A11" s="78" t="s">
        <v>13</v>
      </c>
      <c r="B11" s="78"/>
      <c r="C11" s="2">
        <v>3</v>
      </c>
      <c r="D11" s="2">
        <v>4.3</v>
      </c>
      <c r="E11" s="2">
        <v>5</v>
      </c>
      <c r="F11" s="2">
        <v>1</v>
      </c>
      <c r="G11" s="2" t="s">
        <v>16</v>
      </c>
    </row>
    <row r="12" spans="1:9" x14ac:dyDescent="0.3">
      <c r="A12" s="78" t="s">
        <v>14</v>
      </c>
      <c r="B12" s="78"/>
      <c r="C12" s="2">
        <v>5</v>
      </c>
      <c r="D12" s="2">
        <v>6.5</v>
      </c>
      <c r="E12" s="2">
        <v>9.6</v>
      </c>
      <c r="F12" s="2">
        <v>1</v>
      </c>
      <c r="G12" s="2" t="s">
        <v>16</v>
      </c>
    </row>
    <row r="13" spans="1:9" x14ac:dyDescent="0.3">
      <c r="A13" s="78" t="s">
        <v>15</v>
      </c>
      <c r="B13" s="78"/>
      <c r="C13" s="2">
        <v>3</v>
      </c>
      <c r="D13" s="2">
        <v>0.5</v>
      </c>
      <c r="E13" s="2">
        <v>0.6</v>
      </c>
      <c r="F13" s="2" t="s">
        <v>16</v>
      </c>
      <c r="G13" s="2">
        <v>0.5</v>
      </c>
    </row>
    <row r="14" spans="1:9" x14ac:dyDescent="0.3">
      <c r="A14" s="2"/>
      <c r="B14" s="2"/>
      <c r="C14" s="2"/>
      <c r="D14" s="2"/>
      <c r="E14" s="2"/>
      <c r="F14" s="2"/>
      <c r="G14" s="2"/>
    </row>
    <row r="15" spans="1:9" x14ac:dyDescent="0.3">
      <c r="A15" s="79" t="s">
        <v>17</v>
      </c>
      <c r="B15" s="78"/>
      <c r="C15" s="78"/>
      <c r="D15" s="78"/>
      <c r="E15" s="78"/>
      <c r="F15" s="78"/>
      <c r="G15" s="2"/>
    </row>
    <row r="16" spans="1:9" x14ac:dyDescent="0.3">
      <c r="A16" s="78" t="s">
        <v>1</v>
      </c>
      <c r="B16" s="78" t="s">
        <v>18</v>
      </c>
      <c r="C16" s="78"/>
      <c r="D16" s="78"/>
      <c r="E16" s="78"/>
      <c r="F16" s="78"/>
      <c r="G16" s="78"/>
      <c r="H16" s="78"/>
      <c r="I16" s="78"/>
    </row>
    <row r="17" spans="1:9" x14ac:dyDescent="0.3">
      <c r="A17" s="78"/>
      <c r="B17" s="78" t="s">
        <v>4</v>
      </c>
      <c r="C17" s="78"/>
      <c r="D17" s="78"/>
      <c r="E17" s="78"/>
      <c r="F17" s="78" t="s">
        <v>5</v>
      </c>
      <c r="G17" s="78"/>
      <c r="H17" s="78"/>
      <c r="I17" s="78"/>
    </row>
    <row r="18" spans="1:9" x14ac:dyDescent="0.3">
      <c r="A18" s="78"/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21</v>
      </c>
      <c r="I18" t="s">
        <v>22</v>
      </c>
    </row>
    <row r="19" spans="1:9" x14ac:dyDescent="0.3">
      <c r="A19">
        <v>25</v>
      </c>
      <c r="B19">
        <v>1.3</v>
      </c>
      <c r="C19">
        <v>8</v>
      </c>
      <c r="D19">
        <v>12</v>
      </c>
      <c r="E19">
        <v>15</v>
      </c>
      <c r="F19">
        <v>5.3</v>
      </c>
      <c r="G19">
        <v>6.7</v>
      </c>
      <c r="H19">
        <v>8</v>
      </c>
      <c r="I19">
        <v>7</v>
      </c>
    </row>
    <row r="21" spans="1:9" x14ac:dyDescent="0.3">
      <c r="A21" t="s">
        <v>25</v>
      </c>
    </row>
    <row r="22" spans="1:9" x14ac:dyDescent="0.3">
      <c r="A22" t="s">
        <v>26</v>
      </c>
      <c r="B22">
        <v>46</v>
      </c>
    </row>
    <row r="23" spans="1:9" x14ac:dyDescent="0.3">
      <c r="A23" t="s">
        <v>27</v>
      </c>
      <c r="B23">
        <v>27</v>
      </c>
    </row>
    <row r="24" spans="1:9" x14ac:dyDescent="0.3">
      <c r="A24" t="s">
        <v>28</v>
      </c>
      <c r="B24">
        <v>20</v>
      </c>
    </row>
    <row r="25" spans="1:9" x14ac:dyDescent="0.3">
      <c r="A25" t="s">
        <v>29</v>
      </c>
      <c r="B25">
        <v>17</v>
      </c>
    </row>
    <row r="26" spans="1:9" x14ac:dyDescent="0.3">
      <c r="A26" t="s">
        <v>30</v>
      </c>
      <c r="B26">
        <v>25</v>
      </c>
    </row>
    <row r="27" spans="1:9" x14ac:dyDescent="0.3">
      <c r="A27" t="s">
        <v>31</v>
      </c>
      <c r="B27">
        <v>19</v>
      </c>
    </row>
    <row r="29" spans="1:9" x14ac:dyDescent="0.3">
      <c r="A29" s="76" t="s">
        <v>45</v>
      </c>
      <c r="B29" s="76"/>
      <c r="C29" s="76"/>
      <c r="D29" s="76"/>
      <c r="E29" s="76"/>
      <c r="F29" s="76"/>
    </row>
    <row r="30" spans="1:9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</row>
    <row r="31" spans="1:9" x14ac:dyDescent="0.3">
      <c r="A31">
        <v>1</v>
      </c>
      <c r="B31" t="s">
        <v>51</v>
      </c>
      <c r="C31" s="77" t="s">
        <v>52</v>
      </c>
      <c r="D31">
        <v>365</v>
      </c>
    </row>
    <row r="32" spans="1:9" x14ac:dyDescent="0.3">
      <c r="A32">
        <v>2</v>
      </c>
      <c r="B32" t="s">
        <v>54</v>
      </c>
      <c r="C32" s="77"/>
      <c r="D32">
        <v>117</v>
      </c>
    </row>
    <row r="33" spans="1:10" x14ac:dyDescent="0.3">
      <c r="A33">
        <v>3</v>
      </c>
      <c r="B33" t="s">
        <v>55</v>
      </c>
      <c r="C33" s="77"/>
      <c r="D33">
        <f>D31-D32</f>
        <v>248</v>
      </c>
      <c r="E33">
        <v>100</v>
      </c>
    </row>
    <row r="34" spans="1:10" x14ac:dyDescent="0.3">
      <c r="A34">
        <v>4</v>
      </c>
      <c r="B34" t="s">
        <v>56</v>
      </c>
      <c r="C34" s="77"/>
      <c r="D34">
        <f>$D$33/$E$33*E34</f>
        <v>25.295999999999999</v>
      </c>
      <c r="E34">
        <v>10.199999999999999</v>
      </c>
    </row>
    <row r="35" spans="1:10" x14ac:dyDescent="0.3">
      <c r="A35">
        <v>4.0999999999999996</v>
      </c>
      <c r="B35" t="s">
        <v>57</v>
      </c>
      <c r="C35" s="77"/>
      <c r="D35">
        <f t="shared" ref="D35:D38" si="0">$D$33/$E$33*E35</f>
        <v>14.879999999999999</v>
      </c>
      <c r="E35">
        <v>6</v>
      </c>
    </row>
    <row r="36" spans="1:10" x14ac:dyDescent="0.3">
      <c r="A36">
        <v>4.2</v>
      </c>
      <c r="B36" t="s">
        <v>58</v>
      </c>
      <c r="C36" s="77"/>
      <c r="D36">
        <f t="shared" si="0"/>
        <v>1.488</v>
      </c>
      <c r="E36">
        <v>0.6</v>
      </c>
    </row>
    <row r="37" spans="1:10" x14ac:dyDescent="0.3">
      <c r="A37">
        <v>4.3</v>
      </c>
      <c r="B37" t="s">
        <v>59</v>
      </c>
      <c r="C37" s="77"/>
      <c r="D37">
        <f t="shared" si="0"/>
        <v>1.488</v>
      </c>
      <c r="E37">
        <v>0.6</v>
      </c>
    </row>
    <row r="38" spans="1:10" x14ac:dyDescent="0.3">
      <c r="A38">
        <v>4.4000000000000004</v>
      </c>
      <c r="B38" t="s">
        <v>60</v>
      </c>
      <c r="C38" s="77"/>
      <c r="D38">
        <f t="shared" si="0"/>
        <v>0.99199999999999999</v>
      </c>
      <c r="E38">
        <v>0.4</v>
      </c>
    </row>
    <row r="39" spans="1:10" x14ac:dyDescent="0.3">
      <c r="A39">
        <v>4.5</v>
      </c>
      <c r="B39" t="s">
        <v>61</v>
      </c>
      <c r="C39" s="77"/>
      <c r="D39">
        <f>$D$33/$E$33*E39</f>
        <v>6.4480000000000004</v>
      </c>
      <c r="E39">
        <v>2.6</v>
      </c>
    </row>
    <row r="40" spans="1:10" x14ac:dyDescent="0.3">
      <c r="A40">
        <v>5</v>
      </c>
      <c r="B40" t="s">
        <v>62</v>
      </c>
      <c r="C40" s="77"/>
      <c r="D40">
        <f>D33-D34</f>
        <v>222.70400000000001</v>
      </c>
    </row>
    <row r="41" spans="1:10" x14ac:dyDescent="0.3">
      <c r="A41">
        <v>6</v>
      </c>
      <c r="B41" t="s">
        <v>63</v>
      </c>
      <c r="C41" s="77" t="s">
        <v>53</v>
      </c>
      <c r="D41">
        <v>8</v>
      </c>
    </row>
    <row r="42" spans="1:10" x14ac:dyDescent="0.3">
      <c r="A42">
        <v>7</v>
      </c>
      <c r="B42" t="s">
        <v>64</v>
      </c>
      <c r="C42" s="77"/>
      <c r="D42" s="10">
        <f>D40*D41</f>
        <v>1781.6320000000001</v>
      </c>
    </row>
    <row r="44" spans="1:10" ht="15" thickBot="1" x14ac:dyDescent="0.35">
      <c r="A44" s="82" t="s">
        <v>73</v>
      </c>
      <c r="B44" s="82"/>
      <c r="C44" s="82"/>
      <c r="D44" s="82"/>
      <c r="E44" s="82"/>
      <c r="F44" s="82"/>
      <c r="G44" s="82"/>
      <c r="H44" s="82"/>
      <c r="I44" s="82"/>
    </row>
    <row r="45" spans="1:10" ht="15" thickBot="1" x14ac:dyDescent="0.35">
      <c r="A45" s="3" t="s">
        <v>70</v>
      </c>
      <c r="B45" s="4">
        <v>1</v>
      </c>
      <c r="C45" s="4">
        <v>2</v>
      </c>
      <c r="D45" s="4">
        <v>3</v>
      </c>
      <c r="E45" s="4">
        <v>4</v>
      </c>
      <c r="F45" s="4">
        <v>5</v>
      </c>
      <c r="G45" s="4">
        <v>6</v>
      </c>
      <c r="H45" s="4">
        <v>7</v>
      </c>
      <c r="I45" s="4">
        <v>8</v>
      </c>
      <c r="J45" s="5"/>
    </row>
    <row r="46" spans="1:10" ht="15" thickBot="1" x14ac:dyDescent="0.35">
      <c r="A46" s="6" t="s">
        <v>71</v>
      </c>
      <c r="B46" s="7">
        <v>1</v>
      </c>
      <c r="C46" s="7">
        <v>1.24</v>
      </c>
      <c r="D46" s="7">
        <v>1.45</v>
      </c>
      <c r="E46" s="7">
        <v>1.62</v>
      </c>
      <c r="F46" s="7">
        <v>1.76</v>
      </c>
      <c r="G46" s="7">
        <v>1.9</v>
      </c>
      <c r="H46" s="7">
        <v>2.15</v>
      </c>
      <c r="I46" s="7">
        <v>2.39</v>
      </c>
      <c r="J46" s="5"/>
    </row>
    <row r="47" spans="1:10" ht="54" customHeight="1" x14ac:dyDescent="0.3">
      <c r="A47" s="83" t="s">
        <v>72</v>
      </c>
      <c r="B47" s="85">
        <v>109.95</v>
      </c>
      <c r="C47" s="87">
        <v>136.34</v>
      </c>
      <c r="D47" s="87">
        <v>159.43</v>
      </c>
      <c r="E47" s="87">
        <v>178.12</v>
      </c>
      <c r="F47" s="87">
        <v>193.51</v>
      </c>
      <c r="G47" s="87">
        <v>208.91</v>
      </c>
      <c r="H47" s="87">
        <v>236.39</v>
      </c>
      <c r="I47" s="87">
        <v>262.77999999999997</v>
      </c>
      <c r="J47" s="5"/>
    </row>
    <row r="48" spans="1:10" ht="15" thickBot="1" x14ac:dyDescent="0.35">
      <c r="A48" s="84"/>
      <c r="B48" s="86"/>
      <c r="C48" s="88"/>
      <c r="D48" s="88"/>
      <c r="E48" s="88"/>
      <c r="F48" s="88"/>
      <c r="G48" s="88"/>
      <c r="H48" s="88"/>
      <c r="I48" s="88"/>
      <c r="J48" s="5"/>
    </row>
    <row r="50" spans="1:17" x14ac:dyDescent="0.3">
      <c r="A50" s="81" t="s">
        <v>215</v>
      </c>
      <c r="B50" s="77"/>
      <c r="C50" s="77"/>
      <c r="D50" s="77"/>
      <c r="E50" s="77"/>
      <c r="F50" s="77"/>
      <c r="G50" s="77"/>
      <c r="H50" s="77"/>
      <c r="I50" s="77"/>
    </row>
    <row r="51" spans="1:17" ht="43.2" x14ac:dyDescent="0.3">
      <c r="A51" s="11" t="s">
        <v>216</v>
      </c>
      <c r="B51" s="11">
        <v>1</v>
      </c>
      <c r="C51" s="11">
        <v>2</v>
      </c>
      <c r="D51" s="11">
        <v>3</v>
      </c>
      <c r="E51" s="11">
        <v>4</v>
      </c>
      <c r="F51" s="11">
        <v>5</v>
      </c>
      <c r="G51" s="11">
        <v>6</v>
      </c>
      <c r="H51" s="11">
        <v>7</v>
      </c>
      <c r="I51" s="11">
        <v>8</v>
      </c>
      <c r="J51" s="11">
        <v>9</v>
      </c>
      <c r="K51" s="11">
        <v>10</v>
      </c>
      <c r="L51" s="11">
        <v>11</v>
      </c>
      <c r="M51" s="11">
        <v>12</v>
      </c>
      <c r="N51" s="11">
        <v>13</v>
      </c>
      <c r="O51" s="11">
        <v>14</v>
      </c>
      <c r="P51" s="11">
        <v>15</v>
      </c>
      <c r="Q51" s="11">
        <v>16</v>
      </c>
    </row>
    <row r="52" spans="1:17" s="9" customFormat="1" x14ac:dyDescent="0.3">
      <c r="A52" s="9" t="s">
        <v>217</v>
      </c>
      <c r="B52" s="14">
        <v>1</v>
      </c>
      <c r="C52" s="14">
        <v>1.36</v>
      </c>
      <c r="D52" s="14">
        <v>1.59</v>
      </c>
      <c r="E52" s="14">
        <v>1.73</v>
      </c>
      <c r="F52" s="14">
        <v>1.82</v>
      </c>
      <c r="G52" s="14">
        <v>2</v>
      </c>
      <c r="H52" s="14">
        <v>2.27</v>
      </c>
      <c r="I52" s="14">
        <v>2.54</v>
      </c>
      <c r="J52" s="14">
        <v>2.91</v>
      </c>
      <c r="K52" s="14">
        <v>3.27</v>
      </c>
      <c r="L52" s="14">
        <v>3.68</v>
      </c>
      <c r="M52" s="14">
        <v>4.18</v>
      </c>
      <c r="N52" s="14">
        <v>4.7300000000000004</v>
      </c>
      <c r="O52" s="14">
        <v>5.32</v>
      </c>
      <c r="P52" s="14">
        <v>5.56</v>
      </c>
      <c r="Q52" s="14">
        <v>5.95</v>
      </c>
    </row>
  </sheetData>
  <mergeCells count="34">
    <mergeCell ref="A50:I50"/>
    <mergeCell ref="A44:I44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A9:B9"/>
    <mergeCell ref="C2:F2"/>
    <mergeCell ref="C3:D3"/>
    <mergeCell ref="E3:F3"/>
    <mergeCell ref="A2:A4"/>
    <mergeCell ref="B2:B4"/>
    <mergeCell ref="A6:F6"/>
    <mergeCell ref="A7:B8"/>
    <mergeCell ref="C7:C8"/>
    <mergeCell ref="D7:E7"/>
    <mergeCell ref="F7:G7"/>
    <mergeCell ref="A29:F29"/>
    <mergeCell ref="C31:C40"/>
    <mergeCell ref="C41:C42"/>
    <mergeCell ref="A10:B10"/>
    <mergeCell ref="A11:B11"/>
    <mergeCell ref="A12:B12"/>
    <mergeCell ref="A13:B13"/>
    <mergeCell ref="A15:F15"/>
    <mergeCell ref="B16:I16"/>
    <mergeCell ref="B17:E17"/>
    <mergeCell ref="F17:I17"/>
    <mergeCell ref="A16:A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zoomScale="85" zoomScaleNormal="85" workbookViewId="0">
      <selection activeCell="C26" sqref="C26"/>
    </sheetView>
  </sheetViews>
  <sheetFormatPr defaultRowHeight="14.4" x14ac:dyDescent="0.3"/>
  <cols>
    <col min="2" max="2" width="35.33203125" customWidth="1"/>
    <col min="3" max="3" width="19.77734375" customWidth="1"/>
    <col min="4" max="4" width="14.33203125" customWidth="1"/>
    <col min="5" max="5" width="15" customWidth="1"/>
    <col min="6" max="6" width="15.88671875" bestFit="1" customWidth="1"/>
    <col min="7" max="7" width="15.5546875" customWidth="1"/>
    <col min="8" max="8" width="10.88671875" customWidth="1"/>
    <col min="12" max="12" width="48.88671875" bestFit="1" customWidth="1"/>
    <col min="13" max="13" width="17.109375" customWidth="1"/>
    <col min="14" max="14" width="12.77734375" customWidth="1"/>
  </cols>
  <sheetData>
    <row r="1" spans="1:14" s="45" customFormat="1" x14ac:dyDescent="0.3">
      <c r="A1" s="107" t="s">
        <v>292</v>
      </c>
      <c r="B1" s="107"/>
      <c r="C1" s="107"/>
      <c r="D1" s="107"/>
      <c r="E1" s="107"/>
      <c r="F1" s="107"/>
      <c r="G1" s="107"/>
    </row>
    <row r="2" spans="1:14" s="44" customFormat="1" ht="43.2" x14ac:dyDescent="0.3">
      <c r="A2" s="51" t="s">
        <v>142</v>
      </c>
      <c r="B2" s="51" t="s">
        <v>279</v>
      </c>
      <c r="C2" s="51" t="s">
        <v>48</v>
      </c>
      <c r="D2" s="51" t="s">
        <v>280</v>
      </c>
      <c r="E2" s="51" t="s">
        <v>281</v>
      </c>
      <c r="F2" s="51" t="s">
        <v>282</v>
      </c>
      <c r="G2" s="51" t="s">
        <v>283</v>
      </c>
    </row>
    <row r="3" spans="1:14" x14ac:dyDescent="0.3">
      <c r="A3" s="58">
        <v>1</v>
      </c>
      <c r="B3" s="58">
        <v>2</v>
      </c>
      <c r="C3" s="58">
        <v>3</v>
      </c>
      <c r="D3" s="58">
        <v>4</v>
      </c>
      <c r="E3" s="58">
        <v>5</v>
      </c>
      <c r="F3" s="58" t="s">
        <v>284</v>
      </c>
      <c r="G3" s="58" t="s">
        <v>285</v>
      </c>
      <c r="K3" s="108" t="s">
        <v>388</v>
      </c>
      <c r="L3" s="108"/>
      <c r="M3" s="108"/>
      <c r="N3" s="108"/>
    </row>
    <row r="4" spans="1:14" x14ac:dyDescent="0.3">
      <c r="A4" s="103" t="s">
        <v>290</v>
      </c>
      <c r="B4" s="16" t="s">
        <v>286</v>
      </c>
      <c r="C4" s="16" t="s">
        <v>288</v>
      </c>
      <c r="D4" s="16">
        <v>1.3</v>
      </c>
      <c r="E4" s="16">
        <v>46</v>
      </c>
      <c r="F4" s="19">
        <f>E4/1.2</f>
        <v>38.333333333333336</v>
      </c>
      <c r="G4" s="19">
        <f>D4*F4</f>
        <v>49.833333333333336</v>
      </c>
      <c r="K4" s="71" t="s">
        <v>142</v>
      </c>
      <c r="L4" s="71" t="s">
        <v>365</v>
      </c>
      <c r="M4" s="71" t="s">
        <v>48</v>
      </c>
      <c r="N4" s="71" t="s">
        <v>366</v>
      </c>
    </row>
    <row r="5" spans="1:14" x14ac:dyDescent="0.3">
      <c r="A5" s="97"/>
      <c r="B5" s="16" t="s">
        <v>287</v>
      </c>
      <c r="C5" s="16" t="s">
        <v>289</v>
      </c>
      <c r="D5" s="16">
        <v>8</v>
      </c>
      <c r="E5" s="16">
        <v>17</v>
      </c>
      <c r="F5" s="19">
        <f t="shared" ref="F5:F12" si="0">E5/1.2</f>
        <v>14.166666666666668</v>
      </c>
      <c r="G5" s="19">
        <f t="shared" ref="G5:G12" si="1">D5*F5</f>
        <v>113.33333333333334</v>
      </c>
      <c r="K5" s="72">
        <v>1</v>
      </c>
      <c r="L5" s="71" t="s">
        <v>367</v>
      </c>
      <c r="M5" s="71" t="s">
        <v>387</v>
      </c>
      <c r="N5" s="73">
        <v>1024809678</v>
      </c>
    </row>
    <row r="6" spans="1:14" x14ac:dyDescent="0.3">
      <c r="A6" s="97"/>
      <c r="B6" s="16" t="s">
        <v>30</v>
      </c>
      <c r="C6" s="16" t="s">
        <v>289</v>
      </c>
      <c r="D6" s="16">
        <v>12</v>
      </c>
      <c r="E6" s="16">
        <v>25</v>
      </c>
      <c r="F6" s="19">
        <f t="shared" si="0"/>
        <v>20.833333333333336</v>
      </c>
      <c r="G6" s="19">
        <f t="shared" si="1"/>
        <v>250.00000000000003</v>
      </c>
      <c r="K6" s="72">
        <v>2</v>
      </c>
      <c r="L6" s="71" t="s">
        <v>368</v>
      </c>
      <c r="M6" s="71" t="s">
        <v>369</v>
      </c>
      <c r="N6" s="72">
        <v>1203</v>
      </c>
    </row>
    <row r="7" spans="1:14" x14ac:dyDescent="0.3">
      <c r="A7" s="97"/>
      <c r="B7" s="16" t="s">
        <v>31</v>
      </c>
      <c r="C7" s="16" t="s">
        <v>289</v>
      </c>
      <c r="D7" s="16">
        <v>15</v>
      </c>
      <c r="E7" s="16">
        <v>19</v>
      </c>
      <c r="F7" s="19">
        <f t="shared" si="0"/>
        <v>15.833333333333334</v>
      </c>
      <c r="G7" s="19">
        <f t="shared" si="1"/>
        <v>237.5</v>
      </c>
      <c r="K7" s="72">
        <v>3</v>
      </c>
      <c r="L7" s="71" t="s">
        <v>370</v>
      </c>
      <c r="M7" s="109" t="s">
        <v>371</v>
      </c>
      <c r="N7" s="72">
        <f>SUM(N8:N11)</f>
        <v>151</v>
      </c>
    </row>
    <row r="8" spans="1:14" x14ac:dyDescent="0.3">
      <c r="A8" s="98"/>
      <c r="B8" s="59" t="s">
        <v>260</v>
      </c>
      <c r="C8" s="16"/>
      <c r="D8" s="16"/>
      <c r="E8" s="16"/>
      <c r="F8" s="19"/>
      <c r="G8" s="19">
        <f>SUM(G4:G7)</f>
        <v>650.66666666666674</v>
      </c>
      <c r="K8" s="72">
        <v>3.1</v>
      </c>
      <c r="L8" s="71" t="s">
        <v>372</v>
      </c>
      <c r="M8" s="109"/>
      <c r="N8" s="72">
        <v>123</v>
      </c>
    </row>
    <row r="9" spans="1:14" x14ac:dyDescent="0.3">
      <c r="A9" s="103" t="s">
        <v>291</v>
      </c>
      <c r="B9" s="16" t="s">
        <v>27</v>
      </c>
      <c r="C9" s="16" t="s">
        <v>288</v>
      </c>
      <c r="D9" s="16">
        <v>5.3</v>
      </c>
      <c r="E9" s="16">
        <v>27</v>
      </c>
      <c r="F9" s="19">
        <f t="shared" si="0"/>
        <v>22.5</v>
      </c>
      <c r="G9" s="19">
        <f t="shared" si="1"/>
        <v>119.25</v>
      </c>
      <c r="K9" s="72">
        <v>3.2</v>
      </c>
      <c r="L9" s="71" t="s">
        <v>373</v>
      </c>
      <c r="M9" s="109"/>
      <c r="N9" s="72">
        <v>3</v>
      </c>
    </row>
    <row r="10" spans="1:14" x14ac:dyDescent="0.3">
      <c r="A10" s="97"/>
      <c r="B10" s="16" t="s">
        <v>28</v>
      </c>
      <c r="C10" s="16" t="s">
        <v>288</v>
      </c>
      <c r="D10" s="16">
        <v>6.7</v>
      </c>
      <c r="E10" s="16">
        <v>20</v>
      </c>
      <c r="F10" s="19">
        <f t="shared" si="0"/>
        <v>16.666666666666668</v>
      </c>
      <c r="G10" s="19">
        <f t="shared" si="1"/>
        <v>111.66666666666667</v>
      </c>
      <c r="K10" s="72">
        <v>3.3</v>
      </c>
      <c r="L10" s="71" t="s">
        <v>374</v>
      </c>
      <c r="M10" s="109"/>
      <c r="N10" s="72">
        <v>10</v>
      </c>
    </row>
    <row r="11" spans="1:14" x14ac:dyDescent="0.3">
      <c r="A11" s="97"/>
      <c r="B11" s="16" t="s">
        <v>30</v>
      </c>
      <c r="C11" s="16" t="s">
        <v>289</v>
      </c>
      <c r="D11" s="16">
        <v>8</v>
      </c>
      <c r="E11" s="16">
        <v>25</v>
      </c>
      <c r="F11" s="19">
        <f t="shared" si="0"/>
        <v>20.833333333333336</v>
      </c>
      <c r="G11" s="19">
        <f t="shared" si="1"/>
        <v>166.66666666666669</v>
      </c>
      <c r="K11" s="72">
        <v>3.4</v>
      </c>
      <c r="L11" s="71" t="s">
        <v>375</v>
      </c>
      <c r="M11" s="109"/>
      <c r="N11" s="72">
        <v>15</v>
      </c>
    </row>
    <row r="12" spans="1:14" x14ac:dyDescent="0.3">
      <c r="A12" s="97"/>
      <c r="B12" s="16" t="s">
        <v>31</v>
      </c>
      <c r="C12" s="16" t="s">
        <v>289</v>
      </c>
      <c r="D12" s="16">
        <v>7</v>
      </c>
      <c r="E12" s="16">
        <v>19</v>
      </c>
      <c r="F12" s="19">
        <f t="shared" si="0"/>
        <v>15.833333333333334</v>
      </c>
      <c r="G12" s="19">
        <f t="shared" si="1"/>
        <v>110.83333333333334</v>
      </c>
      <c r="K12" s="72">
        <v>4</v>
      </c>
      <c r="L12" s="71" t="s">
        <v>103</v>
      </c>
      <c r="M12" s="71" t="s">
        <v>387</v>
      </c>
      <c r="N12" s="73">
        <f>Приложения!AE78</f>
        <v>102312929.64206159</v>
      </c>
    </row>
    <row r="13" spans="1:14" x14ac:dyDescent="0.3">
      <c r="A13" s="98"/>
      <c r="B13" s="16" t="s">
        <v>260</v>
      </c>
      <c r="C13" s="16"/>
      <c r="D13" s="16"/>
      <c r="E13" s="16"/>
      <c r="F13" s="16"/>
      <c r="G13" s="19">
        <f>SUM(G9:G12)</f>
        <v>508.41666666666674</v>
      </c>
      <c r="K13" s="72">
        <v>5</v>
      </c>
      <c r="L13" s="71" t="s">
        <v>376</v>
      </c>
      <c r="M13" s="110" t="s">
        <v>387</v>
      </c>
      <c r="N13" s="72"/>
    </row>
    <row r="14" spans="1:14" x14ac:dyDescent="0.3">
      <c r="A14" s="104" t="s">
        <v>307</v>
      </c>
      <c r="B14" s="104"/>
      <c r="C14" s="104"/>
      <c r="D14" s="64"/>
      <c r="E14" s="64"/>
      <c r="F14" s="64"/>
      <c r="G14" s="64"/>
      <c r="K14" s="71"/>
      <c r="L14" s="71" t="s">
        <v>377</v>
      </c>
      <c r="M14" s="110"/>
      <c r="N14" s="19">
        <f>D51</f>
        <v>29055.599926583338</v>
      </c>
    </row>
    <row r="15" spans="1:14" x14ac:dyDescent="0.3">
      <c r="A15" s="16" t="s">
        <v>142</v>
      </c>
      <c r="B15" s="16" t="s">
        <v>298</v>
      </c>
      <c r="C15" s="16" t="s">
        <v>299</v>
      </c>
      <c r="K15" s="71"/>
      <c r="L15" s="71" t="s">
        <v>378</v>
      </c>
      <c r="M15" s="110"/>
      <c r="N15" s="19">
        <f>F51</f>
        <v>38505.95020300879</v>
      </c>
    </row>
    <row r="16" spans="1:14" x14ac:dyDescent="0.3">
      <c r="A16" s="60">
        <v>1</v>
      </c>
      <c r="B16" s="60" t="s">
        <v>293</v>
      </c>
      <c r="C16" s="16">
        <f>SUM(C17:C20)</f>
        <v>39761804.723961599</v>
      </c>
      <c r="K16" s="72">
        <v>6</v>
      </c>
      <c r="L16" s="71" t="s">
        <v>379</v>
      </c>
      <c r="M16" s="110" t="s">
        <v>387</v>
      </c>
      <c r="N16" s="72"/>
    </row>
    <row r="17" spans="1:14" x14ac:dyDescent="0.3">
      <c r="A17" s="61" t="s">
        <v>147</v>
      </c>
      <c r="B17" s="60" t="s">
        <v>294</v>
      </c>
      <c r="C17" s="19">
        <f>Приложения!AE42</f>
        <v>6572312.9135999996</v>
      </c>
      <c r="K17" s="71"/>
      <c r="L17" s="71" t="s">
        <v>377</v>
      </c>
      <c r="M17" s="110"/>
      <c r="N17" s="73">
        <f>B53</f>
        <v>41821.684507289785</v>
      </c>
    </row>
    <row r="18" spans="1:14" x14ac:dyDescent="0.3">
      <c r="A18" s="61" t="s">
        <v>148</v>
      </c>
      <c r="B18" s="60" t="s">
        <v>295</v>
      </c>
      <c r="C18" s="19">
        <f>Приложения!AE46</f>
        <v>11979414.972000003</v>
      </c>
      <c r="K18" s="71"/>
      <c r="L18" s="71" t="s">
        <v>378</v>
      </c>
      <c r="M18" s="110"/>
      <c r="N18" s="73">
        <f>C53</f>
        <v>70019.968779715506</v>
      </c>
    </row>
    <row r="19" spans="1:14" x14ac:dyDescent="0.3">
      <c r="A19" s="61" t="s">
        <v>149</v>
      </c>
      <c r="B19" s="60" t="s">
        <v>296</v>
      </c>
      <c r="C19" s="19">
        <f>Приложения!AE56</f>
        <v>10543630.809599999</v>
      </c>
      <c r="K19" s="72">
        <v>7</v>
      </c>
      <c r="L19" s="71" t="s">
        <v>380</v>
      </c>
      <c r="M19" s="71" t="s">
        <v>387</v>
      </c>
      <c r="N19" s="73">
        <f>E56</f>
        <v>572521575.3411994</v>
      </c>
    </row>
    <row r="20" spans="1:14" x14ac:dyDescent="0.3">
      <c r="A20" s="61" t="s">
        <v>300</v>
      </c>
      <c r="B20" s="60" t="s">
        <v>297</v>
      </c>
      <c r="C20" s="19">
        <f>Приложения!AE70</f>
        <v>10666446.028761601</v>
      </c>
      <c r="K20" s="72">
        <v>8</v>
      </c>
      <c r="L20" s="71" t="s">
        <v>381</v>
      </c>
      <c r="M20" s="71" t="s">
        <v>387</v>
      </c>
      <c r="N20" s="73">
        <f>E58</f>
        <v>485330344.04766941</v>
      </c>
    </row>
    <row r="21" spans="1:14" x14ac:dyDescent="0.3">
      <c r="A21" s="16">
        <v>2</v>
      </c>
      <c r="B21" s="60" t="s">
        <v>301</v>
      </c>
      <c r="C21" s="16">
        <f>0.3*C16</f>
        <v>11928541.417188479</v>
      </c>
      <c r="K21" s="72">
        <v>9</v>
      </c>
      <c r="L21" s="71" t="s">
        <v>382</v>
      </c>
      <c r="M21" s="71" t="s">
        <v>387</v>
      </c>
      <c r="N21" s="73">
        <f>E60</f>
        <v>227695295.64490595</v>
      </c>
    </row>
    <row r="22" spans="1:14" ht="28.8" customHeight="1" x14ac:dyDescent="0.3">
      <c r="A22" s="16">
        <v>3</v>
      </c>
      <c r="B22" s="62" t="s">
        <v>302</v>
      </c>
      <c r="C22" s="65">
        <f>G39</f>
        <v>137110278.59728506</v>
      </c>
      <c r="K22" s="72">
        <v>10</v>
      </c>
      <c r="L22" s="71" t="s">
        <v>383</v>
      </c>
      <c r="M22" s="71" t="s">
        <v>387</v>
      </c>
      <c r="N22" s="73">
        <f>E62</f>
        <v>182156236.51592475</v>
      </c>
    </row>
    <row r="23" spans="1:14" x14ac:dyDescent="0.3">
      <c r="A23" s="16">
        <v>4</v>
      </c>
      <c r="B23" s="63" t="s">
        <v>303</v>
      </c>
      <c r="C23" s="16">
        <f>C16*0.6</f>
        <v>23857082.834376957</v>
      </c>
      <c r="K23" s="72">
        <v>11</v>
      </c>
      <c r="L23" s="71" t="s">
        <v>384</v>
      </c>
      <c r="M23" s="71" t="s">
        <v>225</v>
      </c>
      <c r="N23" s="74">
        <f>100*E62/N5</f>
        <v>17.77464054315115</v>
      </c>
    </row>
    <row r="24" spans="1:14" x14ac:dyDescent="0.3">
      <c r="A24" s="16">
        <v>5</v>
      </c>
      <c r="B24" s="63" t="s">
        <v>304</v>
      </c>
      <c r="C24" s="16">
        <f>SUM(C16,C21,C22,C23)</f>
        <v>212657707.57281211</v>
      </c>
      <c r="K24" s="72">
        <v>12</v>
      </c>
      <c r="L24" s="71" t="s">
        <v>385</v>
      </c>
      <c r="M24" s="71" t="s">
        <v>386</v>
      </c>
      <c r="N24" s="74">
        <f>N5/E62</f>
        <v>5.6259928158452457</v>
      </c>
    </row>
    <row r="25" spans="1:14" x14ac:dyDescent="0.3">
      <c r="A25" s="16">
        <v>6</v>
      </c>
      <c r="B25" s="63" t="s">
        <v>305</v>
      </c>
      <c r="C25" s="19">
        <f>SUM(Приложения!O21,Приложения!O22)</f>
        <v>55849218.676874995</v>
      </c>
    </row>
    <row r="26" spans="1:14" x14ac:dyDescent="0.3">
      <c r="A26" s="16">
        <v>7</v>
      </c>
      <c r="B26" s="63" t="s">
        <v>306</v>
      </c>
      <c r="C26" s="19">
        <f>C24/C25*100</f>
        <v>380.77114167555123</v>
      </c>
    </row>
    <row r="27" spans="1:14" x14ac:dyDescent="0.3">
      <c r="A27" s="105" t="s">
        <v>308</v>
      </c>
      <c r="B27" s="105"/>
      <c r="C27" s="105"/>
      <c r="K27" s="76" t="s">
        <v>389</v>
      </c>
      <c r="L27" s="76"/>
    </row>
    <row r="28" spans="1:14" s="56" customFormat="1" ht="57.6" x14ac:dyDescent="0.3">
      <c r="A28" s="56" t="s">
        <v>142</v>
      </c>
      <c r="B28" s="58" t="s">
        <v>309</v>
      </c>
      <c r="C28" s="57" t="s">
        <v>310</v>
      </c>
      <c r="D28" s="57" t="s">
        <v>322</v>
      </c>
      <c r="E28" s="57" t="s">
        <v>321</v>
      </c>
      <c r="F28" s="57" t="s">
        <v>320</v>
      </c>
      <c r="G28" s="57" t="s">
        <v>323</v>
      </c>
    </row>
    <row r="29" spans="1:14" x14ac:dyDescent="0.3">
      <c r="A29">
        <v>1</v>
      </c>
      <c r="B29" s="16">
        <v>2</v>
      </c>
      <c r="C29" s="16">
        <v>3</v>
      </c>
      <c r="D29" s="16">
        <v>4</v>
      </c>
      <c r="E29" s="16">
        <v>5</v>
      </c>
      <c r="F29" s="16">
        <v>6</v>
      </c>
      <c r="G29" s="16">
        <v>7</v>
      </c>
      <c r="L29" t="s">
        <v>390</v>
      </c>
      <c r="M29" s="75">
        <f>Лист1!C5*'Расчёт финансовых результатов'!B53+Лист1!E5*'Расчёт финансовых результатов'!C53</f>
        <v>572521575.3411994</v>
      </c>
    </row>
    <row r="30" spans="1:14" x14ac:dyDescent="0.3">
      <c r="A30">
        <v>1</v>
      </c>
      <c r="B30" s="16" t="s">
        <v>311</v>
      </c>
      <c r="C30" s="16">
        <v>7</v>
      </c>
      <c r="D30" s="16">
        <v>17</v>
      </c>
      <c r="E30" s="42">
        <v>347221890</v>
      </c>
      <c r="F30" s="19">
        <f>1/D30*100</f>
        <v>5.8823529411764701</v>
      </c>
      <c r="G30" s="65">
        <f>F30/100*E30</f>
        <v>20424817.058823526</v>
      </c>
      <c r="L30" t="s">
        <v>391</v>
      </c>
      <c r="M30" s="10">
        <f>Лист1!C5*SUM(Лист1!D9:D13)+Лист1!E5*SUM(Лист1!E9:E13)</f>
        <v>184257</v>
      </c>
    </row>
    <row r="31" spans="1:14" x14ac:dyDescent="0.3">
      <c r="A31">
        <v>2</v>
      </c>
      <c r="B31" s="16" t="s">
        <v>312</v>
      </c>
      <c r="C31" s="16">
        <v>6</v>
      </c>
      <c r="D31" s="16">
        <v>13</v>
      </c>
      <c r="E31" s="42">
        <v>207813600</v>
      </c>
      <c r="F31" s="19">
        <f t="shared" ref="F31:F38" si="2">1/D31*100</f>
        <v>7.6923076923076925</v>
      </c>
      <c r="G31" s="65">
        <f t="shared" ref="G31:G38" si="3">F31/100*E31</f>
        <v>15985661.53846154</v>
      </c>
    </row>
    <row r="32" spans="1:14" x14ac:dyDescent="0.3">
      <c r="A32">
        <v>3</v>
      </c>
      <c r="B32" s="16" t="s">
        <v>313</v>
      </c>
      <c r="C32" s="16">
        <v>5</v>
      </c>
      <c r="D32" s="16">
        <v>9</v>
      </c>
      <c r="E32" s="42">
        <v>202041000</v>
      </c>
      <c r="F32" s="19">
        <f t="shared" si="2"/>
        <v>11.111111111111111</v>
      </c>
      <c r="G32" s="65">
        <f t="shared" si="3"/>
        <v>22449000</v>
      </c>
    </row>
    <row r="33" spans="1:7" x14ac:dyDescent="0.3">
      <c r="A33">
        <v>4</v>
      </c>
      <c r="B33" s="16" t="s">
        <v>314</v>
      </c>
      <c r="C33" s="16">
        <v>5</v>
      </c>
      <c r="D33" s="16">
        <v>9</v>
      </c>
      <c r="E33" s="42">
        <v>28863000</v>
      </c>
      <c r="F33" s="19">
        <f t="shared" si="2"/>
        <v>11.111111111111111</v>
      </c>
      <c r="G33" s="65">
        <f t="shared" si="3"/>
        <v>3207000</v>
      </c>
    </row>
    <row r="34" spans="1:7" x14ac:dyDescent="0.3">
      <c r="A34">
        <v>5</v>
      </c>
      <c r="B34" s="16" t="s">
        <v>315</v>
      </c>
      <c r="C34" s="16">
        <v>4</v>
      </c>
      <c r="D34" s="16">
        <v>6</v>
      </c>
      <c r="E34" s="42">
        <v>14431500</v>
      </c>
      <c r="F34" s="19">
        <f t="shared" si="2"/>
        <v>16.666666666666664</v>
      </c>
      <c r="G34" s="65">
        <f t="shared" si="3"/>
        <v>2405249.9999999995</v>
      </c>
    </row>
    <row r="35" spans="1:7" x14ac:dyDescent="0.3">
      <c r="A35">
        <v>6</v>
      </c>
      <c r="B35" s="16" t="s">
        <v>316</v>
      </c>
      <c r="C35" s="16">
        <v>3</v>
      </c>
      <c r="D35" s="16">
        <v>4</v>
      </c>
      <c r="E35" s="42">
        <v>25014600</v>
      </c>
      <c r="F35" s="19">
        <f t="shared" si="2"/>
        <v>25</v>
      </c>
      <c r="G35" s="65">
        <f t="shared" si="3"/>
        <v>6253650</v>
      </c>
    </row>
    <row r="36" spans="1:7" x14ac:dyDescent="0.3">
      <c r="A36">
        <v>7</v>
      </c>
      <c r="B36" s="16" t="s">
        <v>317</v>
      </c>
      <c r="C36" s="16">
        <v>2</v>
      </c>
      <c r="D36" s="16">
        <v>3</v>
      </c>
      <c r="E36" s="42">
        <v>76968000</v>
      </c>
      <c r="F36" s="19">
        <f t="shared" si="2"/>
        <v>33.333333333333329</v>
      </c>
      <c r="G36" s="65">
        <f t="shared" si="3"/>
        <v>25655999.999999993</v>
      </c>
    </row>
    <row r="37" spans="1:7" x14ac:dyDescent="0.3">
      <c r="A37">
        <v>8</v>
      </c>
      <c r="B37" s="16" t="s">
        <v>318</v>
      </c>
      <c r="C37" s="16">
        <v>2</v>
      </c>
      <c r="D37" s="16">
        <v>3</v>
      </c>
      <c r="E37" s="42">
        <v>115452000</v>
      </c>
      <c r="F37" s="19">
        <f t="shared" si="2"/>
        <v>33.333333333333329</v>
      </c>
      <c r="G37" s="65">
        <f t="shared" si="3"/>
        <v>38483999.999999993</v>
      </c>
    </row>
    <row r="38" spans="1:7" x14ac:dyDescent="0.3">
      <c r="A38">
        <v>9</v>
      </c>
      <c r="B38" s="16" t="s">
        <v>319</v>
      </c>
      <c r="C38" s="16">
        <v>2</v>
      </c>
      <c r="D38" s="16">
        <v>3</v>
      </c>
      <c r="E38" s="42">
        <v>6734700</v>
      </c>
      <c r="F38" s="19">
        <f t="shared" si="2"/>
        <v>33.333333333333329</v>
      </c>
      <c r="G38" s="65">
        <f t="shared" si="3"/>
        <v>2244899.9999999995</v>
      </c>
    </row>
    <row r="39" spans="1:7" x14ac:dyDescent="0.3">
      <c r="B39" s="16" t="s">
        <v>260</v>
      </c>
      <c r="C39" s="16"/>
      <c r="D39" s="16"/>
      <c r="E39" s="16"/>
      <c r="F39" s="16"/>
      <c r="G39" s="65">
        <f>SUM(G30:G38)</f>
        <v>137110278.59728506</v>
      </c>
    </row>
    <row r="40" spans="1:7" x14ac:dyDescent="0.3">
      <c r="A40" s="76" t="s">
        <v>324</v>
      </c>
      <c r="B40" s="76"/>
      <c r="C40" s="76"/>
    </row>
    <row r="41" spans="1:7" x14ac:dyDescent="0.3">
      <c r="A41" s="102" t="s">
        <v>142</v>
      </c>
      <c r="B41" s="102" t="s">
        <v>325</v>
      </c>
      <c r="C41" s="106" t="s">
        <v>326</v>
      </c>
      <c r="D41" s="102" t="s">
        <v>327</v>
      </c>
      <c r="E41" s="102"/>
      <c r="F41" s="102"/>
      <c r="G41" s="102"/>
    </row>
    <row r="42" spans="1:7" x14ac:dyDescent="0.3">
      <c r="A42" s="102"/>
      <c r="B42" s="102"/>
      <c r="C42" s="106"/>
      <c r="D42" s="102" t="s">
        <v>328</v>
      </c>
      <c r="E42" s="102"/>
      <c r="F42" s="102" t="s">
        <v>329</v>
      </c>
      <c r="G42" s="102"/>
    </row>
    <row r="43" spans="1:7" x14ac:dyDescent="0.3">
      <c r="A43" s="102"/>
      <c r="B43" s="102"/>
      <c r="C43" s="106"/>
      <c r="D43" s="16" t="s">
        <v>330</v>
      </c>
      <c r="E43" s="16" t="s">
        <v>331</v>
      </c>
      <c r="F43" s="16" t="s">
        <v>330</v>
      </c>
      <c r="G43" s="16" t="s">
        <v>331</v>
      </c>
    </row>
    <row r="44" spans="1:7" x14ac:dyDescent="0.3">
      <c r="A44" s="16">
        <v>1</v>
      </c>
      <c r="B44" s="16" t="s">
        <v>332</v>
      </c>
      <c r="C44" s="16" t="s">
        <v>340</v>
      </c>
      <c r="D44" s="16">
        <v>650.66999999999996</v>
      </c>
      <c r="E44" s="19">
        <f>D44*Лист1!C5</f>
        <v>3220816.5</v>
      </c>
      <c r="F44" s="16">
        <v>508.42</v>
      </c>
      <c r="G44" s="16">
        <f>F44*Лист1!E5</f>
        <v>2653952.4</v>
      </c>
    </row>
    <row r="45" spans="1:7" x14ac:dyDescent="0.3">
      <c r="A45" s="16">
        <v>2</v>
      </c>
      <c r="B45" s="16" t="s">
        <v>333</v>
      </c>
      <c r="C45" s="16" t="s">
        <v>341</v>
      </c>
      <c r="D45" s="19">
        <f>E45/Лист1!$C$5</f>
        <v>4676.3713124999995</v>
      </c>
      <c r="E45" s="19">
        <f>Приложения!O21</f>
        <v>23148037.996874999</v>
      </c>
      <c r="F45" s="19">
        <f>G45/Лист1!$E$5</f>
        <v>6264.5940000000001</v>
      </c>
      <c r="G45" s="19">
        <f>Приложения!O22</f>
        <v>32701180.68</v>
      </c>
    </row>
    <row r="46" spans="1:7" x14ac:dyDescent="0.3">
      <c r="A46" s="16">
        <v>3</v>
      </c>
      <c r="B46" s="16" t="s">
        <v>334</v>
      </c>
      <c r="C46" s="16" t="s">
        <v>342</v>
      </c>
      <c r="D46" s="19">
        <f>E46/Лист1!$C$5</f>
        <v>561.1645575</v>
      </c>
      <c r="E46" s="19">
        <f>Приложения!P21</f>
        <v>2777764.5596249998</v>
      </c>
      <c r="F46" s="19">
        <f>G46/Лист1!$E$5</f>
        <v>751.75127999999995</v>
      </c>
      <c r="G46" s="19">
        <f>Приложения!P22</f>
        <v>3924141.6815999998</v>
      </c>
    </row>
    <row r="47" spans="1:7" x14ac:dyDescent="0.3">
      <c r="A47" s="16">
        <v>4</v>
      </c>
      <c r="B47" s="16" t="s">
        <v>335</v>
      </c>
      <c r="C47" s="16" t="s">
        <v>343</v>
      </c>
      <c r="D47" s="19">
        <f>E47/Лист1!$C$5</f>
        <v>1571.2607609999998</v>
      </c>
      <c r="E47" s="16">
        <f>(E45+E46)*0.3</f>
        <v>7777740.7669499991</v>
      </c>
      <c r="F47" s="19">
        <f>G47/Лист1!$E$5</f>
        <v>2104.9035839999997</v>
      </c>
      <c r="G47" s="16">
        <f>(G45+G46)*0.3</f>
        <v>10987596.708479999</v>
      </c>
    </row>
    <row r="48" spans="1:7" x14ac:dyDescent="0.3">
      <c r="A48" s="16">
        <v>5</v>
      </c>
      <c r="B48" s="16" t="s">
        <v>336</v>
      </c>
      <c r="C48" s="16" t="s">
        <v>344</v>
      </c>
      <c r="D48" s="19">
        <f>E48/Лист1!$C$5</f>
        <v>17806.272435594208</v>
      </c>
      <c r="E48" s="16">
        <f>C26/100*E45</f>
        <v>88141048.556191325</v>
      </c>
      <c r="F48" s="19">
        <f>G48/Лист1!$E$5</f>
        <v>23853.766095138082</v>
      </c>
      <c r="G48" s="16">
        <f>C26/100*G45</f>
        <v>124516659.01662078</v>
      </c>
    </row>
    <row r="49" spans="1:7" x14ac:dyDescent="0.3">
      <c r="A49" s="16">
        <v>6</v>
      </c>
      <c r="B49" s="16" t="s">
        <v>337</v>
      </c>
      <c r="C49" s="16" t="s">
        <v>345</v>
      </c>
      <c r="D49" s="19">
        <f>SUM(D44:D48)</f>
        <v>25265.739066594208</v>
      </c>
      <c r="E49" s="19">
        <f t="shared" ref="E49:G49" si="4">SUM(E44:E48)</f>
        <v>125065408.37964132</v>
      </c>
      <c r="F49" s="19">
        <f t="shared" si="4"/>
        <v>33483.434959138081</v>
      </c>
      <c r="G49" s="19">
        <f t="shared" si="4"/>
        <v>174783530.48670077</v>
      </c>
    </row>
    <row r="50" spans="1:7" x14ac:dyDescent="0.3">
      <c r="A50" s="16">
        <v>7</v>
      </c>
      <c r="B50" s="16" t="s">
        <v>338</v>
      </c>
      <c r="C50" s="16" t="s">
        <v>346</v>
      </c>
      <c r="D50" s="19">
        <f>D49*0.15</f>
        <v>3789.8608599891309</v>
      </c>
      <c r="E50" s="19">
        <f t="shared" ref="E50:G50" si="5">E49*0.15</f>
        <v>18759811.256946199</v>
      </c>
      <c r="F50" s="19">
        <f t="shared" si="5"/>
        <v>5022.5152438707119</v>
      </c>
      <c r="G50" s="19">
        <f t="shared" si="5"/>
        <v>26217529.573005114</v>
      </c>
    </row>
    <row r="51" spans="1:7" x14ac:dyDescent="0.3">
      <c r="A51" s="16">
        <v>8</v>
      </c>
      <c r="B51" s="16" t="s">
        <v>339</v>
      </c>
      <c r="C51" s="16" t="s">
        <v>347</v>
      </c>
      <c r="D51" s="19">
        <f>D49+D50</f>
        <v>29055.599926583338</v>
      </c>
      <c r="E51" s="19">
        <f t="shared" ref="E51:G51" si="6">E49+E50</f>
        <v>143825219.63658753</v>
      </c>
      <c r="F51" s="19">
        <f t="shared" si="6"/>
        <v>38505.95020300879</v>
      </c>
      <c r="G51" s="19">
        <f t="shared" si="6"/>
        <v>201001060.05970588</v>
      </c>
    </row>
    <row r="52" spans="1:7" x14ac:dyDescent="0.3">
      <c r="B52" s="66" t="s">
        <v>348</v>
      </c>
      <c r="C52" s="66" t="s">
        <v>349</v>
      </c>
      <c r="F52" s="8">
        <f>D48+D50</f>
        <v>21596.133295583339</v>
      </c>
    </row>
    <row r="53" spans="1:7" x14ac:dyDescent="0.3">
      <c r="B53" s="8">
        <f>(E48+E50)/3111+SUM(D44:D47)</f>
        <v>41821.684507289785</v>
      </c>
      <c r="C53" s="8">
        <f>(G48+G50)/2496+SUM(F44:F47)</f>
        <v>70019.968779715506</v>
      </c>
    </row>
    <row r="54" spans="1:7" x14ac:dyDescent="0.3">
      <c r="B54" s="76" t="s">
        <v>363</v>
      </c>
      <c r="C54" s="76"/>
      <c r="D54" s="76"/>
      <c r="E54" s="76"/>
    </row>
    <row r="55" spans="1:7" x14ac:dyDescent="0.3">
      <c r="A55" t="s">
        <v>142</v>
      </c>
      <c r="B55" s="16" t="s">
        <v>350</v>
      </c>
      <c r="C55" s="16" t="s">
        <v>351</v>
      </c>
      <c r="D55" s="16" t="s">
        <v>352</v>
      </c>
      <c r="E55" s="16" t="s">
        <v>353</v>
      </c>
    </row>
    <row r="56" spans="1:7" x14ac:dyDescent="0.3">
      <c r="A56">
        <v>1</v>
      </c>
      <c r="B56" s="16" t="s">
        <v>354</v>
      </c>
      <c r="C56" s="19">
        <f>B53*Лист1!C5</f>
        <v>207017338.31108445</v>
      </c>
      <c r="D56" s="19">
        <f>C53*Лист1!E5</f>
        <v>365504237.03011495</v>
      </c>
      <c r="E56" s="19">
        <f>SUM(C56:D56)</f>
        <v>572521575.3411994</v>
      </c>
    </row>
    <row r="57" spans="1:7" x14ac:dyDescent="0.3">
      <c r="A57">
        <v>2</v>
      </c>
      <c r="B57" s="16" t="s">
        <v>355</v>
      </c>
      <c r="C57" s="19">
        <f>SUM(E44:E47)</f>
        <v>36924359.823449999</v>
      </c>
      <c r="D57" s="16">
        <f>SUM(G44:G47)</f>
        <v>50266871.470079996</v>
      </c>
      <c r="E57" s="19">
        <f t="shared" ref="E57:E61" si="7">SUM(C57:D57)</f>
        <v>87191231.293529987</v>
      </c>
    </row>
    <row r="58" spans="1:7" x14ac:dyDescent="0.3">
      <c r="A58">
        <v>3</v>
      </c>
      <c r="B58" s="16" t="s">
        <v>356</v>
      </c>
      <c r="C58" s="19">
        <f>C56-C57</f>
        <v>170092978.48763445</v>
      </c>
      <c r="D58" s="19">
        <f>D56-D57</f>
        <v>315237365.56003493</v>
      </c>
      <c r="E58" s="19">
        <f>SUM(C58:D58)</f>
        <v>485330344.04766941</v>
      </c>
    </row>
    <row r="59" spans="1:7" x14ac:dyDescent="0.3">
      <c r="A59">
        <v>4</v>
      </c>
      <c r="B59" s="16" t="s">
        <v>357</v>
      </c>
      <c r="C59" s="19">
        <f>E48+E50</f>
        <v>106900859.81313753</v>
      </c>
      <c r="D59" s="19">
        <f>G48+G50</f>
        <v>150734188.5896259</v>
      </c>
      <c r="E59" s="19">
        <f t="shared" si="7"/>
        <v>257635048.40276343</v>
      </c>
    </row>
    <row r="60" spans="1:7" x14ac:dyDescent="0.3">
      <c r="A60">
        <v>5</v>
      </c>
      <c r="B60" s="16" t="s">
        <v>358</v>
      </c>
      <c r="C60" s="19">
        <f>C58-C59</f>
        <v>63192118.674496919</v>
      </c>
      <c r="D60" s="19">
        <f>D58-D59</f>
        <v>164503176.97040904</v>
      </c>
      <c r="E60" s="19">
        <f t="shared" si="7"/>
        <v>227695295.64490595</v>
      </c>
    </row>
    <row r="61" spans="1:7" x14ac:dyDescent="0.3">
      <c r="A61">
        <v>6</v>
      </c>
      <c r="B61" s="16" t="s">
        <v>359</v>
      </c>
      <c r="C61" s="16">
        <f>C60*0.2</f>
        <v>12638423.734899385</v>
      </c>
      <c r="D61" s="16">
        <f>D60*0.2</f>
        <v>32900635.394081809</v>
      </c>
      <c r="E61" s="19">
        <f t="shared" si="7"/>
        <v>45539059.128981195</v>
      </c>
    </row>
    <row r="62" spans="1:7" x14ac:dyDescent="0.3">
      <c r="A62">
        <v>7</v>
      </c>
      <c r="B62" s="16" t="s">
        <v>360</v>
      </c>
      <c r="C62" s="19">
        <f>C60-C61</f>
        <v>50553694.939597532</v>
      </c>
      <c r="D62" s="19">
        <f>D60-D61</f>
        <v>131602541.57632723</v>
      </c>
      <c r="E62" s="19">
        <f>SUM(C62:D62)</f>
        <v>182156236.51592475</v>
      </c>
    </row>
    <row r="63" spans="1:7" x14ac:dyDescent="0.3">
      <c r="A63">
        <v>8</v>
      </c>
      <c r="B63" s="16" t="s">
        <v>361</v>
      </c>
      <c r="C63" s="19">
        <f>100*C60/SUM(C57,C59)</f>
        <v>43.936744080188802</v>
      </c>
      <c r="D63" s="19">
        <f>100*D60/SUM(D57,D59)</f>
        <v>81.841944973595943</v>
      </c>
      <c r="E63" s="19">
        <f>100*E60/SUM(E57,E59)</f>
        <v>66.03188592396414</v>
      </c>
    </row>
    <row r="64" spans="1:7" x14ac:dyDescent="0.3">
      <c r="A64">
        <v>9</v>
      </c>
      <c r="B64" s="16" t="s">
        <v>362</v>
      </c>
      <c r="C64" s="19">
        <f>100*C60/C56</f>
        <v>30.525036786792359</v>
      </c>
      <c r="D64" s="19">
        <f>100*D60/D56</f>
        <v>45.007187415136627</v>
      </c>
      <c r="E64" s="19">
        <f>100*E60/E56</f>
        <v>39.770605240371751</v>
      </c>
    </row>
    <row r="66" spans="2:8" x14ac:dyDescent="0.3">
      <c r="B66" s="76" t="s">
        <v>364</v>
      </c>
      <c r="C66" s="76"/>
      <c r="D66" s="76"/>
      <c r="E66" s="76"/>
    </row>
    <row r="67" spans="2:8" x14ac:dyDescent="0.3">
      <c r="B67" t="s">
        <v>4</v>
      </c>
    </row>
    <row r="68" spans="2:8" x14ac:dyDescent="0.3">
      <c r="B68" s="16"/>
      <c r="C68" s="16"/>
      <c r="D68" s="16"/>
      <c r="E68" s="16"/>
      <c r="F68" s="16"/>
      <c r="G68" s="16"/>
      <c r="H68" s="16"/>
    </row>
    <row r="69" spans="2:8" x14ac:dyDescent="0.3">
      <c r="B69" s="16">
        <v>0</v>
      </c>
      <c r="C69" s="93">
        <f>SUM(D44:D47)</f>
        <v>7459.4666309999993</v>
      </c>
      <c r="D69" s="16">
        <f>B69*$C$69</f>
        <v>0</v>
      </c>
      <c r="E69" s="96">
        <f>C59</f>
        <v>106900859.81313753</v>
      </c>
      <c r="F69" s="19">
        <f>D69+E69</f>
        <v>106900859.81313753</v>
      </c>
      <c r="G69" s="99">
        <f>B53</f>
        <v>41821.684507289785</v>
      </c>
      <c r="H69" s="16">
        <f>G69*B69</f>
        <v>0</v>
      </c>
    </row>
    <row r="70" spans="2:8" x14ac:dyDescent="0.3">
      <c r="B70" s="16">
        <v>3111</v>
      </c>
      <c r="C70" s="94"/>
      <c r="D70" s="16">
        <f t="shared" ref="D70" si="8">B70*$C$69</f>
        <v>23206400.689040996</v>
      </c>
      <c r="E70" s="97"/>
      <c r="F70" s="19">
        <f>D70+E69</f>
        <v>130107260.50217852</v>
      </c>
      <c r="G70" s="100"/>
      <c r="H70" s="16">
        <f>G69*B70</f>
        <v>130107260.50217852</v>
      </c>
    </row>
    <row r="71" spans="2:8" x14ac:dyDescent="0.3">
      <c r="B71" s="16">
        <f>Лист1!C5</f>
        <v>4950</v>
      </c>
      <c r="C71" s="95"/>
      <c r="D71" s="16">
        <f>B71*$C$69</f>
        <v>36924359.823449999</v>
      </c>
      <c r="E71" s="98"/>
      <c r="F71" s="19">
        <f>D71+E69</f>
        <v>143825219.63658753</v>
      </c>
      <c r="G71" s="101"/>
      <c r="H71" s="16">
        <f>G69*B71</f>
        <v>207017338.31108445</v>
      </c>
    </row>
    <row r="72" spans="2:8" x14ac:dyDescent="0.3">
      <c r="B72" t="s">
        <v>5</v>
      </c>
    </row>
    <row r="73" spans="2:8" x14ac:dyDescent="0.3">
      <c r="B73" s="67"/>
      <c r="C73" s="67"/>
      <c r="D73" s="67"/>
      <c r="E73" s="67"/>
      <c r="F73" s="67"/>
      <c r="G73" s="67"/>
      <c r="H73" s="67"/>
    </row>
    <row r="74" spans="2:8" x14ac:dyDescent="0.3">
      <c r="B74" s="55">
        <v>0</v>
      </c>
      <c r="C74" s="89">
        <f>SUM(F44:F47)</f>
        <v>9629.6688639999993</v>
      </c>
      <c r="D74" s="55">
        <f>B74*C74</f>
        <v>0</v>
      </c>
      <c r="E74" s="90">
        <f>D59</f>
        <v>150734188.5896259</v>
      </c>
      <c r="F74" s="69">
        <f>D74+E74</f>
        <v>150734188.5896259</v>
      </c>
      <c r="G74" s="92">
        <f>C53</f>
        <v>70019.968779715506</v>
      </c>
      <c r="H74" s="57">
        <f>B74*G74</f>
        <v>0</v>
      </c>
    </row>
    <row r="75" spans="2:8" x14ac:dyDescent="0.3">
      <c r="B75" s="55">
        <v>2496</v>
      </c>
      <c r="C75" s="89"/>
      <c r="D75" s="68">
        <f>C74*B75</f>
        <v>24035653.484543998</v>
      </c>
      <c r="E75" s="91"/>
      <c r="F75" s="70">
        <f>D75+E74</f>
        <v>174769842.0741699</v>
      </c>
      <c r="G75" s="92"/>
      <c r="H75" s="57">
        <f>B75*G74</f>
        <v>174769842.0741699</v>
      </c>
    </row>
    <row r="76" spans="2:8" x14ac:dyDescent="0.3">
      <c r="B76" s="55">
        <f>Лист1!E5</f>
        <v>5220</v>
      </c>
      <c r="C76" s="89"/>
      <c r="D76" s="68">
        <f>C74*B76</f>
        <v>50266871.470079996</v>
      </c>
      <c r="E76" s="91"/>
      <c r="F76" s="70">
        <f>D76+E74</f>
        <v>201001060.05970588</v>
      </c>
      <c r="G76" s="92"/>
      <c r="H76" s="57">
        <f>B76*G74</f>
        <v>365504237.03011495</v>
      </c>
    </row>
    <row r="78" spans="2:8" x14ac:dyDescent="0.3">
      <c r="E78" s="8">
        <f>$E$69</f>
        <v>106900859.81313753</v>
      </c>
      <c r="F78" s="8">
        <f>$E$74</f>
        <v>150734188.5896259</v>
      </c>
    </row>
    <row r="79" spans="2:8" x14ac:dyDescent="0.3">
      <c r="E79" s="8">
        <f>$E$69</f>
        <v>106900859.81313753</v>
      </c>
      <c r="F79" s="8">
        <f t="shared" ref="F79:F80" si="9">$E$74</f>
        <v>150734188.5896259</v>
      </c>
    </row>
    <row r="80" spans="2:8" x14ac:dyDescent="0.3">
      <c r="E80" s="8">
        <f>$E$69</f>
        <v>106900859.81313753</v>
      </c>
      <c r="F80" s="8">
        <f t="shared" si="9"/>
        <v>150734188.5896259</v>
      </c>
    </row>
  </sheetData>
  <mergeCells count="25">
    <mergeCell ref="K27:L27"/>
    <mergeCell ref="A1:G1"/>
    <mergeCell ref="K3:N3"/>
    <mergeCell ref="M7:M11"/>
    <mergeCell ref="M16:M18"/>
    <mergeCell ref="M13:M15"/>
    <mergeCell ref="D41:G41"/>
    <mergeCell ref="D42:E42"/>
    <mergeCell ref="F42:G42"/>
    <mergeCell ref="A4:A8"/>
    <mergeCell ref="A9:A13"/>
    <mergeCell ref="A14:C14"/>
    <mergeCell ref="A27:C27"/>
    <mergeCell ref="A40:C40"/>
    <mergeCell ref="A41:A43"/>
    <mergeCell ref="B41:B43"/>
    <mergeCell ref="C41:C43"/>
    <mergeCell ref="C74:C76"/>
    <mergeCell ref="E74:E76"/>
    <mergeCell ref="G74:G76"/>
    <mergeCell ref="B54:E54"/>
    <mergeCell ref="B66:E66"/>
    <mergeCell ref="C69:C71"/>
    <mergeCell ref="E69:E71"/>
    <mergeCell ref="G69:G7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4" sqref="B4"/>
    </sheetView>
  </sheetViews>
  <sheetFormatPr defaultRowHeight="14.4" x14ac:dyDescent="0.3"/>
  <sheetData>
    <row r="2" spans="1:2" x14ac:dyDescent="0.3">
      <c r="A2" t="s">
        <v>32</v>
      </c>
      <c r="B2">
        <f>248*8*2*(1-6/100)</f>
        <v>3729.9199999999996</v>
      </c>
    </row>
    <row r="3" spans="1:2" x14ac:dyDescent="0.3">
      <c r="A3" t="s">
        <v>33</v>
      </c>
      <c r="B3">
        <f>248*8*2*(1-0/100)</f>
        <v>3968</v>
      </c>
    </row>
    <row r="4" spans="1:2" x14ac:dyDescent="0.3">
      <c r="A4" t="s">
        <v>34</v>
      </c>
      <c r="B4">
        <f>((Лист1!$C$5*Лист1!D9+Лист1!$E$5*Лист1!E9)/('5.1'!$B$2*1.03))</f>
        <v>5.7160444056479935</v>
      </c>
    </row>
    <row r="5" spans="1:2" x14ac:dyDescent="0.3">
      <c r="A5" t="s">
        <v>41</v>
      </c>
      <c r="B5">
        <f>((Лист1!$C$5*Лист1!D10+Лист1!$E$5*Лист1!E10)/('5.1'!$B$2*1))</f>
        <v>7.2435869938229249</v>
      </c>
    </row>
    <row r="6" spans="1:2" x14ac:dyDescent="0.3">
      <c r="A6" t="s">
        <v>42</v>
      </c>
      <c r="B6">
        <f>((Лист1!$C$5*Лист1!D11+Лист1!$E$5*Лист1!E11)/('5.1'!$B$3*1))</f>
        <v>11.941784274193548</v>
      </c>
    </row>
    <row r="7" spans="1:2" x14ac:dyDescent="0.3">
      <c r="A7" t="s">
        <v>43</v>
      </c>
      <c r="B7">
        <f>((Лист1!$C$5*Лист1!D12+Лист1!$E$5*Лист1!E12)/('5.1'!$B$3*1))</f>
        <v>20.73765120967742</v>
      </c>
    </row>
    <row r="8" spans="1:2" x14ac:dyDescent="0.3">
      <c r="A8" t="s">
        <v>44</v>
      </c>
      <c r="B8">
        <f>((Лист1!$C$5*Лист1!D13+Лист1!$E$5*Лист1!E13)/('5.1'!$B$3*0.5))</f>
        <v>2.826108870967742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7" sqref="C7"/>
    </sheetView>
  </sheetViews>
  <sheetFormatPr defaultRowHeight="14.4" x14ac:dyDescent="0.3"/>
  <sheetData>
    <row r="2" spans="1:2" x14ac:dyDescent="0.3">
      <c r="A2" t="s">
        <v>65</v>
      </c>
      <c r="B2">
        <f>(Лист1!$C$5*Лист1!D9+Лист1!E9*Лист1!$E$5)/(Лист1!$D$42*Лист1!F9)</f>
        <v>11.96677447953032</v>
      </c>
    </row>
    <row r="3" spans="1:2" x14ac:dyDescent="0.3">
      <c r="A3" t="s">
        <v>66</v>
      </c>
      <c r="B3">
        <f>(Лист1!$C$5*Лист1!D10+Лист1!E10*Лист1!$E$5)/(Лист1!$D$42*Лист1!F10)</f>
        <v>15.164747826711688</v>
      </c>
    </row>
    <row r="4" spans="1:2" x14ac:dyDescent="0.3">
      <c r="A4" t="s">
        <v>67</v>
      </c>
      <c r="B4">
        <f>(Лист1!$C$5*Лист1!D11+Лист1!E11*Лист1!$E$5)/(Лист1!$D$42*Лист1!F11)</f>
        <v>26.596401501544651</v>
      </c>
    </row>
    <row r="5" spans="1:2" x14ac:dyDescent="0.3">
      <c r="A5" t="s">
        <v>68</v>
      </c>
      <c r="B5">
        <f>(Лист1!$C$5*Лист1!D12+Лист1!E12*Лист1!$E$5)/(Лист1!$D$42*Лист1!F12)</f>
        <v>46.186305589482004</v>
      </c>
    </row>
    <row r="6" spans="1:2" x14ac:dyDescent="0.3">
      <c r="A6" t="s">
        <v>69</v>
      </c>
      <c r="B6">
        <f>(Лист1!C5*Лист1!D13+Лист1!E5*Лист1!E13)*Лист1!G13/Лист1!D42</f>
        <v>1.5735572778216826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B37" sqref="B37"/>
    </sheetView>
  </sheetViews>
  <sheetFormatPr defaultRowHeight="14.4" x14ac:dyDescent="0.3"/>
  <cols>
    <col min="1" max="1" width="11.44140625" bestFit="1" customWidth="1"/>
    <col min="2" max="2" width="13.5546875" bestFit="1" customWidth="1"/>
    <col min="8" max="8" width="13.5546875" bestFit="1" customWidth="1"/>
  </cols>
  <sheetData>
    <row r="1" spans="1:12" x14ac:dyDescent="0.3">
      <c r="A1" s="76" t="s">
        <v>74</v>
      </c>
      <c r="B1" s="76"/>
      <c r="C1" s="76"/>
      <c r="D1" s="76"/>
      <c r="E1" s="76"/>
      <c r="F1" s="76"/>
      <c r="G1" s="76" t="s">
        <v>82</v>
      </c>
      <c r="H1" s="76"/>
      <c r="I1" s="76"/>
      <c r="J1" s="76"/>
      <c r="K1" s="76"/>
      <c r="L1" s="76"/>
    </row>
    <row r="2" spans="1:12" x14ac:dyDescent="0.3">
      <c r="A2" t="s">
        <v>75</v>
      </c>
      <c r="B2" s="8">
        <f>Лист1!$C$5*Лист1!D9*$B$10*Лист1!$E$47</f>
        <v>1983811.5</v>
      </c>
      <c r="C2" s="2">
        <v>4</v>
      </c>
      <c r="G2" t="s">
        <v>75</v>
      </c>
      <c r="H2">
        <f>Лист1!$E$5*'Расчёт ФОТ'!$B$10*Лист1!$E$47*Лист1!E9</f>
        <v>2905582.5</v>
      </c>
    </row>
    <row r="3" spans="1:12" x14ac:dyDescent="0.3">
      <c r="A3" t="s">
        <v>76</v>
      </c>
      <c r="B3" s="8">
        <f>Лист1!$C$5*Лист1!D10*$B$10*Лист1!$E$47</f>
        <v>2645082</v>
      </c>
      <c r="C3" s="2">
        <v>4</v>
      </c>
      <c r="G3" t="s">
        <v>76</v>
      </c>
      <c r="H3">
        <f>Лист1!$E$5*'Расчёт ФОТ'!$B$10*Лист1!$E$47*Лист1!E10</f>
        <v>3370475.6999999997</v>
      </c>
    </row>
    <row r="4" spans="1:12" x14ac:dyDescent="0.3">
      <c r="A4" t="s">
        <v>77</v>
      </c>
      <c r="B4" s="8">
        <f>Лист1!$C$5*Лист1!D11*$B$10*Лист1!$D$47</f>
        <v>4241834.4375</v>
      </c>
      <c r="C4" s="2">
        <v>3</v>
      </c>
      <c r="G4" t="s">
        <v>77</v>
      </c>
      <c r="H4">
        <f>Лист1!$E$5*'Расчёт ФОТ'!$B$10*Лист1!$D$47*Лист1!E11</f>
        <v>5201403.75</v>
      </c>
    </row>
    <row r="5" spans="1:12" x14ac:dyDescent="0.3">
      <c r="A5" t="s">
        <v>78</v>
      </c>
      <c r="B5" s="8">
        <f>Лист1!$C$5*Лист1!D12*$B$10*Лист1!$F$47</f>
        <v>7782730.3125</v>
      </c>
      <c r="C5" s="2">
        <v>5</v>
      </c>
      <c r="G5" t="s">
        <v>78</v>
      </c>
      <c r="H5">
        <f>Лист1!$E$5*'Расчёт ФОТ'!$B$10*Лист1!$F$47*Лист1!E12</f>
        <v>12121466.4</v>
      </c>
    </row>
    <row r="6" spans="1:12" x14ac:dyDescent="0.3">
      <c r="A6" t="s">
        <v>79</v>
      </c>
      <c r="B6" s="8">
        <f>Лист1!$C$5*Лист1!D13*$B$10*Лист1!$D$47</f>
        <v>493236.5625</v>
      </c>
      <c r="C6" s="2">
        <v>3</v>
      </c>
      <c r="G6" t="s">
        <v>79</v>
      </c>
      <c r="H6">
        <f>Лист1!$E$5*'Расчёт ФОТ'!$B$10*Лист1!$D$47*Лист1!E13</f>
        <v>624168.44999999995</v>
      </c>
    </row>
    <row r="7" spans="1:12" x14ac:dyDescent="0.3">
      <c r="A7" t="s">
        <v>80</v>
      </c>
      <c r="B7" s="8">
        <f>SUM(B2:B6)</f>
        <v>17146694.8125</v>
      </c>
      <c r="G7" t="s">
        <v>80</v>
      </c>
      <c r="H7">
        <f>SUM(H2:H6)</f>
        <v>24223096.800000001</v>
      </c>
    </row>
    <row r="10" spans="1:12" x14ac:dyDescent="0.3">
      <c r="A10" t="s">
        <v>81</v>
      </c>
      <c r="B10" s="8">
        <v>1.25</v>
      </c>
      <c r="C10" t="s">
        <v>93</v>
      </c>
      <c r="D10">
        <v>0.12</v>
      </c>
    </row>
    <row r="11" spans="1:12" x14ac:dyDescent="0.3">
      <c r="B11">
        <v>0.35</v>
      </c>
    </row>
    <row r="12" spans="1:12" x14ac:dyDescent="0.3">
      <c r="A12" s="76" t="s">
        <v>83</v>
      </c>
      <c r="B12" s="76"/>
      <c r="C12" s="76"/>
      <c r="D12" s="76"/>
      <c r="E12" s="76"/>
      <c r="F12" s="76"/>
      <c r="G12" s="76" t="s">
        <v>90</v>
      </c>
      <c r="H12" s="76"/>
      <c r="I12" s="76"/>
      <c r="J12" s="76"/>
      <c r="K12" s="76"/>
      <c r="L12" s="76"/>
    </row>
    <row r="13" spans="1:12" x14ac:dyDescent="0.3">
      <c r="A13" t="s">
        <v>84</v>
      </c>
      <c r="B13" s="8">
        <f>B2*$B$11</f>
        <v>694334.02499999991</v>
      </c>
      <c r="G13" t="s">
        <v>84</v>
      </c>
      <c r="H13" s="8">
        <f>H2*$B$11</f>
        <v>1016953.8749999999</v>
      </c>
    </row>
    <row r="14" spans="1:12" x14ac:dyDescent="0.3">
      <c r="A14" t="s">
        <v>85</v>
      </c>
      <c r="B14" s="8">
        <f>B3*$B$11</f>
        <v>925778.7</v>
      </c>
      <c r="G14" t="s">
        <v>85</v>
      </c>
      <c r="H14" s="8">
        <f>H3*$B$11</f>
        <v>1179666.4949999999</v>
      </c>
    </row>
    <row r="15" spans="1:12" x14ac:dyDescent="0.3">
      <c r="A15" t="s">
        <v>86</v>
      </c>
      <c r="B15" s="8">
        <f>B4*$B$11</f>
        <v>1484642.0531249999</v>
      </c>
      <c r="G15" t="s">
        <v>86</v>
      </c>
      <c r="H15" s="8">
        <f t="shared" ref="H15:H18" si="0">H4*$B$11</f>
        <v>1820491.3125</v>
      </c>
    </row>
    <row r="16" spans="1:12" x14ac:dyDescent="0.3">
      <c r="A16" t="s">
        <v>87</v>
      </c>
      <c r="B16" s="8">
        <f t="shared" ref="B16:B17" si="1">B5*$B$11</f>
        <v>2723955.609375</v>
      </c>
      <c r="G16" t="s">
        <v>87</v>
      </c>
      <c r="H16" s="8">
        <f>H5*$B$11</f>
        <v>4242513.24</v>
      </c>
    </row>
    <row r="17" spans="1:12" x14ac:dyDescent="0.3">
      <c r="A17" t="s">
        <v>88</v>
      </c>
      <c r="B17" s="8">
        <f t="shared" si="1"/>
        <v>172632.796875</v>
      </c>
      <c r="G17" t="s">
        <v>88</v>
      </c>
      <c r="H17" s="8">
        <f t="shared" si="0"/>
        <v>218458.95749999996</v>
      </c>
    </row>
    <row r="18" spans="1:12" x14ac:dyDescent="0.3">
      <c r="A18" t="s">
        <v>89</v>
      </c>
      <c r="B18" s="8">
        <f>B7*$B$11</f>
        <v>6001343.1843749993</v>
      </c>
      <c r="G18" t="s">
        <v>89</v>
      </c>
      <c r="H18" s="8">
        <f t="shared" si="0"/>
        <v>8478083.879999999</v>
      </c>
    </row>
    <row r="20" spans="1:12" x14ac:dyDescent="0.3">
      <c r="A20" s="76" t="s">
        <v>91</v>
      </c>
      <c r="B20" s="76"/>
      <c r="C20" s="76"/>
      <c r="D20" s="76"/>
      <c r="E20" s="76"/>
      <c r="F20" s="76"/>
      <c r="G20" s="76" t="s">
        <v>92</v>
      </c>
      <c r="H20" s="76"/>
      <c r="I20" s="76"/>
      <c r="J20" s="76"/>
      <c r="K20" s="76"/>
      <c r="L20" s="76"/>
    </row>
    <row r="21" spans="1:12" x14ac:dyDescent="0.3">
      <c r="A21" t="s">
        <v>75</v>
      </c>
      <c r="B21" s="8">
        <f>B2+B13</f>
        <v>2678145.5249999999</v>
      </c>
      <c r="G21" t="s">
        <v>75</v>
      </c>
      <c r="H21" s="8">
        <f>H2+H13</f>
        <v>3922536.375</v>
      </c>
    </row>
    <row r="22" spans="1:12" x14ac:dyDescent="0.3">
      <c r="A22" t="s">
        <v>76</v>
      </c>
      <c r="B22" s="8">
        <f t="shared" ref="B22:B26" si="2">B3+B14</f>
        <v>3570860.7</v>
      </c>
      <c r="G22" t="s">
        <v>76</v>
      </c>
      <c r="H22" s="8">
        <f t="shared" ref="H22:H26" si="3">H3+H14</f>
        <v>4550142.1949999994</v>
      </c>
    </row>
    <row r="23" spans="1:12" x14ac:dyDescent="0.3">
      <c r="A23" t="s">
        <v>77</v>
      </c>
      <c r="B23" s="8">
        <f>B4+B15</f>
        <v>5726476.4906249996</v>
      </c>
      <c r="G23" t="s">
        <v>77</v>
      </c>
      <c r="H23" s="8">
        <f t="shared" si="3"/>
        <v>7021895.0625</v>
      </c>
    </row>
    <row r="24" spans="1:12" x14ac:dyDescent="0.3">
      <c r="A24" t="s">
        <v>78</v>
      </c>
      <c r="B24" s="8">
        <f t="shared" si="2"/>
        <v>10506685.921875</v>
      </c>
      <c r="G24" t="s">
        <v>78</v>
      </c>
      <c r="H24" s="8">
        <f>H5+H16</f>
        <v>16363979.640000001</v>
      </c>
    </row>
    <row r="25" spans="1:12" x14ac:dyDescent="0.3">
      <c r="A25" t="s">
        <v>79</v>
      </c>
      <c r="B25" s="8">
        <f>B6+B17</f>
        <v>665869.359375</v>
      </c>
      <c r="G25" t="s">
        <v>79</v>
      </c>
      <c r="H25" s="8">
        <f t="shared" si="3"/>
        <v>842627.40749999997</v>
      </c>
    </row>
    <row r="26" spans="1:12" x14ac:dyDescent="0.3">
      <c r="A26" t="s">
        <v>80</v>
      </c>
      <c r="B26" s="8">
        <f t="shared" si="2"/>
        <v>23148037.996874999</v>
      </c>
      <c r="G26" t="s">
        <v>80</v>
      </c>
      <c r="H26" s="8">
        <f t="shared" si="3"/>
        <v>32701180.68</v>
      </c>
    </row>
    <row r="28" spans="1:12" x14ac:dyDescent="0.3">
      <c r="A28" s="76" t="s">
        <v>94</v>
      </c>
      <c r="B28" s="76"/>
      <c r="C28" s="76"/>
      <c r="D28" s="76"/>
      <c r="E28" s="76"/>
      <c r="F28" s="76"/>
      <c r="G28" s="76" t="s">
        <v>95</v>
      </c>
      <c r="H28" s="76"/>
      <c r="I28" s="76"/>
      <c r="J28" s="76"/>
      <c r="K28" s="76"/>
      <c r="L28" s="76"/>
    </row>
    <row r="29" spans="1:12" x14ac:dyDescent="0.3">
      <c r="A29" t="s">
        <v>75</v>
      </c>
      <c r="B29" s="8">
        <f>B21*Лист1!$B$5/100</f>
        <v>321377.46299999999</v>
      </c>
      <c r="G29" t="s">
        <v>75</v>
      </c>
      <c r="H29" s="8">
        <f>H21*Лист1!$B$5/100</f>
        <v>470704.36499999999</v>
      </c>
    </row>
    <row r="30" spans="1:12" x14ac:dyDescent="0.3">
      <c r="A30" t="s">
        <v>76</v>
      </c>
      <c r="B30" s="8">
        <f>B22*Лист1!$B$5/100</f>
        <v>428503.28400000004</v>
      </c>
      <c r="G30" t="s">
        <v>76</v>
      </c>
      <c r="H30" s="8">
        <f>H22*Лист1!$B$5/100</f>
        <v>546017.06339999987</v>
      </c>
    </row>
    <row r="31" spans="1:12" x14ac:dyDescent="0.3">
      <c r="A31" t="s">
        <v>77</v>
      </c>
      <c r="B31" s="8">
        <f>B23*Лист1!$B$5/100</f>
        <v>687177.17887499987</v>
      </c>
      <c r="G31" t="s">
        <v>77</v>
      </c>
      <c r="H31" s="8">
        <f>H23*Лист1!$B$5/100</f>
        <v>842627.40749999997</v>
      </c>
    </row>
    <row r="32" spans="1:12" x14ac:dyDescent="0.3">
      <c r="A32" t="s">
        <v>78</v>
      </c>
      <c r="B32" s="8">
        <f>B24*Лист1!$B$5/100</f>
        <v>1260802.3106249999</v>
      </c>
      <c r="G32" t="s">
        <v>78</v>
      </c>
      <c r="H32" s="8">
        <f>H24*Лист1!$B$5/100</f>
        <v>1963677.5568000001</v>
      </c>
    </row>
    <row r="33" spans="1:12" x14ac:dyDescent="0.3">
      <c r="A33" t="s">
        <v>79</v>
      </c>
      <c r="B33" s="8">
        <f>B25*Лист1!$B$5/100</f>
        <v>79904.323124999995</v>
      </c>
      <c r="G33" t="s">
        <v>79</v>
      </c>
      <c r="H33" s="8">
        <f>H25*Лист1!$B$5/100</f>
        <v>101115.2889</v>
      </c>
    </row>
    <row r="34" spans="1:12" x14ac:dyDescent="0.3">
      <c r="A34" t="s">
        <v>80</v>
      </c>
      <c r="B34" s="8">
        <f>B26*Лист1!$B$5/100</f>
        <v>2777764.5596249998</v>
      </c>
      <c r="G34" t="s">
        <v>80</v>
      </c>
      <c r="H34" s="8">
        <f>H26*Лист1!$B$5/100</f>
        <v>3924141.6815999998</v>
      </c>
    </row>
    <row r="36" spans="1:12" x14ac:dyDescent="0.3">
      <c r="A36" s="76" t="s">
        <v>96</v>
      </c>
      <c r="B36" s="76"/>
      <c r="C36" s="76"/>
      <c r="D36" s="76"/>
      <c r="E36" s="76"/>
      <c r="F36" s="76"/>
      <c r="G36" s="76" t="s">
        <v>97</v>
      </c>
      <c r="H36" s="76"/>
      <c r="I36" s="76"/>
      <c r="J36" s="76"/>
      <c r="K36" s="76"/>
      <c r="L36" s="76"/>
    </row>
    <row r="37" spans="1:12" x14ac:dyDescent="0.3">
      <c r="A37" t="s">
        <v>98</v>
      </c>
      <c r="B37" s="8">
        <f>B21+B29</f>
        <v>2999522.9879999999</v>
      </c>
      <c r="G37" t="s">
        <v>98</v>
      </c>
      <c r="H37" s="8">
        <f>H21+H29</f>
        <v>4393240.74</v>
      </c>
    </row>
    <row r="38" spans="1:12" x14ac:dyDescent="0.3">
      <c r="A38" t="s">
        <v>99</v>
      </c>
      <c r="B38" s="8">
        <f t="shared" ref="B38:B42" si="4">B22+B30</f>
        <v>3999363.9840000002</v>
      </c>
      <c r="G38" t="s">
        <v>99</v>
      </c>
      <c r="H38" s="8">
        <f t="shared" ref="H38:H42" si="5">H22+H30</f>
        <v>5096159.2583999988</v>
      </c>
    </row>
    <row r="39" spans="1:12" x14ac:dyDescent="0.3">
      <c r="A39" t="s">
        <v>100</v>
      </c>
      <c r="B39" s="8">
        <f t="shared" si="4"/>
        <v>6413653.6694999998</v>
      </c>
      <c r="G39" t="s">
        <v>100</v>
      </c>
      <c r="H39" s="8">
        <f t="shared" si="5"/>
        <v>7864522.4699999997</v>
      </c>
    </row>
    <row r="40" spans="1:12" x14ac:dyDescent="0.3">
      <c r="A40" t="s">
        <v>101</v>
      </c>
      <c r="B40" s="8">
        <f t="shared" si="4"/>
        <v>11767488.2325</v>
      </c>
      <c r="G40" t="s">
        <v>101</v>
      </c>
      <c r="H40" s="8">
        <f t="shared" si="5"/>
        <v>18327657.196800001</v>
      </c>
    </row>
    <row r="41" spans="1:12" x14ac:dyDescent="0.3">
      <c r="A41" t="s">
        <v>102</v>
      </c>
      <c r="B41" s="8">
        <f t="shared" si="4"/>
        <v>745773.6825</v>
      </c>
      <c r="G41" t="s">
        <v>102</v>
      </c>
      <c r="H41" s="8">
        <f t="shared" si="5"/>
        <v>943742.69640000002</v>
      </c>
    </row>
    <row r="42" spans="1:12" x14ac:dyDescent="0.3">
      <c r="A42" t="s">
        <v>103</v>
      </c>
      <c r="B42" s="8">
        <f t="shared" si="4"/>
        <v>25925802.556499999</v>
      </c>
      <c r="G42" t="s">
        <v>103</v>
      </c>
      <c r="H42" s="8">
        <f t="shared" si="5"/>
        <v>36625322.361599997</v>
      </c>
    </row>
    <row r="44" spans="1:12" x14ac:dyDescent="0.3">
      <c r="A44" s="76" t="s">
        <v>104</v>
      </c>
      <c r="B44" s="76"/>
      <c r="C44" s="76"/>
      <c r="D44" s="76"/>
    </row>
    <row r="45" spans="1:12" x14ac:dyDescent="0.3">
      <c r="A45" t="s">
        <v>106</v>
      </c>
      <c r="E45" t="s">
        <v>107</v>
      </c>
      <c r="G45" t="s">
        <v>108</v>
      </c>
    </row>
    <row r="46" spans="1:12" x14ac:dyDescent="0.3">
      <c r="A46">
        <v>4</v>
      </c>
      <c r="E46">
        <v>5</v>
      </c>
      <c r="G46">
        <f>IF(E46=1,Лист1!$B$47,IF(E46=2,Лист1!$C$47,IF(E46=3,Лист1!$D$47,IF(E46=4,Лист1!$E$47,IF(E46=5,Лист1!$F$47,IF(E46=6,Лист1!$G$47,IF(E46=7,Лист1!$H$47,IF(E46=8,Лист1!$I$47))))))))</f>
        <v>193.51</v>
      </c>
    </row>
    <row r="47" spans="1:12" x14ac:dyDescent="0.3">
      <c r="A47">
        <v>2</v>
      </c>
      <c r="E47">
        <v>4</v>
      </c>
      <c r="G47">
        <f>IF(E47=1,Лист1!$B$47,IF(E47=2,Лист1!$C$47,IF(E47=3,Лист1!$D$47,IF(E47=4,Лист1!$E$47,IF(E47=5,Лист1!$F$47,IF(E47=6,Лист1!$G$47,IF(E47=7,Лист1!$H$47,IF(E47=8,Лист1!$I$47))))))))</f>
        <v>178.12</v>
      </c>
    </row>
    <row r="48" spans="1:12" x14ac:dyDescent="0.3">
      <c r="A48">
        <v>2</v>
      </c>
      <c r="E48">
        <v>5</v>
      </c>
      <c r="G48">
        <f>IF(E48=1,Лист1!$B$47,IF(E48=2,Лист1!$C$47,IF(E48=3,Лист1!$D$47,IF(E48=4,Лист1!$E$47,IF(E48=5,Лист1!$F$47,IF(E48=6,Лист1!$G$47,IF(E48=7,Лист1!$H$47,IF(E48=8,Лист1!$I$47))))))))</f>
        <v>193.51</v>
      </c>
    </row>
    <row r="49" spans="1:7" x14ac:dyDescent="0.3">
      <c r="A49">
        <v>3</v>
      </c>
      <c r="E49">
        <v>4</v>
      </c>
      <c r="G49">
        <f>IF(E49=1,Лист1!$B$47,IF(E49=2,Лист1!$C$47,IF(E49=3,Лист1!$D$47,IF(E49=4,Лист1!$E$47,IF(E49=5,Лист1!$F$47,IF(E49=6,Лист1!$G$47,IF(E49=7,Лист1!$H$47,IF(E49=8,Лист1!$I$47))))))))</f>
        <v>178.12</v>
      </c>
    </row>
    <row r="50" spans="1:7" x14ac:dyDescent="0.3">
      <c r="A50">
        <v>3</v>
      </c>
      <c r="E50">
        <v>3</v>
      </c>
      <c r="G50">
        <f>IF(E50=1,Лист1!$B$47,IF(E50=2,Лист1!$C$47,IF(E50=3,Лист1!$D$47,IF(E50=4,Лист1!$E$47,IF(E50=5,Лист1!$F$47,IF(E50=6,Лист1!$G$47,IF(E50=7,Лист1!$H$47,IF(E50=8,Лист1!$I$47))))))))</f>
        <v>159.43</v>
      </c>
    </row>
    <row r="51" spans="1:7" x14ac:dyDescent="0.3">
      <c r="A51">
        <v>2</v>
      </c>
      <c r="E51">
        <v>3</v>
      </c>
      <c r="G51">
        <f>IF(E51=1,Лист1!$B$47,IF(E51=2,Лист1!$C$47,IF(E51=3,Лист1!$D$47,IF(E51=4,Лист1!$E$47,IF(E51=5,Лист1!$F$47,IF(E51=6,Лист1!$G$47,IF(E51=7,Лист1!$H$47,IF(E51=8,Лист1!$I$47))))))))</f>
        <v>159.43</v>
      </c>
    </row>
    <row r="52" spans="1:7" x14ac:dyDescent="0.3">
      <c r="A52">
        <v>2</v>
      </c>
      <c r="E52">
        <v>3</v>
      </c>
      <c r="G52">
        <f>IF(E52=1,Лист1!$B$47,IF(E52=2,Лист1!$C$47,IF(E52=3,Лист1!$D$47,IF(E52=4,Лист1!$E$47,IF(E52=5,Лист1!$F$47,IF(E52=6,Лист1!$G$47,IF(E52=7,Лист1!$H$47,IF(E52=8,Лист1!$I$47))))))))</f>
        <v>159.43</v>
      </c>
    </row>
    <row r="53" spans="1:7" x14ac:dyDescent="0.3">
      <c r="A53">
        <f>SUM(A46:A52)</f>
        <v>18</v>
      </c>
    </row>
    <row r="55" spans="1:7" x14ac:dyDescent="0.3">
      <c r="A55" s="76" t="s">
        <v>105</v>
      </c>
      <c r="B55" s="76"/>
      <c r="C55" s="76"/>
      <c r="D55" s="76"/>
      <c r="E55" s="76"/>
      <c r="F55" s="76"/>
    </row>
    <row r="56" spans="1:7" x14ac:dyDescent="0.3">
      <c r="A56" t="s">
        <v>109</v>
      </c>
      <c r="B56" s="8">
        <f>G46*Лист1!$D$42*A46*$B$10</f>
        <v>1723818.0416000001</v>
      </c>
    </row>
    <row r="57" spans="1:7" x14ac:dyDescent="0.3">
      <c r="A57" t="s">
        <v>110</v>
      </c>
      <c r="B57" s="8">
        <f>G47*Лист1!$D$42*A47*$B$10</f>
        <v>793360.72960000008</v>
      </c>
    </row>
    <row r="58" spans="1:7" x14ac:dyDescent="0.3">
      <c r="A58" t="s">
        <v>111</v>
      </c>
      <c r="B58" s="8">
        <f>G48*Лист1!$D$42*A48*$B$10</f>
        <v>861909.02080000006</v>
      </c>
    </row>
    <row r="59" spans="1:7" x14ac:dyDescent="0.3">
      <c r="A59" t="s">
        <v>112</v>
      </c>
      <c r="B59" s="8">
        <f>G49*Лист1!$D$42*A49*$B$10</f>
        <v>1190041.0944000001</v>
      </c>
    </row>
    <row r="60" spans="1:7" x14ac:dyDescent="0.3">
      <c r="A60" t="s">
        <v>113</v>
      </c>
      <c r="B60" s="8">
        <f>G50*Лист1!$D$42*A50*$B$10</f>
        <v>1065170.9616</v>
      </c>
    </row>
    <row r="61" spans="1:7" x14ac:dyDescent="0.3">
      <c r="A61" t="s">
        <v>114</v>
      </c>
      <c r="B61" s="8">
        <f>G51*Лист1!$D$42*A51*$B$10</f>
        <v>710113.97439999995</v>
      </c>
    </row>
    <row r="62" spans="1:7" x14ac:dyDescent="0.3">
      <c r="A62" t="s">
        <v>115</v>
      </c>
      <c r="B62" s="8">
        <f>G52*Лист1!$D$42*A52*$B$10</f>
        <v>710113.97439999995</v>
      </c>
    </row>
    <row r="63" spans="1:7" x14ac:dyDescent="0.3">
      <c r="A63" t="s">
        <v>116</v>
      </c>
      <c r="B63" s="8">
        <f>SUM(B56:B62)</f>
        <v>7054527.7967999997</v>
      </c>
    </row>
    <row r="65" spans="1:6" x14ac:dyDescent="0.3">
      <c r="A65" s="76" t="s">
        <v>117</v>
      </c>
      <c r="B65" s="76"/>
      <c r="C65" s="76"/>
      <c r="D65" s="76"/>
      <c r="E65" s="76"/>
      <c r="F65" s="76"/>
    </row>
    <row r="66" spans="1:6" x14ac:dyDescent="0.3">
      <c r="A66" t="s">
        <v>84</v>
      </c>
      <c r="B66" s="8">
        <f>$B$11*B56</f>
        <v>603336.31455999997</v>
      </c>
    </row>
    <row r="67" spans="1:6" x14ac:dyDescent="0.3">
      <c r="A67" t="s">
        <v>85</v>
      </c>
      <c r="B67" s="8">
        <f>$B$11*B57</f>
        <v>277676.25536000001</v>
      </c>
    </row>
    <row r="68" spans="1:6" x14ac:dyDescent="0.3">
      <c r="A68" t="s">
        <v>86</v>
      </c>
      <c r="B68" s="8">
        <f t="shared" ref="B68:B72" si="6">$B$11*B58</f>
        <v>301668.15727999998</v>
      </c>
    </row>
    <row r="69" spans="1:6" x14ac:dyDescent="0.3">
      <c r="A69" t="s">
        <v>87</v>
      </c>
      <c r="B69" s="8">
        <f t="shared" si="6"/>
        <v>416514.38303999999</v>
      </c>
    </row>
    <row r="70" spans="1:6" x14ac:dyDescent="0.3">
      <c r="A70" t="s">
        <v>88</v>
      </c>
      <c r="B70" s="8">
        <f>$B$11*B60</f>
        <v>372809.83655999997</v>
      </c>
    </row>
    <row r="71" spans="1:6" x14ac:dyDescent="0.3">
      <c r="A71" t="s">
        <v>118</v>
      </c>
      <c r="B71" s="8">
        <f t="shared" si="6"/>
        <v>248539.89103999996</v>
      </c>
    </row>
    <row r="72" spans="1:6" x14ac:dyDescent="0.3">
      <c r="A72" t="s">
        <v>119</v>
      </c>
      <c r="B72" s="8">
        <f t="shared" si="6"/>
        <v>248539.89103999996</v>
      </c>
    </row>
    <row r="73" spans="1:6" x14ac:dyDescent="0.3">
      <c r="A73" t="s">
        <v>120</v>
      </c>
      <c r="B73" s="8">
        <f>$B$11*B63</f>
        <v>2469084.7288799998</v>
      </c>
    </row>
    <row r="75" spans="1:6" x14ac:dyDescent="0.3">
      <c r="A75" s="76" t="s">
        <v>121</v>
      </c>
      <c r="B75" s="76"/>
      <c r="C75" s="76"/>
      <c r="D75" s="76"/>
      <c r="E75" s="76"/>
    </row>
    <row r="76" spans="1:6" x14ac:dyDescent="0.3">
      <c r="A76" t="s">
        <v>122</v>
      </c>
      <c r="B76" s="8">
        <f>B56+B66</f>
        <v>2327154.35616</v>
      </c>
    </row>
    <row r="77" spans="1:6" x14ac:dyDescent="0.3">
      <c r="A77" t="s">
        <v>123</v>
      </c>
      <c r="B77" s="8">
        <f t="shared" ref="B77:B83" si="7">B57+B67</f>
        <v>1071036.98496</v>
      </c>
    </row>
    <row r="78" spans="1:6" x14ac:dyDescent="0.3">
      <c r="A78" t="s">
        <v>124</v>
      </c>
      <c r="B78" s="8">
        <f t="shared" si="7"/>
        <v>1163577.17808</v>
      </c>
    </row>
    <row r="79" spans="1:6" x14ac:dyDescent="0.3">
      <c r="A79" t="s">
        <v>125</v>
      </c>
      <c r="B79" s="8">
        <f t="shared" si="7"/>
        <v>1606555.47744</v>
      </c>
    </row>
    <row r="80" spans="1:6" x14ac:dyDescent="0.3">
      <c r="A80" t="s">
        <v>126</v>
      </c>
      <c r="B80" s="8">
        <f t="shared" si="7"/>
        <v>1437980.79816</v>
      </c>
    </row>
    <row r="81" spans="1:6" x14ac:dyDescent="0.3">
      <c r="A81" t="s">
        <v>127</v>
      </c>
      <c r="B81" s="8">
        <f t="shared" si="7"/>
        <v>958653.86543999985</v>
      </c>
    </row>
    <row r="82" spans="1:6" x14ac:dyDescent="0.3">
      <c r="A82" t="s">
        <v>128</v>
      </c>
      <c r="B82" s="8">
        <f t="shared" si="7"/>
        <v>958653.86543999985</v>
      </c>
    </row>
    <row r="83" spans="1:6" x14ac:dyDescent="0.3">
      <c r="A83" t="s">
        <v>129</v>
      </c>
      <c r="B83" s="8">
        <f t="shared" si="7"/>
        <v>9523612.52568</v>
      </c>
    </row>
    <row r="85" spans="1:6" x14ac:dyDescent="0.3">
      <c r="A85" s="76" t="s">
        <v>130</v>
      </c>
      <c r="B85" s="76"/>
      <c r="C85" s="76"/>
      <c r="D85" s="76"/>
      <c r="E85" s="76"/>
      <c r="F85" s="76"/>
    </row>
    <row r="86" spans="1:6" x14ac:dyDescent="0.3">
      <c r="A86" t="s">
        <v>131</v>
      </c>
      <c r="B86" s="8">
        <f>B76*Лист1!$B$5/100</f>
        <v>279258.52273919998</v>
      </c>
    </row>
    <row r="87" spans="1:6" x14ac:dyDescent="0.3">
      <c r="A87" t="s">
        <v>132</v>
      </c>
      <c r="B87" s="8">
        <f>B77*Лист1!$B$5/100</f>
        <v>128524.4381952</v>
      </c>
    </row>
    <row r="88" spans="1:6" x14ac:dyDescent="0.3">
      <c r="A88" t="s">
        <v>133</v>
      </c>
      <c r="B88" s="8">
        <f>B78*Лист1!$B$5/100</f>
        <v>139629.26136959999</v>
      </c>
    </row>
    <row r="89" spans="1:6" x14ac:dyDescent="0.3">
      <c r="A89" t="s">
        <v>134</v>
      </c>
      <c r="B89" s="8">
        <f>B79*Лист1!$B$5/100</f>
        <v>192786.65729280002</v>
      </c>
    </row>
    <row r="90" spans="1:6" x14ac:dyDescent="0.3">
      <c r="A90" t="s">
        <v>135</v>
      </c>
      <c r="B90" s="8">
        <f>B80*Лист1!$B$5/100</f>
        <v>172557.6957792</v>
      </c>
    </row>
    <row r="91" spans="1:6" x14ac:dyDescent="0.3">
      <c r="A91" t="s">
        <v>136</v>
      </c>
      <c r="B91" s="8">
        <f>B81*Лист1!$B$5/100</f>
        <v>115038.46385279998</v>
      </c>
    </row>
    <row r="92" spans="1:6" x14ac:dyDescent="0.3">
      <c r="A92" t="s">
        <v>137</v>
      </c>
      <c r="B92" s="8">
        <f>B82*Лист1!$B$5/100</f>
        <v>115038.46385279998</v>
      </c>
    </row>
    <row r="93" spans="1:6" x14ac:dyDescent="0.3">
      <c r="A93" t="s">
        <v>138</v>
      </c>
      <c r="B93" s="8">
        <f>B83*Лист1!$B$5/100</f>
        <v>1142833.5030816002</v>
      </c>
    </row>
    <row r="95" spans="1:6" x14ac:dyDescent="0.3">
      <c r="A95" s="76" t="s">
        <v>139</v>
      </c>
      <c r="B95" s="76"/>
      <c r="C95" s="76"/>
      <c r="D95" s="76"/>
      <c r="E95" s="76"/>
      <c r="F95" s="76"/>
    </row>
    <row r="96" spans="1:6" x14ac:dyDescent="0.3">
      <c r="A96" t="s">
        <v>98</v>
      </c>
      <c r="B96" s="8">
        <f>B76+B86</f>
        <v>2606412.8788991999</v>
      </c>
    </row>
    <row r="97" spans="1:2" x14ac:dyDescent="0.3">
      <c r="A97" t="s">
        <v>99</v>
      </c>
      <c r="B97" s="8">
        <f t="shared" ref="B97:B103" si="8">B77+B87</f>
        <v>1199561.4231552</v>
      </c>
    </row>
    <row r="98" spans="1:2" x14ac:dyDescent="0.3">
      <c r="A98" t="s">
        <v>100</v>
      </c>
      <c r="B98" s="8">
        <f t="shared" si="8"/>
        <v>1303206.4394495999</v>
      </c>
    </row>
    <row r="99" spans="1:2" x14ac:dyDescent="0.3">
      <c r="A99" t="s">
        <v>101</v>
      </c>
      <c r="B99" s="8">
        <f t="shared" si="8"/>
        <v>1799342.1347328001</v>
      </c>
    </row>
    <row r="100" spans="1:2" x14ac:dyDescent="0.3">
      <c r="A100" t="s">
        <v>102</v>
      </c>
      <c r="B100" s="8">
        <f t="shared" si="8"/>
        <v>1610538.4939392</v>
      </c>
    </row>
    <row r="101" spans="1:2" x14ac:dyDescent="0.3">
      <c r="A101" t="s">
        <v>140</v>
      </c>
      <c r="B101" s="8">
        <f t="shared" si="8"/>
        <v>1073692.3292927998</v>
      </c>
    </row>
    <row r="102" spans="1:2" x14ac:dyDescent="0.3">
      <c r="A102" t="s">
        <v>141</v>
      </c>
      <c r="B102" s="8">
        <f t="shared" si="8"/>
        <v>1073692.3292927998</v>
      </c>
    </row>
    <row r="103" spans="1:2" x14ac:dyDescent="0.3">
      <c r="A103" t="s">
        <v>103</v>
      </c>
      <c r="B103" s="8">
        <f t="shared" si="8"/>
        <v>10666446.028761599</v>
      </c>
    </row>
  </sheetData>
  <mergeCells count="16">
    <mergeCell ref="G28:L28"/>
    <mergeCell ref="A36:F36"/>
    <mergeCell ref="G36:L36"/>
    <mergeCell ref="A44:D44"/>
    <mergeCell ref="A95:F95"/>
    <mergeCell ref="A55:F55"/>
    <mergeCell ref="A65:F65"/>
    <mergeCell ref="A75:E75"/>
    <mergeCell ref="A85:F85"/>
    <mergeCell ref="A28:F28"/>
    <mergeCell ref="G20:L20"/>
    <mergeCell ref="A1:F1"/>
    <mergeCell ref="G1:L1"/>
    <mergeCell ref="A12:F12"/>
    <mergeCell ref="G12:L12"/>
    <mergeCell ref="A20:F20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"/>
  <sheetViews>
    <sheetView topLeftCell="O1" zoomScaleNormal="100" workbookViewId="0">
      <selection activeCell="AE78" sqref="AE78"/>
    </sheetView>
  </sheetViews>
  <sheetFormatPr defaultRowHeight="14.4" x14ac:dyDescent="0.3"/>
  <cols>
    <col min="1" max="1" width="8.88671875" style="12"/>
    <col min="2" max="2" width="23.5546875" customWidth="1"/>
    <col min="3" max="3" width="11" bestFit="1" customWidth="1"/>
    <col min="4" max="4" width="13.77734375" bestFit="1" customWidth="1"/>
    <col min="5" max="5" width="19.6640625" bestFit="1" customWidth="1"/>
    <col min="6" max="6" width="8.88671875" style="8"/>
    <col min="8" max="8" width="21.77734375" customWidth="1"/>
    <col min="9" max="9" width="9.88671875" bestFit="1" customWidth="1"/>
    <col min="12" max="12" width="12.44140625" customWidth="1"/>
    <col min="13" max="13" width="14.6640625" bestFit="1" customWidth="1"/>
    <col min="14" max="14" width="11.88671875" bestFit="1" customWidth="1"/>
    <col min="15" max="15" width="12.33203125" customWidth="1"/>
    <col min="16" max="16" width="11.33203125" customWidth="1"/>
    <col min="17" max="17" width="13.33203125" customWidth="1"/>
    <col min="19" max="19" width="24.88671875" customWidth="1"/>
    <col min="20" max="20" width="11.109375" bestFit="1" customWidth="1"/>
    <col min="21" max="21" width="14.21875" customWidth="1"/>
    <col min="22" max="22" width="12.21875" customWidth="1"/>
    <col min="23" max="23" width="16.88671875" customWidth="1"/>
    <col min="24" max="24" width="13.6640625" customWidth="1"/>
    <col min="25" max="25" width="12" customWidth="1"/>
    <col min="26" max="26" width="15.33203125" bestFit="1" customWidth="1"/>
    <col min="27" max="27" width="14.21875" bestFit="1" customWidth="1"/>
    <col min="28" max="28" width="12.44140625" customWidth="1"/>
    <col min="30" max="30" width="16.88671875" style="20" customWidth="1"/>
    <col min="31" max="31" width="13.88671875" customWidth="1"/>
    <col min="32" max="32" width="17" customWidth="1"/>
    <col min="33" max="33" width="20.44140625" customWidth="1"/>
    <col min="34" max="34" width="20" customWidth="1"/>
    <col min="35" max="35" width="9.5546875" customWidth="1"/>
    <col min="36" max="36" width="13.88671875" customWidth="1"/>
    <col min="37" max="37" width="14" customWidth="1"/>
    <col min="38" max="38" width="10.5546875" bestFit="1" customWidth="1"/>
  </cols>
  <sheetData>
    <row r="1" spans="1:30" s="9" customFormat="1" x14ac:dyDescent="0.3">
      <c r="A1" s="113" t="s">
        <v>220</v>
      </c>
      <c r="B1" s="114"/>
      <c r="C1" s="114"/>
      <c r="D1" s="114"/>
      <c r="E1" s="114"/>
      <c r="F1" s="14"/>
      <c r="H1" s="115" t="s">
        <v>232</v>
      </c>
      <c r="I1" s="115"/>
      <c r="J1" s="115"/>
      <c r="K1" s="115"/>
      <c r="L1" s="115"/>
      <c r="M1" s="115"/>
      <c r="N1" s="115"/>
      <c r="O1" s="115"/>
      <c r="P1" s="115"/>
      <c r="Q1" s="115"/>
      <c r="S1" s="47" t="s">
        <v>247</v>
      </c>
      <c r="AD1" s="20"/>
    </row>
    <row r="2" spans="1:30" ht="43.8" thickBot="1" x14ac:dyDescent="0.35">
      <c r="A2" s="21" t="s">
        <v>142</v>
      </c>
      <c r="B2" s="22" t="s">
        <v>143</v>
      </c>
      <c r="C2" s="22" t="s">
        <v>144</v>
      </c>
      <c r="D2" s="23" t="s">
        <v>145</v>
      </c>
      <c r="E2" s="23" t="s">
        <v>146</v>
      </c>
      <c r="G2" t="s">
        <v>219</v>
      </c>
      <c r="H2" s="117" t="s">
        <v>233</v>
      </c>
      <c r="I2" s="109" t="s">
        <v>107</v>
      </c>
      <c r="J2" s="91" t="s">
        <v>234</v>
      </c>
      <c r="K2" s="91"/>
      <c r="L2" s="91" t="s">
        <v>222</v>
      </c>
      <c r="M2" s="91" t="s">
        <v>238</v>
      </c>
      <c r="N2" s="91" t="s">
        <v>237</v>
      </c>
      <c r="O2" s="91" t="s">
        <v>239</v>
      </c>
      <c r="P2" s="91" t="s">
        <v>240</v>
      </c>
      <c r="Q2" s="91" t="s">
        <v>241</v>
      </c>
      <c r="R2" s="77"/>
      <c r="S2" s="40" t="s">
        <v>248</v>
      </c>
      <c r="T2" s="41" t="s">
        <v>107</v>
      </c>
      <c r="U2" s="41" t="s">
        <v>222</v>
      </c>
      <c r="V2" s="41" t="s">
        <v>257</v>
      </c>
      <c r="W2" s="41" t="s">
        <v>249</v>
      </c>
      <c r="X2" s="41" t="s">
        <v>250</v>
      </c>
      <c r="Y2" s="41" t="s">
        <v>251</v>
      </c>
      <c r="Z2" s="41" t="s">
        <v>239</v>
      </c>
      <c r="AA2" s="41" t="s">
        <v>252</v>
      </c>
      <c r="AB2" s="41" t="s">
        <v>139</v>
      </c>
    </row>
    <row r="3" spans="1:30" ht="15.6" thickTop="1" thickBot="1" x14ac:dyDescent="0.35">
      <c r="A3" s="24">
        <v>1</v>
      </c>
      <c r="B3" s="25" t="s">
        <v>218</v>
      </c>
      <c r="C3" s="25">
        <v>3</v>
      </c>
      <c r="D3" s="25"/>
      <c r="E3" s="25"/>
      <c r="G3" s="8">
        <v>19242</v>
      </c>
      <c r="H3" s="117"/>
      <c r="I3" s="109"/>
      <c r="J3" s="16" t="s">
        <v>235</v>
      </c>
      <c r="K3" s="16" t="s">
        <v>236</v>
      </c>
      <c r="L3" s="91"/>
      <c r="M3" s="91"/>
      <c r="N3" s="91"/>
      <c r="O3" s="91"/>
      <c r="P3" s="91"/>
      <c r="Q3" s="91"/>
      <c r="R3" s="77"/>
      <c r="S3" s="48" t="s">
        <v>226</v>
      </c>
      <c r="T3" s="48" t="s">
        <v>150</v>
      </c>
      <c r="U3" s="48" t="s">
        <v>160</v>
      </c>
      <c r="V3" s="48" t="s">
        <v>167</v>
      </c>
      <c r="W3" s="48" t="s">
        <v>173</v>
      </c>
      <c r="X3" s="48" t="s">
        <v>253</v>
      </c>
      <c r="Y3" s="48" t="s">
        <v>254</v>
      </c>
      <c r="Z3" s="48" t="s">
        <v>255</v>
      </c>
      <c r="AA3" s="48" t="s">
        <v>256</v>
      </c>
      <c r="AB3" s="48" t="s">
        <v>258</v>
      </c>
    </row>
    <row r="4" spans="1:30" ht="15" thickTop="1" x14ac:dyDescent="0.3">
      <c r="A4" s="26" t="s">
        <v>147</v>
      </c>
      <c r="B4" s="27" t="s">
        <v>181</v>
      </c>
      <c r="C4" s="27">
        <v>1</v>
      </c>
      <c r="D4" s="27">
        <v>15</v>
      </c>
      <c r="E4" s="28">
        <f>$G$3*IF(D4=1,Лист1!$B$52,IF(D4=2,Лист1!$C$52,IF(D4=3,Лист1!$D$52,IF(D4=4,Лист1!$E$52,IF(D4=5,Лист1!$F$52,IF(D4=6,Лист1!$G$52,IF(D4=7,Лист1!$H$52,IF(D4=8,Лист1!$I$52,IF(D4=9,Лист1!$J$52,IF(D4=10,Лист1!$K$52,IF(D4=11,Лист1!$L$52,IF(D4=12,Лист1!$M$52,IF(D4=13,Лист1!$N$52,IF(D4=14,Лист1!$O$52,IF(D4=15,5.56,IF(D4=16,Лист1!$Q$52))))))))))))))))</f>
        <v>106985.51999999999</v>
      </c>
      <c r="G4" s="8"/>
      <c r="H4" s="42">
        <v>1</v>
      </c>
      <c r="I4" s="16">
        <v>2</v>
      </c>
      <c r="J4" s="42">
        <v>3</v>
      </c>
      <c r="K4" s="16">
        <v>4</v>
      </c>
      <c r="L4" s="42">
        <v>5</v>
      </c>
      <c r="M4" s="16">
        <v>6</v>
      </c>
      <c r="N4" s="42">
        <v>7</v>
      </c>
      <c r="O4" s="16">
        <v>8</v>
      </c>
      <c r="P4" s="42">
        <v>9</v>
      </c>
      <c r="Q4" s="16">
        <v>10</v>
      </c>
      <c r="R4" s="10"/>
      <c r="S4" s="16" t="s">
        <v>208</v>
      </c>
      <c r="T4" s="16">
        <f>D34</f>
        <v>5</v>
      </c>
      <c r="U4" s="16">
        <f>IF(T4=1,Лист1!$B$47,IF(T4=2,Лист1!$C$47,IF(T4=3,Лист1!$D$47,IF(T4=4,Лист1!$E$47,IF(T4=5,Лист1!$F$47,IF(T4=6,Лист1!$G$47,IF(T4=7,Лист1!$H$47,IF(T4=8,Лист1!$I$47))))))))</f>
        <v>193.51</v>
      </c>
      <c r="V4" s="112" t="s">
        <v>267</v>
      </c>
      <c r="W4" s="16">
        <f>C34</f>
        <v>4</v>
      </c>
      <c r="X4" s="19">
        <f>'Расчёт ФОТ'!B56</f>
        <v>1723818.0416000001</v>
      </c>
      <c r="Y4" s="19">
        <f>'Расчёт ФОТ'!B66</f>
        <v>603336.31455999997</v>
      </c>
      <c r="Z4" s="19">
        <f>'Расчёт ФОТ'!B76</f>
        <v>2327154.35616</v>
      </c>
      <c r="AA4" s="19">
        <f>'Расчёт ФОТ'!B86</f>
        <v>279258.52273919998</v>
      </c>
      <c r="AB4" s="19">
        <f>'Расчёт ФОТ'!B96</f>
        <v>2606412.8788991999</v>
      </c>
    </row>
    <row r="5" spans="1:30" ht="43.2" x14ac:dyDescent="0.3">
      <c r="A5" s="26" t="s">
        <v>148</v>
      </c>
      <c r="B5" s="27" t="s">
        <v>182</v>
      </c>
      <c r="C5" s="27">
        <v>1</v>
      </c>
      <c r="D5" s="27">
        <v>14</v>
      </c>
      <c r="E5" s="28">
        <f>$G$3*IF(D5=1,Лист1!$B$52,IF(D5=2,Лист1!$C$52,IF(D5=3,Лист1!$D$52,IF(D5=4,Лист1!$E$52,IF(D5=5,Лист1!$F$52,IF(D5=6,Лист1!$G$52,IF(D5=7,Лист1!$H$52,IF(D5=8,Лист1!$I$52,IF(D5=9,Лист1!$J$52,IF(D5=10,Лист1!$K$52,IF(D5=11,Лист1!$L$52,IF(D5=12,Лист1!$M$52,IF(D5=13,Лист1!$N$52,IF(D5=14,Лист1!$O$52,IF(D5=15,5.56,IF(D5=16,Лист1!$Q$52))))))))))))))))</f>
        <v>102367.44</v>
      </c>
      <c r="H5" s="16" t="s">
        <v>242</v>
      </c>
      <c r="I5" s="112">
        <f>Лист1!C9</f>
        <v>4</v>
      </c>
      <c r="J5" s="16"/>
      <c r="K5" s="16"/>
      <c r="L5" s="16">
        <f>IF(I5=1,Лист1!$B$47,IF(I5=2,Лист1!$C$47,IF(I5=3,Лист1!$D$47,IF(I5=4,Лист1!$E$47,IF(I5=5,Лист1!$F$47,IF(I5=6,Лист1!$G$47,IF(I5=7,Лист1!$H$47,IF(I5=8,Лист1!$I$47))))))))</f>
        <v>178.12</v>
      </c>
      <c r="M5" s="16"/>
      <c r="N5" s="16"/>
      <c r="O5" s="16"/>
      <c r="P5" s="16"/>
      <c r="Q5" s="16"/>
      <c r="S5" s="49" t="s">
        <v>209</v>
      </c>
      <c r="T5" s="16">
        <f t="shared" ref="T5:T9" si="0">D35</f>
        <v>4</v>
      </c>
      <c r="U5" s="16">
        <f>IF(T5=1,Лист1!$B$47,IF(T5=2,Лист1!$C$47,IF(T5=3,Лист1!$D$47,IF(T5=4,Лист1!$E$47,IF(T5=5,Лист1!$F$47,IF(T5=6,Лист1!$G$47,IF(T5=7,Лист1!$H$47,IF(T5=8,Лист1!$I$47))))))))</f>
        <v>178.12</v>
      </c>
      <c r="V5" s="109"/>
      <c r="W5" s="16">
        <f t="shared" ref="W5:W10" si="1">C35</f>
        <v>2</v>
      </c>
      <c r="X5" s="19">
        <f>'Расчёт ФОТ'!B57</f>
        <v>793360.72960000008</v>
      </c>
      <c r="Y5" s="19">
        <f>'Расчёт ФОТ'!B67</f>
        <v>277676.25536000001</v>
      </c>
      <c r="Z5" s="19">
        <f>'Расчёт ФОТ'!B77</f>
        <v>1071036.98496</v>
      </c>
      <c r="AA5" s="19">
        <f>'Расчёт ФОТ'!B87</f>
        <v>128524.4381952</v>
      </c>
      <c r="AB5" s="19">
        <f>'Расчёт ФОТ'!B97</f>
        <v>1199561.4231552</v>
      </c>
    </row>
    <row r="6" spans="1:30" ht="43.8" thickBot="1" x14ac:dyDescent="0.35">
      <c r="A6" s="26" t="s">
        <v>149</v>
      </c>
      <c r="B6" s="27" t="s">
        <v>183</v>
      </c>
      <c r="C6" s="27">
        <v>1</v>
      </c>
      <c r="D6" s="27">
        <v>12</v>
      </c>
      <c r="E6" s="28">
        <f>$G$3*IF(D6=1,Лист1!$B$52,IF(D6=2,Лист1!$C$52,IF(D6=3,Лист1!$D$52,IF(D6=4,Лист1!$E$52,IF(D6=5,Лист1!$F$52,IF(D6=6,Лист1!$G$52,IF(D6=7,Лист1!$H$52,IF(D6=8,Лист1!$I$52,IF(D6=9,Лист1!$J$52,IF(D6=10,Лист1!$K$52,IF(D6=11,Лист1!$L$52,IF(D6=12,Лист1!$M$52,IF(D6=13,Лист1!$N$52,IF(D6=14,Лист1!$O$52,IF(D6=15,5.56,IF(D6=16,Лист1!$Q$52))))))))))))))))</f>
        <v>80431.56</v>
      </c>
      <c r="H6" s="43" t="s">
        <v>4</v>
      </c>
      <c r="I6" s="112"/>
      <c r="J6" s="16">
        <f>Лист1!D9</f>
        <v>1.8</v>
      </c>
      <c r="K6" s="16">
        <f>J6*Лист1!$C$5</f>
        <v>8910</v>
      </c>
      <c r="L6" s="16"/>
      <c r="M6" s="19">
        <f>'Расчёт ФОТ'!B2</f>
        <v>1983811.5</v>
      </c>
      <c r="N6" s="19">
        <f>'Расчёт ФОТ'!B13</f>
        <v>694334.02499999991</v>
      </c>
      <c r="O6" s="19">
        <f>'Расчёт ФОТ'!B21</f>
        <v>2678145.5249999999</v>
      </c>
      <c r="P6" s="19">
        <f>'Расчёт ФОТ'!B29</f>
        <v>321377.46299999999</v>
      </c>
      <c r="Q6" s="19">
        <f>Приложения!O6+Приложения!P6</f>
        <v>2999522.9879999999</v>
      </c>
      <c r="S6" s="49" t="s">
        <v>210</v>
      </c>
      <c r="T6" s="16">
        <f t="shared" si="0"/>
        <v>5</v>
      </c>
      <c r="U6" s="16">
        <f>IF(T6=1,Лист1!$B$47,IF(T6=2,Лист1!$C$47,IF(T6=3,Лист1!$D$47,IF(T6=4,Лист1!$E$47,IF(T6=5,Лист1!$F$47,IF(T6=6,Лист1!$G$47,IF(T6=7,Лист1!$H$47,IF(T6=8,Лист1!$I$47))))))))</f>
        <v>193.51</v>
      </c>
      <c r="V6" s="109"/>
      <c r="W6" s="16">
        <f t="shared" si="1"/>
        <v>2</v>
      </c>
      <c r="X6" s="19">
        <f>'Расчёт ФОТ'!B58</f>
        <v>861909.02080000006</v>
      </c>
      <c r="Y6" s="19">
        <f>'Расчёт ФОТ'!B68</f>
        <v>301668.15727999998</v>
      </c>
      <c r="Z6" s="19">
        <f>'Расчёт ФОТ'!B78</f>
        <v>1163577.17808</v>
      </c>
      <c r="AA6" s="19">
        <f>'Расчёт ФОТ'!B88</f>
        <v>139629.26136959999</v>
      </c>
      <c r="AB6" s="19">
        <f>'Расчёт ФОТ'!B98</f>
        <v>1303206.4394495999</v>
      </c>
    </row>
    <row r="7" spans="1:30" ht="30" thickTop="1" thickBot="1" x14ac:dyDescent="0.35">
      <c r="A7" s="24" t="s">
        <v>150</v>
      </c>
      <c r="B7" s="29" t="s">
        <v>184</v>
      </c>
      <c r="C7" s="29">
        <v>10</v>
      </c>
      <c r="D7" s="29"/>
      <c r="E7" s="30"/>
      <c r="H7" s="43" t="s">
        <v>5</v>
      </c>
      <c r="I7" s="112"/>
      <c r="J7" s="16">
        <f>Лист1!E9</f>
        <v>2.5</v>
      </c>
      <c r="K7" s="16">
        <f>J7*Лист1!$E$5</f>
        <v>13050</v>
      </c>
      <c r="L7" s="16"/>
      <c r="M7" s="19">
        <f>'Расчёт ФОТ'!H2</f>
        <v>2905582.5</v>
      </c>
      <c r="N7" s="19">
        <f>'Расчёт ФОТ'!H13</f>
        <v>1016953.8749999999</v>
      </c>
      <c r="O7" s="19">
        <f>'Расчёт ФОТ'!H21</f>
        <v>3922536.375</v>
      </c>
      <c r="P7" s="19">
        <f>'Расчёт ФОТ'!H29</f>
        <v>470704.36499999999</v>
      </c>
      <c r="Q7" s="19">
        <f>Приложения!O7+Приложения!P7</f>
        <v>4393240.74</v>
      </c>
      <c r="S7" s="49" t="s">
        <v>211</v>
      </c>
      <c r="T7" s="16">
        <f t="shared" si="0"/>
        <v>4</v>
      </c>
      <c r="U7" s="16">
        <f>IF(T7=1,Лист1!$B$47,IF(T7=2,Лист1!$C$47,IF(T7=3,Лист1!$D$47,IF(T7=4,Лист1!$E$47,IF(T7=5,Лист1!$F$47,IF(T7=6,Лист1!$G$47,IF(T7=7,Лист1!$H$47,IF(T7=8,Лист1!$I$47))))))))</f>
        <v>178.12</v>
      </c>
      <c r="V7" s="109"/>
      <c r="W7" s="16">
        <f t="shared" si="1"/>
        <v>3</v>
      </c>
      <c r="X7" s="19">
        <f>'Расчёт ФОТ'!B59</f>
        <v>1190041.0944000001</v>
      </c>
      <c r="Y7" s="19">
        <f>'Расчёт ФОТ'!B69</f>
        <v>416514.38303999999</v>
      </c>
      <c r="Z7" s="19">
        <f>'Расчёт ФОТ'!B79</f>
        <v>1606555.47744</v>
      </c>
      <c r="AA7" s="19">
        <f>'Расчёт ФОТ'!B89</f>
        <v>192786.65729280002</v>
      </c>
      <c r="AB7" s="19">
        <f>'Расчёт ФОТ'!B99</f>
        <v>1799342.1347328001</v>
      </c>
    </row>
    <row r="8" spans="1:30" ht="58.2" thickTop="1" x14ac:dyDescent="0.3">
      <c r="A8" s="26" t="s">
        <v>151</v>
      </c>
      <c r="B8" s="27" t="s">
        <v>185</v>
      </c>
      <c r="C8" s="27">
        <v>1</v>
      </c>
      <c r="D8" s="27">
        <v>9</v>
      </c>
      <c r="E8" s="28">
        <f>$G$3*IF(D8=1,Лист1!$B$52,IF(D8=2,Лист1!$C$52,IF(D8=3,Лист1!$D$52,IF(D8=4,Лист1!$E$52,IF(D8=5,Лист1!$F$52,IF(D8=6,Лист1!$G$52,IF(D8=7,Лист1!$H$52,IF(D8=8,Лист1!$I$52,IF(D8=9,Лист1!$J$52,IF(D8=10,Лист1!$K$52,IF(D8=11,Лист1!$L$52,IF(D8=12,Лист1!$M$52,IF(D8=13,Лист1!$N$52,IF(D8=14,Лист1!$O$52,IF(D8=15,5.56,IF(D8=16,Лист1!$Q$52))))))))))))))))</f>
        <v>55994.22</v>
      </c>
      <c r="F8" s="15"/>
      <c r="H8" s="16" t="s">
        <v>277</v>
      </c>
      <c r="I8" s="112">
        <f>Лист1!C10</f>
        <v>4</v>
      </c>
      <c r="J8" s="16"/>
      <c r="K8" s="16"/>
      <c r="L8" s="16">
        <f>IF(I8=1,Лист1!$B$47,IF(I8=2,Лист1!$C$47,IF(I8=3,Лист1!$D$47,IF(I8=4,Лист1!$E$47,IF(I8=5,Лист1!$F$47,IF(I8=6,Лист1!$G$47,IF(I8=7,Лист1!$H$47,IF(I8=8,Лист1!$I$47))))))))</f>
        <v>178.12</v>
      </c>
      <c r="M8" s="19"/>
      <c r="N8" s="16"/>
      <c r="O8" s="16"/>
      <c r="P8" s="16"/>
      <c r="Q8" s="19"/>
      <c r="S8" s="49" t="s">
        <v>259</v>
      </c>
      <c r="T8" s="16">
        <f t="shared" si="0"/>
        <v>3</v>
      </c>
      <c r="U8" s="16">
        <f>IF(T8=1,Лист1!$B$47,IF(T8=2,Лист1!$C$47,IF(T8=3,Лист1!$D$47,IF(T8=4,Лист1!$E$47,IF(T8=5,Лист1!$F$47,IF(T8=6,Лист1!$G$47,IF(T8=7,Лист1!$H$47,IF(T8=8,Лист1!$I$47))))))))</f>
        <v>159.43</v>
      </c>
      <c r="V8" s="109"/>
      <c r="W8" s="16">
        <f t="shared" si="1"/>
        <v>3</v>
      </c>
      <c r="X8" s="19">
        <f>'Расчёт ФОТ'!B60</f>
        <v>1065170.9616</v>
      </c>
      <c r="Y8" s="19">
        <f>'Расчёт ФОТ'!B70</f>
        <v>372809.83655999997</v>
      </c>
      <c r="Z8" s="19">
        <f>'Расчёт ФОТ'!B80</f>
        <v>1437980.79816</v>
      </c>
      <c r="AA8" s="19">
        <f>'Расчёт ФОТ'!B90</f>
        <v>172557.6957792</v>
      </c>
      <c r="AB8" s="19">
        <f>'Расчёт ФОТ'!B100</f>
        <v>1610538.4939392</v>
      </c>
    </row>
    <row r="9" spans="1:30" ht="43.2" x14ac:dyDescent="0.3">
      <c r="A9" s="26" t="s">
        <v>152</v>
      </c>
      <c r="B9" s="27" t="s">
        <v>186</v>
      </c>
      <c r="C9" s="27">
        <v>1</v>
      </c>
      <c r="D9" s="27">
        <v>9</v>
      </c>
      <c r="E9" s="28">
        <f>$G$3*IF(D9=1,Лист1!$B$52,IF(D9=2,Лист1!$C$52,IF(D9=3,Лист1!$D$52,IF(D9=4,Лист1!$E$52,IF(D9=5,Лист1!$F$52,IF(D9=6,Лист1!$G$52,IF(D9=7,Лист1!$H$52,IF(D9=8,Лист1!$I$52,IF(D9=9,Лист1!$J$52,IF(D9=10,Лист1!$K$52,IF(D9=11,Лист1!$L$52,IF(D9=12,Лист1!$M$52,IF(D9=13,Лист1!$N$52,IF(D9=14,Лист1!$O$52,IF(D9=15,5.56,IF(D9=16,Лист1!$Q$52))))))))))))))))</f>
        <v>55994.22</v>
      </c>
      <c r="H9" s="43" t="s">
        <v>4</v>
      </c>
      <c r="I9" s="112"/>
      <c r="J9" s="16">
        <f>Лист1!D10</f>
        <v>2.4</v>
      </c>
      <c r="K9" s="16">
        <f>J9*Лист1!$C$5</f>
        <v>11880</v>
      </c>
      <c r="L9" s="16"/>
      <c r="M9" s="19">
        <f>'Расчёт ФОТ'!B3</f>
        <v>2645082</v>
      </c>
      <c r="N9" s="19">
        <f>'Расчёт ФОТ'!B14</f>
        <v>925778.7</v>
      </c>
      <c r="O9" s="19">
        <f>'Расчёт ФОТ'!B22</f>
        <v>3570860.7</v>
      </c>
      <c r="P9" s="19">
        <f>'Расчёт ФОТ'!B30</f>
        <v>428503.28400000004</v>
      </c>
      <c r="Q9" s="19">
        <f>Приложения!O9+Приложения!P9</f>
        <v>3999363.9840000002</v>
      </c>
      <c r="S9" s="49" t="s">
        <v>213</v>
      </c>
      <c r="T9" s="16">
        <f t="shared" si="0"/>
        <v>3</v>
      </c>
      <c r="U9" s="16">
        <f>IF(T9=1,Лист1!$B$47,IF(T9=2,Лист1!$C$47,IF(T9=3,Лист1!$D$47,IF(T9=4,Лист1!$E$47,IF(T9=5,Лист1!$F$47,IF(T9=6,Лист1!$G$47,IF(T9=7,Лист1!$H$47,IF(T9=8,Лист1!$I$47))))))))</f>
        <v>159.43</v>
      </c>
      <c r="V9" s="109"/>
      <c r="W9" s="16">
        <f t="shared" si="1"/>
        <v>2</v>
      </c>
      <c r="X9" s="19">
        <f>'Расчёт ФОТ'!B61</f>
        <v>710113.97439999995</v>
      </c>
      <c r="Y9" s="19">
        <f>'Расчёт ФОТ'!B71</f>
        <v>248539.89103999996</v>
      </c>
      <c r="Z9" s="19">
        <f>'Расчёт ФОТ'!B81</f>
        <v>958653.86543999985</v>
      </c>
      <c r="AA9" s="19">
        <f>'Расчёт ФОТ'!B91</f>
        <v>115038.46385279998</v>
      </c>
      <c r="AB9" s="19">
        <f>'Расчёт ФОТ'!B101</f>
        <v>1073692.3292927998</v>
      </c>
    </row>
    <row r="10" spans="1:30" ht="28.8" x14ac:dyDescent="0.3">
      <c r="A10" s="26" t="s">
        <v>153</v>
      </c>
      <c r="B10" s="27" t="s">
        <v>187</v>
      </c>
      <c r="C10" s="27">
        <v>1</v>
      </c>
      <c r="D10" s="27">
        <v>7</v>
      </c>
      <c r="E10" s="28">
        <f>$G$3*IF(D10=1,Лист1!$B$52,IF(D10=2,Лист1!$C$52,IF(D10=3,Лист1!$D$52,IF(D10=4,Лист1!$E$52,IF(D10=5,Лист1!$F$52,IF(D10=6,Лист1!$G$52,IF(D10=7,Лист1!$H$52,IF(D10=8,Лист1!$I$52,IF(D10=9,Лист1!$J$52,IF(D10=10,Лист1!$K$52,IF(D10=11,Лист1!$L$52,IF(D10=12,Лист1!$M$52,IF(D10=13,Лист1!$N$52,IF(D10=14,Лист1!$O$52,IF(D10=15,5.56,IF(D10=16,Лист1!$Q$52))))))))))))))))</f>
        <v>43679.340000000004</v>
      </c>
      <c r="H10" s="43" t="s">
        <v>5</v>
      </c>
      <c r="I10" s="112"/>
      <c r="J10" s="16">
        <f>Лист1!E10</f>
        <v>2.9</v>
      </c>
      <c r="K10" s="16">
        <f>J10*Лист1!$E$5</f>
        <v>15138</v>
      </c>
      <c r="L10" s="16"/>
      <c r="M10" s="19">
        <f>'Расчёт ФОТ'!H3</f>
        <v>3370475.6999999997</v>
      </c>
      <c r="N10" s="19">
        <f>'Расчёт ФОТ'!H14</f>
        <v>1179666.4949999999</v>
      </c>
      <c r="O10" s="19">
        <f>'Расчёт ФОТ'!H22</f>
        <v>4550142.1949999994</v>
      </c>
      <c r="P10" s="19">
        <f>'Расчёт ФОТ'!H30</f>
        <v>546017.06339999987</v>
      </c>
      <c r="Q10" s="19">
        <f>Приложения!O10+Приложения!P10</f>
        <v>5096159.2583999988</v>
      </c>
      <c r="S10" s="49" t="s">
        <v>214</v>
      </c>
      <c r="T10" s="16">
        <f>D40</f>
        <v>3</v>
      </c>
      <c r="U10" s="16">
        <f>IF(T10=1,Лист1!$B$47,IF(T10=2,Лист1!$C$47,IF(T10=3,Лист1!$D$47,IF(T10=4,Лист1!$E$47,IF(T10=5,Лист1!$F$47,IF(T10=6,Лист1!$G$47,IF(T10=7,Лист1!$H$47,IF(T10=8,Лист1!$I$47))))))))</f>
        <v>159.43</v>
      </c>
      <c r="V10" s="109"/>
      <c r="W10" s="16">
        <f t="shared" si="1"/>
        <v>2</v>
      </c>
      <c r="X10" s="19">
        <f>'Расчёт ФОТ'!B62</f>
        <v>710113.97439999995</v>
      </c>
      <c r="Y10" s="19">
        <f>'Расчёт ФОТ'!B72</f>
        <v>248539.89103999996</v>
      </c>
      <c r="Z10" s="19">
        <f>'Расчёт ФОТ'!B82</f>
        <v>958653.86543999985</v>
      </c>
      <c r="AA10" s="19">
        <f>'Расчёт ФОТ'!B92</f>
        <v>115038.46385279998</v>
      </c>
      <c r="AB10" s="19">
        <f>'Расчёт ФОТ'!B102</f>
        <v>1073692.3292927998</v>
      </c>
    </row>
    <row r="11" spans="1:30" x14ac:dyDescent="0.3">
      <c r="A11" s="26" t="s">
        <v>154</v>
      </c>
      <c r="B11" s="27" t="s">
        <v>188</v>
      </c>
      <c r="C11" s="27">
        <v>1</v>
      </c>
      <c r="D11" s="27">
        <v>7</v>
      </c>
      <c r="E11" s="28">
        <f>$G$3*IF(D11=1,Лист1!$B$52,IF(D11=2,Лист1!$C$52,IF(D11=3,Лист1!$D$52,IF(D11=4,Лист1!$E$52,IF(D11=5,Лист1!$F$52,IF(D11=6,Лист1!$G$52,IF(D11=7,Лист1!$H$52,IF(D11=8,Лист1!$I$52,IF(D11=9,Лист1!$J$52,IF(D11=10,Лист1!$K$52,IF(D11=11,Лист1!$L$52,IF(D11=12,Лист1!$M$52,IF(D11=13,Лист1!$N$52,IF(D11=14,Лист1!$O$52,IF(D11=15,5.56,IF(D11=16,Лист1!$Q$52))))))))))))))))</f>
        <v>43679.340000000004</v>
      </c>
      <c r="H11" s="16" t="s">
        <v>243</v>
      </c>
      <c r="I11" s="112">
        <f>Лист1!C11</f>
        <v>3</v>
      </c>
      <c r="J11" s="16"/>
      <c r="K11" s="16"/>
      <c r="L11" s="16">
        <f>IF(I11=1,Лист1!$B$47,IF(I11=2,Лист1!$C$47,IF(I11=3,Лист1!$D$47,IF(I11=4,Лист1!$E$47,IF(I11=5,Лист1!$F$47,IF(I11=6,Лист1!$G$47,IF(I11=7,Лист1!$H$47,IF(I11=8,Лист1!$I$47))))))))</f>
        <v>159.43</v>
      </c>
      <c r="M11" s="19"/>
      <c r="N11" s="16"/>
      <c r="O11" s="16"/>
      <c r="P11" s="16"/>
      <c r="Q11" s="19"/>
      <c r="S11" s="43" t="s">
        <v>260</v>
      </c>
      <c r="T11" s="16"/>
      <c r="U11" s="16">
        <f>SUM(U4:U10)</f>
        <v>1221.5500000000002</v>
      </c>
      <c r="V11" s="16"/>
      <c r="W11" s="16">
        <f>SUM(W4:W10)</f>
        <v>18</v>
      </c>
      <c r="X11" s="19">
        <f>'Расчёт ФОТ'!B63</f>
        <v>7054527.7967999997</v>
      </c>
      <c r="Y11" s="19">
        <f>'Расчёт ФОТ'!B73</f>
        <v>2469084.7288799998</v>
      </c>
      <c r="Z11" s="19">
        <f>'Расчёт ФОТ'!B83</f>
        <v>9523612.52568</v>
      </c>
      <c r="AA11" s="19">
        <f>'Расчёт ФОТ'!B93</f>
        <v>1142833.5030816002</v>
      </c>
      <c r="AB11" s="19">
        <f>'Расчёт ФОТ'!B103</f>
        <v>10666446.028761599</v>
      </c>
    </row>
    <row r="12" spans="1:30" x14ac:dyDescent="0.3">
      <c r="A12" s="26" t="s">
        <v>155</v>
      </c>
      <c r="B12" s="27" t="s">
        <v>189</v>
      </c>
      <c r="C12" s="27">
        <v>1</v>
      </c>
      <c r="D12" s="27">
        <v>9</v>
      </c>
      <c r="E12" s="28">
        <f>$G$3*IF(D12=1,Лист1!$B$52,IF(D12=2,Лист1!$C$52,IF(D12=3,Лист1!$D$52,IF(D12=4,Лист1!$E$52,IF(D12=5,Лист1!$F$52,IF(D12=6,Лист1!$G$52,IF(D12=7,Лист1!$H$52,IF(D12=8,Лист1!$I$52,IF(D12=9,Лист1!$J$52,IF(D12=10,Лист1!$K$52,IF(D12=11,Лист1!$L$52,IF(D12=12,Лист1!$M$52,IF(D12=13,Лист1!$N$52,IF(D12=14,Лист1!$O$52,IF(D12=15,5.56,IF(D12=16,Лист1!$Q$52))))))))))))))))</f>
        <v>55994.22</v>
      </c>
      <c r="H12" s="43" t="s">
        <v>4</v>
      </c>
      <c r="I12" s="112"/>
      <c r="J12" s="16">
        <f>Лист1!D11</f>
        <v>4.3</v>
      </c>
      <c r="K12" s="16">
        <f>J12*Лист1!$C$5</f>
        <v>21285</v>
      </c>
      <c r="L12" s="16"/>
      <c r="M12" s="19">
        <f>'Расчёт ФОТ'!B4</f>
        <v>4241834.4375</v>
      </c>
      <c r="N12" s="19">
        <f>'Расчёт ФОТ'!B15</f>
        <v>1484642.0531249999</v>
      </c>
      <c r="O12" s="19">
        <f>'Расчёт ФОТ'!B23</f>
        <v>5726476.4906249996</v>
      </c>
      <c r="P12" s="19">
        <f>'Расчёт ФОТ'!B31</f>
        <v>687177.17887499987</v>
      </c>
      <c r="Q12" s="19">
        <f>Приложения!O12+Приложения!P12</f>
        <v>6413653.6694999998</v>
      </c>
    </row>
    <row r="13" spans="1:30" x14ac:dyDescent="0.3">
      <c r="A13" s="26" t="s">
        <v>156</v>
      </c>
      <c r="B13" s="27" t="s">
        <v>190</v>
      </c>
      <c r="C13" s="27">
        <v>1</v>
      </c>
      <c r="D13" s="27">
        <v>8</v>
      </c>
      <c r="E13" s="28">
        <f>$G$3*IF(D13=1,Лист1!$B$52,IF(D13=2,Лист1!$C$52,IF(D13=3,Лист1!$D$52,IF(D13=4,Лист1!$E$52,IF(D13=5,Лист1!$F$52,IF(D13=6,Лист1!$G$52,IF(D13=7,Лист1!$H$52,IF(D13=8,Лист1!$I$52,IF(D13=9,Лист1!$J$52,IF(D13=10,Лист1!$K$52,IF(D13=11,Лист1!$L$52,IF(D13=12,Лист1!$M$52,IF(D13=13,Лист1!$N$52,IF(D13=14,Лист1!$O$52,IF(D13=15,5.56,IF(D13=16,Лист1!$Q$52))))))))))))))))</f>
        <v>48874.68</v>
      </c>
      <c r="H13" s="43" t="s">
        <v>5</v>
      </c>
      <c r="I13" s="112"/>
      <c r="J13" s="16">
        <f>Лист1!E11</f>
        <v>5</v>
      </c>
      <c r="K13" s="16">
        <f>J13*Лист1!$E$5</f>
        <v>26100</v>
      </c>
      <c r="L13" s="16"/>
      <c r="M13" s="19">
        <f>'Расчёт ФОТ'!H4</f>
        <v>5201403.75</v>
      </c>
      <c r="N13" s="19">
        <f>'Расчёт ФОТ'!H15</f>
        <v>1820491.3125</v>
      </c>
      <c r="O13" s="19">
        <f>'Расчёт ФОТ'!H23</f>
        <v>7021895.0625</v>
      </c>
      <c r="P13" s="19">
        <f>'Расчёт ФОТ'!H31</f>
        <v>842627.40749999997</v>
      </c>
      <c r="Q13" s="19">
        <f>Приложения!O13+Приложения!P13</f>
        <v>7864522.4699999997</v>
      </c>
      <c r="S13" s="111" t="s">
        <v>266</v>
      </c>
      <c r="T13" s="111"/>
      <c r="U13" s="111"/>
    </row>
    <row r="14" spans="1:30" ht="86.4" x14ac:dyDescent="0.3">
      <c r="A14" s="26" t="s">
        <v>157</v>
      </c>
      <c r="B14" s="27" t="s">
        <v>191</v>
      </c>
      <c r="C14" s="27">
        <v>2</v>
      </c>
      <c r="D14" s="27">
        <v>9</v>
      </c>
      <c r="E14" s="28">
        <f>$G$3*IF(D14=1,Лист1!$B$52,IF(D14=2,Лист1!$C$52,IF(D14=3,Лист1!$D$52,IF(D14=4,Лист1!$E$52,IF(D14=5,Лист1!$F$52,IF(D14=6,Лист1!$G$52,IF(D14=7,Лист1!$H$52,IF(D14=8,Лист1!$I$52,IF(D14=9,Лист1!$J$52,IF(D14=10,Лист1!$K$52,IF(D14=11,Лист1!$L$52,IF(D14=12,Лист1!$M$52,IF(D14=13,Лист1!$N$52,IF(D14=14,Лист1!$O$52,IF(D14=15,5.56,IF(D14=16,Лист1!$Q$52))))))))))))))))</f>
        <v>55994.22</v>
      </c>
      <c r="H14" s="16" t="s">
        <v>244</v>
      </c>
      <c r="I14" s="112">
        <f>Лист1!C12</f>
        <v>5</v>
      </c>
      <c r="J14" s="16"/>
      <c r="K14" s="16"/>
      <c r="L14" s="16">
        <f>IF(I14=1,Лист1!$B$47,IF(I14=2,Лист1!$C$47,IF(I14=3,Лист1!$D$47,IF(I14=4,Лист1!$E$47,IF(I14=5,Лист1!$F$47,IF(I14=6,Лист1!$G$47,IF(I14=7,Лист1!$H$47,IF(I14=8,Лист1!$I$47))))))))</f>
        <v>193.51</v>
      </c>
      <c r="M14" s="19"/>
      <c r="N14" s="16"/>
      <c r="O14" s="16"/>
      <c r="P14" s="16"/>
      <c r="Q14" s="19"/>
      <c r="S14" s="41" t="s">
        <v>261</v>
      </c>
      <c r="T14" s="41" t="s">
        <v>262</v>
      </c>
      <c r="U14" s="41" t="s">
        <v>263</v>
      </c>
      <c r="V14" s="41" t="s">
        <v>264</v>
      </c>
      <c r="W14" s="41" t="s">
        <v>251</v>
      </c>
      <c r="X14" s="41" t="s">
        <v>239</v>
      </c>
      <c r="Y14" s="41" t="s">
        <v>252</v>
      </c>
      <c r="Z14" s="41" t="s">
        <v>265</v>
      </c>
      <c r="AA14" s="41" t="s">
        <v>139</v>
      </c>
    </row>
    <row r="15" spans="1:30" x14ac:dyDescent="0.3">
      <c r="A15" s="26" t="s">
        <v>158</v>
      </c>
      <c r="B15" s="27" t="s">
        <v>192</v>
      </c>
      <c r="C15" s="27">
        <v>1</v>
      </c>
      <c r="D15" s="27">
        <v>9</v>
      </c>
      <c r="E15" s="28">
        <f>$G$3*IF(D15=1,Лист1!$B$52,IF(D15=2,Лист1!$C$52,IF(D15=3,Лист1!$D$52,IF(D15=4,Лист1!$E$52,IF(D15=5,Лист1!$F$52,IF(D15=6,Лист1!$G$52,IF(D15=7,Лист1!$H$52,IF(D15=8,Лист1!$I$52,IF(D15=9,Лист1!$J$52,IF(D15=10,Лист1!$K$52,IF(D15=11,Лист1!$L$52,IF(D15=12,Лист1!$M$52,IF(D15=13,Лист1!$N$52,IF(D15=14,Лист1!$O$52,IF(D15=15,5.56,IF(D15=16,Лист1!$Q$52))))))))))))))))</f>
        <v>55994.22</v>
      </c>
      <c r="H15" s="43" t="s">
        <v>4</v>
      </c>
      <c r="I15" s="112"/>
      <c r="J15" s="16">
        <f>Лист1!D12</f>
        <v>6.5</v>
      </c>
      <c r="K15" s="16">
        <f>J15*Лист1!$C$5</f>
        <v>32175</v>
      </c>
      <c r="L15" s="16"/>
      <c r="M15" s="19">
        <f>'Расчёт ФОТ'!B5</f>
        <v>7782730.3125</v>
      </c>
      <c r="N15" s="19">
        <f>'Расчёт ФОТ'!B16</f>
        <v>2723955.609375</v>
      </c>
      <c r="O15" s="19">
        <f>'Расчёт ФОТ'!B24</f>
        <v>10506685.921875</v>
      </c>
      <c r="P15" s="19">
        <f>'Расчёт ФОТ'!B32</f>
        <v>1260802.3106249999</v>
      </c>
      <c r="Q15" s="19">
        <f>Приложения!O15+Приложения!P15</f>
        <v>11767488.2325</v>
      </c>
      <c r="S15" s="41">
        <v>1</v>
      </c>
      <c r="T15" s="16">
        <v>2</v>
      </c>
      <c r="U15" s="16">
        <v>3</v>
      </c>
      <c r="V15" s="16">
        <v>4</v>
      </c>
      <c r="W15" s="16">
        <v>5</v>
      </c>
      <c r="X15" s="16">
        <v>6</v>
      </c>
      <c r="Y15" s="16">
        <v>7</v>
      </c>
      <c r="Z15" s="16">
        <v>8</v>
      </c>
      <c r="AA15" s="16">
        <v>9</v>
      </c>
    </row>
    <row r="16" spans="1:30" ht="15" thickBot="1" x14ac:dyDescent="0.35">
      <c r="A16" s="26" t="s">
        <v>159</v>
      </c>
      <c r="B16" s="27" t="s">
        <v>193</v>
      </c>
      <c r="C16" s="27">
        <v>1</v>
      </c>
      <c r="D16" s="27">
        <v>9</v>
      </c>
      <c r="E16" s="28">
        <f>$G$3*IF(D16=1,Лист1!$B$52,IF(D16=2,Лист1!$C$52,IF(D16=3,Лист1!$D$52,IF(D16=4,Лист1!$E$52,IF(D16=5,Лист1!$F$52,IF(D16=6,Лист1!$G$52,IF(D16=7,Лист1!$H$52,IF(D16=8,Лист1!$I$52,IF(D16=9,Лист1!$J$52,IF(D16=10,Лист1!$K$52,IF(D16=11,Лист1!$L$52,IF(D16=12,Лист1!$M$52,IF(D16=13,Лист1!$N$52,IF(D16=14,Лист1!$O$52,IF(D16=15,5.56,IF(D16=16,Лист1!$Q$52))))))))))))))))</f>
        <v>55994.22</v>
      </c>
      <c r="H16" s="43" t="s">
        <v>5</v>
      </c>
      <c r="I16" s="112"/>
      <c r="J16" s="16">
        <f>Лист1!E12</f>
        <v>9.6</v>
      </c>
      <c r="K16" s="16">
        <f>J16*Лист1!$E$5</f>
        <v>50112</v>
      </c>
      <c r="L16" s="16"/>
      <c r="M16" s="19">
        <f>'Расчёт ФОТ'!H5</f>
        <v>12121466.4</v>
      </c>
      <c r="N16" s="19">
        <f>'Расчёт ФОТ'!H16</f>
        <v>4242513.24</v>
      </c>
      <c r="O16" s="19">
        <f>'Расчёт ФОТ'!H24</f>
        <v>16363979.640000001</v>
      </c>
      <c r="P16" s="19">
        <f>'Расчёт ФОТ'!H32</f>
        <v>1963677.5568000001</v>
      </c>
      <c r="Q16" s="19">
        <f>Приложения!O16+Приложения!P16</f>
        <v>18327657.196800001</v>
      </c>
      <c r="S16" s="41" t="str">
        <f>B4</f>
        <v>Директор</v>
      </c>
      <c r="T16" s="19">
        <f>E4</f>
        <v>106985.51999999999</v>
      </c>
      <c r="U16" s="16">
        <f>C4</f>
        <v>1</v>
      </c>
      <c r="V16" s="19">
        <f>T16*1.25</f>
        <v>133731.9</v>
      </c>
      <c r="W16" s="19">
        <f>0.35*V16</f>
        <v>46806.164999999994</v>
      </c>
      <c r="X16" s="19">
        <f>V16+W16</f>
        <v>180538.065</v>
      </c>
      <c r="Y16" s="19">
        <f>X16*Лист1!$B$5/100</f>
        <v>21664.567800000004</v>
      </c>
      <c r="Z16" s="19">
        <f>X16+Y16</f>
        <v>202202.63280000002</v>
      </c>
      <c r="AA16" s="19">
        <f>Z16*U16*12</f>
        <v>2426431.5936000003</v>
      </c>
    </row>
    <row r="17" spans="1:30" ht="15.6" thickTop="1" thickBot="1" x14ac:dyDescent="0.35">
      <c r="A17" s="24" t="s">
        <v>160</v>
      </c>
      <c r="B17" s="29" t="s">
        <v>194</v>
      </c>
      <c r="C17" s="29">
        <v>15</v>
      </c>
      <c r="D17" s="29"/>
      <c r="E17" s="30"/>
      <c r="H17" s="16" t="s">
        <v>245</v>
      </c>
      <c r="I17" s="112">
        <f>Лист1!C13</f>
        <v>3</v>
      </c>
      <c r="J17" s="16"/>
      <c r="K17" s="16"/>
      <c r="L17" s="16">
        <f>IF(I17=1,Лист1!$B$47,IF(I17=2,Лист1!$C$47,IF(I17=3,Лист1!$D$47,IF(I17=4,Лист1!$E$47,IF(I17=5,Лист1!$F$47,IF(I17=6,Лист1!$G$47,IF(I17=7,Лист1!$H$47,IF(I17=8,Лист1!$I$47))))))))</f>
        <v>159.43</v>
      </c>
      <c r="M17" s="19"/>
      <c r="N17" s="16"/>
      <c r="O17" s="16"/>
      <c r="P17" s="16"/>
      <c r="Q17" s="19"/>
      <c r="S17" s="41" t="str">
        <f>B5</f>
        <v>Зам. Директора</v>
      </c>
      <c r="T17" s="19">
        <f>E5</f>
        <v>102367.44</v>
      </c>
      <c r="U17" s="16">
        <f>C5</f>
        <v>1</v>
      </c>
      <c r="V17" s="19">
        <f t="shared" ref="V17:V33" si="2">T17*1.25</f>
        <v>127959.3</v>
      </c>
      <c r="W17" s="19">
        <f t="shared" ref="W17:W33" si="3">0.35*V17</f>
        <v>44785.754999999997</v>
      </c>
      <c r="X17" s="19">
        <f t="shared" ref="X17:X33" si="4">V17+W17</f>
        <v>172745.05499999999</v>
      </c>
      <c r="Y17" s="19">
        <f>X17*Лист1!$B$5/100</f>
        <v>20729.406599999998</v>
      </c>
      <c r="Z17" s="19">
        <f t="shared" ref="Z17:Z33" si="5">X17+Y17</f>
        <v>193474.46159999998</v>
      </c>
      <c r="AA17" s="19">
        <f t="shared" ref="AA17:AA33" si="6">Z17*U17*12</f>
        <v>2321693.5391999995</v>
      </c>
    </row>
    <row r="18" spans="1:30" ht="14.4" customHeight="1" thickTop="1" x14ac:dyDescent="0.3">
      <c r="A18" s="26" t="s">
        <v>161</v>
      </c>
      <c r="B18" s="27" t="s">
        <v>195</v>
      </c>
      <c r="C18" s="27">
        <v>2</v>
      </c>
      <c r="D18" s="27">
        <v>6</v>
      </c>
      <c r="E18" s="28">
        <f>$G$3*IF(D18=1,Лист1!$B$52,IF(D18=2,Лист1!$C$52,IF(D18=3,Лист1!$D$52,IF(D18=4,Лист1!$E$52,IF(D18=5,Лист1!$F$52,IF(D18=6,Лист1!$G$52,IF(D18=7,Лист1!$H$52,IF(D18=8,Лист1!$I$52,IF(D18=9,Лист1!$J$52,IF(D18=10,Лист1!$K$52,IF(D18=11,Лист1!$L$52,IF(D18=12,Лист1!$M$52,IF(D18=13,Лист1!$N$52,IF(D18=14,Лист1!$O$52,IF(D18=15,5.56,IF(D18=16,Лист1!$Q$52))))))))))))))))</f>
        <v>38484</v>
      </c>
      <c r="H18" s="43" t="s">
        <v>4</v>
      </c>
      <c r="I18" s="112"/>
      <c r="J18" s="16">
        <f>Лист1!D13</f>
        <v>0.5</v>
      </c>
      <c r="K18" s="16">
        <f>J18*Лист1!$C$5</f>
        <v>2475</v>
      </c>
      <c r="L18" s="16"/>
      <c r="M18" s="19">
        <f>'Расчёт ФОТ'!B6</f>
        <v>493236.5625</v>
      </c>
      <c r="N18" s="19">
        <f>'Расчёт ФОТ'!B17</f>
        <v>172632.796875</v>
      </c>
      <c r="O18" s="19">
        <f>'Расчёт ФОТ'!B25</f>
        <v>665869.359375</v>
      </c>
      <c r="P18" s="19">
        <f>'Расчёт ФОТ'!B33</f>
        <v>79904.323124999995</v>
      </c>
      <c r="Q18" s="19">
        <f>Приложения!O18+Приложения!P18</f>
        <v>745773.6825</v>
      </c>
      <c r="S18" s="41" t="str">
        <f>B6</f>
        <v>Гл. бухгалтер</v>
      </c>
      <c r="T18" s="19">
        <f>E6</f>
        <v>80431.56</v>
      </c>
      <c r="U18" s="16">
        <f>C6</f>
        <v>1</v>
      </c>
      <c r="V18" s="19">
        <f t="shared" si="2"/>
        <v>100539.45</v>
      </c>
      <c r="W18" s="19">
        <f t="shared" si="3"/>
        <v>35188.807499999995</v>
      </c>
      <c r="X18" s="19">
        <f t="shared" si="4"/>
        <v>135728.25750000001</v>
      </c>
      <c r="Y18" s="19">
        <f>X18*Лист1!$B$5/100</f>
        <v>16287.3909</v>
      </c>
      <c r="Z18" s="19">
        <f t="shared" si="5"/>
        <v>152015.64840000001</v>
      </c>
      <c r="AA18" s="19">
        <f t="shared" si="6"/>
        <v>1824187.7808000001</v>
      </c>
    </row>
    <row r="19" spans="1:30" x14ac:dyDescent="0.3">
      <c r="A19" s="26" t="s">
        <v>162</v>
      </c>
      <c r="B19" s="27" t="s">
        <v>196</v>
      </c>
      <c r="C19" s="27">
        <v>2</v>
      </c>
      <c r="D19" s="27">
        <v>6</v>
      </c>
      <c r="E19" s="28">
        <f>$G$3*IF(D19=1,Лист1!$B$52,IF(D19=2,Лист1!$C$52,IF(D19=3,Лист1!$D$52,IF(D19=4,Лист1!$E$52,IF(D19=5,Лист1!$F$52,IF(D19=6,Лист1!$G$52,IF(D19=7,Лист1!$H$52,IF(D19=8,Лист1!$I$52,IF(D19=9,Лист1!$J$52,IF(D19=10,Лист1!$K$52,IF(D19=11,Лист1!$L$52,IF(D19=12,Лист1!$M$52,IF(D19=13,Лист1!$N$52,IF(D19=14,Лист1!$O$52,IF(D19=15,5.56,IF(D19=16,Лист1!$Q$52))))))))))))))))</f>
        <v>38484</v>
      </c>
      <c r="H19" s="43" t="s">
        <v>5</v>
      </c>
      <c r="I19" s="112"/>
      <c r="J19" s="16">
        <f>Лист1!E13</f>
        <v>0.6</v>
      </c>
      <c r="K19" s="16">
        <f>J19*Лист1!$E$5</f>
        <v>3132</v>
      </c>
      <c r="L19" s="16"/>
      <c r="M19" s="19">
        <f>'Расчёт ФОТ'!H6</f>
        <v>624168.44999999995</v>
      </c>
      <c r="N19" s="19">
        <f>'Расчёт ФОТ'!H17</f>
        <v>218458.95749999996</v>
      </c>
      <c r="O19" s="19">
        <f>'Расчёт ФОТ'!H25</f>
        <v>842627.40749999997</v>
      </c>
      <c r="P19" s="19">
        <f>'Расчёт ФОТ'!H33</f>
        <v>101115.2889</v>
      </c>
      <c r="Q19" s="19">
        <f>Приложения!O19+Приложения!P19</f>
        <v>943742.69640000002</v>
      </c>
      <c r="S19" s="41" t="str">
        <f t="shared" ref="S19:S27" si="7">B8</f>
        <v>Технолог</v>
      </c>
      <c r="T19" s="19">
        <f t="shared" ref="T19:T27" si="8">E8</f>
        <v>55994.22</v>
      </c>
      <c r="U19" s="16">
        <f t="shared" ref="U19:U27" si="9">C8</f>
        <v>1</v>
      </c>
      <c r="V19" s="19">
        <f t="shared" si="2"/>
        <v>69992.774999999994</v>
      </c>
      <c r="W19" s="19">
        <f t="shared" si="3"/>
        <v>24497.471249999995</v>
      </c>
      <c r="X19" s="19">
        <f t="shared" si="4"/>
        <v>94490.246249999997</v>
      </c>
      <c r="Y19" s="19">
        <f>X19*Лист1!$B$5/100</f>
        <v>11338.82955</v>
      </c>
      <c r="Z19" s="19">
        <f t="shared" si="5"/>
        <v>105829.07579999999</v>
      </c>
      <c r="AA19" s="19">
        <f t="shared" si="6"/>
        <v>1269948.9095999999</v>
      </c>
    </row>
    <row r="20" spans="1:30" x14ac:dyDescent="0.3">
      <c r="A20" s="26" t="s">
        <v>163</v>
      </c>
      <c r="B20" s="27" t="s">
        <v>197</v>
      </c>
      <c r="C20" s="27">
        <v>1</v>
      </c>
      <c r="D20" s="27">
        <v>5</v>
      </c>
      <c r="E20" s="28">
        <f>$G$3*IF(D20=1,Лист1!$B$52,IF(D20=2,Лист1!$C$52,IF(D20=3,Лист1!$D$52,IF(D20=4,Лист1!$E$52,IF(D20=5,Лист1!$F$52,IF(D20=6,Лист1!$G$52,IF(D20=7,Лист1!$H$52,IF(D20=8,Лист1!$I$52,IF(D20=9,Лист1!$J$52,IF(D20=10,Лист1!$K$52,IF(D20=11,Лист1!$L$52,IF(D20=12,Лист1!$M$52,IF(D20=13,Лист1!$N$52,IF(D20=14,Лист1!$O$52,IF(D20=15,5.56,IF(D20=16,Лист1!$Q$52))))))))))))))))</f>
        <v>35020.44</v>
      </c>
      <c r="H20" s="16" t="s">
        <v>246</v>
      </c>
      <c r="I20" s="42"/>
      <c r="J20" s="16"/>
      <c r="K20" s="16"/>
      <c r="L20" s="16">
        <f>SUM(L5:L17)</f>
        <v>868.61000000000013</v>
      </c>
      <c r="M20" s="19"/>
      <c r="N20" s="16"/>
      <c r="O20" s="16"/>
      <c r="P20" s="16"/>
      <c r="Q20" s="16"/>
      <c r="S20" s="41" t="str">
        <f t="shared" si="7"/>
        <v>Конструктор</v>
      </c>
      <c r="T20" s="19">
        <f t="shared" si="8"/>
        <v>55994.22</v>
      </c>
      <c r="U20" s="16">
        <f t="shared" si="9"/>
        <v>1</v>
      </c>
      <c r="V20" s="19">
        <f t="shared" si="2"/>
        <v>69992.774999999994</v>
      </c>
      <c r="W20" s="19">
        <f t="shared" si="3"/>
        <v>24497.471249999995</v>
      </c>
      <c r="X20" s="19">
        <f t="shared" si="4"/>
        <v>94490.246249999997</v>
      </c>
      <c r="Y20" s="19">
        <f>X20*Лист1!$B$5/100</f>
        <v>11338.82955</v>
      </c>
      <c r="Z20" s="19">
        <f t="shared" si="5"/>
        <v>105829.07579999999</v>
      </c>
      <c r="AA20" s="19">
        <f t="shared" si="6"/>
        <v>1269948.9095999999</v>
      </c>
    </row>
    <row r="21" spans="1:30" ht="13.8" customHeight="1" x14ac:dyDescent="0.3">
      <c r="A21" s="26" t="s">
        <v>164</v>
      </c>
      <c r="B21" s="27" t="s">
        <v>198</v>
      </c>
      <c r="C21" s="27">
        <v>2</v>
      </c>
      <c r="D21" s="27">
        <v>4</v>
      </c>
      <c r="E21" s="28">
        <f>$G$3*IF(D21=1,Лист1!$B$52,IF(D21=2,Лист1!$C$52,IF(D21=3,Лист1!$D$52,IF(D21=4,Лист1!$E$52,IF(D21=5,Лист1!$F$52,IF(D21=6,Лист1!$G$52,IF(D21=7,Лист1!$H$52,IF(D21=8,Лист1!$I$52,IF(D21=9,Лист1!$J$52,IF(D21=10,Лист1!$K$52,IF(D21=11,Лист1!$L$52,IF(D21=12,Лист1!$M$52,IF(D21=13,Лист1!$N$52,IF(D21=14,Лист1!$O$52,IF(D21=15,5.56,IF(D21=16,Лист1!$Q$52))))))))))))))))</f>
        <v>33288.659999999996</v>
      </c>
      <c r="H21" s="43" t="s">
        <v>4</v>
      </c>
      <c r="I21" s="42"/>
      <c r="J21" s="16">
        <f>SUM(J6,J9,J12,J15,J18)</f>
        <v>15.5</v>
      </c>
      <c r="K21" s="16">
        <f>SUM(K6,K9,K12,K15,K18)</f>
        <v>76725</v>
      </c>
      <c r="L21" s="16"/>
      <c r="M21" s="19">
        <f t="shared" ref="M21" si="10">SUM(M6,M9,M12,M15,M18)</f>
        <v>17146694.8125</v>
      </c>
      <c r="N21" s="19">
        <f t="shared" ref="N21:O21" si="11">SUM(N6,N9,N12,N15,N18)</f>
        <v>6001343.1843749993</v>
      </c>
      <c r="O21" s="19">
        <f t="shared" si="11"/>
        <v>23148037.996874999</v>
      </c>
      <c r="P21" s="19">
        <f t="shared" ref="P21:Q21" si="12">SUM(P6,P9,P12,P15,P18)</f>
        <v>2777764.5596249998</v>
      </c>
      <c r="Q21" s="19">
        <f t="shared" si="12"/>
        <v>25925802.556499999</v>
      </c>
      <c r="S21" s="41" t="str">
        <f t="shared" si="7"/>
        <v>Программист</v>
      </c>
      <c r="T21" s="19">
        <f t="shared" si="8"/>
        <v>43679.340000000004</v>
      </c>
      <c r="U21" s="16">
        <f t="shared" si="9"/>
        <v>1</v>
      </c>
      <c r="V21" s="19">
        <f t="shared" si="2"/>
        <v>54599.175000000003</v>
      </c>
      <c r="W21" s="19">
        <f t="shared" si="3"/>
        <v>19109.71125</v>
      </c>
      <c r="X21" s="19">
        <f t="shared" si="4"/>
        <v>73708.88625000001</v>
      </c>
      <c r="Y21" s="19">
        <f>X21*Лист1!$B$5/100</f>
        <v>8845.066350000001</v>
      </c>
      <c r="Z21" s="19">
        <f t="shared" si="5"/>
        <v>82553.952600000019</v>
      </c>
      <c r="AA21" s="19">
        <f t="shared" si="6"/>
        <v>990647.43120000022</v>
      </c>
    </row>
    <row r="22" spans="1:30" ht="16.2" customHeight="1" x14ac:dyDescent="0.3">
      <c r="A22" s="26" t="s">
        <v>165</v>
      </c>
      <c r="B22" s="27" t="s">
        <v>199</v>
      </c>
      <c r="C22" s="27">
        <v>4</v>
      </c>
      <c r="D22" s="27">
        <v>2</v>
      </c>
      <c r="E22" s="28">
        <f>$G$3*IF(D22=1,Лист1!$B$52,IF(D22=2,Лист1!$C$52,IF(D22=3,Лист1!$D$52,IF(D22=4,Лист1!$E$52,IF(D22=5,Лист1!$F$52,IF(D22=6,Лист1!$G$52,IF(D22=7,Лист1!$H$52,IF(D22=8,Лист1!$I$52,IF(D22=9,Лист1!$J$52,IF(D22=10,Лист1!$K$52,IF(D22=11,Лист1!$L$52,IF(D22=12,Лист1!$M$52,IF(D22=13,Лист1!$N$52,IF(D22=14,Лист1!$O$52,IF(D22=15,5.56,IF(D22=16,Лист1!$Q$52))))))))))))))))</f>
        <v>26169.120000000003</v>
      </c>
      <c r="H22" s="43" t="s">
        <v>5</v>
      </c>
      <c r="I22" s="42"/>
      <c r="J22" s="16">
        <f>SUM(J7,J10,J13,J16,J19)</f>
        <v>20.6</v>
      </c>
      <c r="K22" s="16">
        <f>SUM(K7,K10,K13,K16,K19)</f>
        <v>107532</v>
      </c>
      <c r="L22" s="16"/>
      <c r="M22" s="19">
        <f t="shared" ref="M22" si="13">SUM(M7,M10,M13,M16,M19)</f>
        <v>24223096.800000001</v>
      </c>
      <c r="N22" s="19">
        <f t="shared" ref="N22:O22" si="14">SUM(N7,N10,N13,N16,N19)</f>
        <v>8478083.879999999</v>
      </c>
      <c r="O22" s="19">
        <f t="shared" si="14"/>
        <v>32701180.68</v>
      </c>
      <c r="P22" s="19">
        <f t="shared" ref="P22:Q22" si="15">SUM(P7,P10,P13,P16,P19)</f>
        <v>3924141.6815999998</v>
      </c>
      <c r="Q22" s="19">
        <f t="shared" si="15"/>
        <v>36625322.361599997</v>
      </c>
      <c r="S22" s="41" t="str">
        <f t="shared" si="7"/>
        <v>Бухгалтер</v>
      </c>
      <c r="T22" s="19">
        <f t="shared" si="8"/>
        <v>43679.340000000004</v>
      </c>
      <c r="U22" s="16">
        <f t="shared" si="9"/>
        <v>1</v>
      </c>
      <c r="V22" s="19">
        <f t="shared" si="2"/>
        <v>54599.175000000003</v>
      </c>
      <c r="W22" s="19">
        <f t="shared" si="3"/>
        <v>19109.71125</v>
      </c>
      <c r="X22" s="19">
        <f t="shared" si="4"/>
        <v>73708.88625000001</v>
      </c>
      <c r="Y22" s="19">
        <f>X22*Лист1!$B$5/100</f>
        <v>8845.066350000001</v>
      </c>
      <c r="Z22" s="19">
        <f t="shared" si="5"/>
        <v>82553.952600000019</v>
      </c>
      <c r="AA22" s="19">
        <f t="shared" si="6"/>
        <v>990647.43120000022</v>
      </c>
    </row>
    <row r="23" spans="1:30" ht="28.8" x14ac:dyDescent="0.3">
      <c r="A23" s="26" t="s">
        <v>166</v>
      </c>
      <c r="B23" s="27" t="s">
        <v>200</v>
      </c>
      <c r="C23" s="27">
        <v>4</v>
      </c>
      <c r="D23" s="27">
        <v>2</v>
      </c>
      <c r="E23" s="28">
        <f>$G$3*IF(D23=1,Лист1!$B$52,IF(D23=2,Лист1!$C$52,IF(D23=3,Лист1!$D$52,IF(D23=4,Лист1!$E$52,IF(D23=5,Лист1!$F$52,IF(D23=6,Лист1!$G$52,IF(D23=7,Лист1!$H$52,IF(D23=8,Лист1!$I$52,IF(D23=9,Лист1!$J$52,IF(D23=10,Лист1!$K$52,IF(D23=11,Лист1!$L$52,IF(D23=12,Лист1!$M$52,IF(D23=13,Лист1!$N$52,IF(D23=14,Лист1!$O$52,IF(D23=15,5.56,IF(D23=16,Лист1!$Q$52))))))))))))))))</f>
        <v>26169.120000000003</v>
      </c>
      <c r="S23" s="41" t="str">
        <f t="shared" si="7"/>
        <v>Энергетик</v>
      </c>
      <c r="T23" s="19">
        <f t="shared" si="8"/>
        <v>55994.22</v>
      </c>
      <c r="U23" s="16">
        <f t="shared" si="9"/>
        <v>1</v>
      </c>
      <c r="V23" s="19">
        <f t="shared" si="2"/>
        <v>69992.774999999994</v>
      </c>
      <c r="W23" s="19">
        <f t="shared" si="3"/>
        <v>24497.471249999995</v>
      </c>
      <c r="X23" s="19">
        <f t="shared" si="4"/>
        <v>94490.246249999997</v>
      </c>
      <c r="Y23" s="19">
        <f>X23*Лист1!$B$5/100</f>
        <v>11338.82955</v>
      </c>
      <c r="Z23" s="19">
        <f t="shared" si="5"/>
        <v>105829.07579999999</v>
      </c>
      <c r="AA23" s="19">
        <f t="shared" si="6"/>
        <v>1269948.9095999999</v>
      </c>
    </row>
    <row r="24" spans="1:30" x14ac:dyDescent="0.3">
      <c r="A24" s="31"/>
      <c r="B24" s="32"/>
      <c r="C24" s="32"/>
      <c r="D24" s="32"/>
      <c r="E24" s="33"/>
      <c r="S24" s="41" t="str">
        <f t="shared" si="7"/>
        <v>Мастер</v>
      </c>
      <c r="T24" s="19">
        <f t="shared" si="8"/>
        <v>48874.68</v>
      </c>
      <c r="U24" s="16">
        <f t="shared" si="9"/>
        <v>1</v>
      </c>
      <c r="V24" s="19">
        <f t="shared" si="2"/>
        <v>61093.35</v>
      </c>
      <c r="W24" s="19">
        <f t="shared" si="3"/>
        <v>21382.672499999997</v>
      </c>
      <c r="X24" s="19">
        <f t="shared" si="4"/>
        <v>82476.022499999992</v>
      </c>
      <c r="Y24" s="19">
        <f>X24*Лист1!$B$5/100</f>
        <v>9897.1226999999999</v>
      </c>
      <c r="Z24" s="19">
        <f t="shared" si="5"/>
        <v>92373.145199999999</v>
      </c>
      <c r="AA24" s="19">
        <f t="shared" si="6"/>
        <v>1108477.7423999999</v>
      </c>
      <c r="AD24" s="50"/>
    </row>
    <row r="25" spans="1:30" s="18" customFormat="1" x14ac:dyDescent="0.3">
      <c r="A25" s="34"/>
      <c r="B25" s="34"/>
      <c r="C25" s="34"/>
      <c r="D25" s="34"/>
      <c r="E25" s="34"/>
      <c r="F25" s="17"/>
      <c r="S25" s="41" t="str">
        <f t="shared" si="7"/>
        <v>Механик</v>
      </c>
      <c r="T25" s="19">
        <f t="shared" si="8"/>
        <v>55994.22</v>
      </c>
      <c r="U25" s="16">
        <f t="shared" si="9"/>
        <v>2</v>
      </c>
      <c r="V25" s="19">
        <f t="shared" si="2"/>
        <v>69992.774999999994</v>
      </c>
      <c r="W25" s="19">
        <f t="shared" si="3"/>
        <v>24497.471249999995</v>
      </c>
      <c r="X25" s="19">
        <f t="shared" si="4"/>
        <v>94490.246249999997</v>
      </c>
      <c r="Y25" s="19">
        <f>X25*Лист1!$B$5/100</f>
        <v>11338.82955</v>
      </c>
      <c r="Z25" s="19">
        <f t="shared" si="5"/>
        <v>105829.07579999999</v>
      </c>
      <c r="AA25" s="19">
        <f t="shared" si="6"/>
        <v>2539897.8191999998</v>
      </c>
      <c r="AD25" s="50"/>
    </row>
    <row r="26" spans="1:30" ht="43.8" thickBot="1" x14ac:dyDescent="0.35">
      <c r="A26" s="21" t="s">
        <v>142</v>
      </c>
      <c r="B26" s="22" t="s">
        <v>143</v>
      </c>
      <c r="C26" s="22" t="s">
        <v>144</v>
      </c>
      <c r="D26" s="22" t="s">
        <v>8</v>
      </c>
      <c r="E26" s="22" t="s">
        <v>222</v>
      </c>
      <c r="S26" s="41" t="str">
        <f t="shared" si="7"/>
        <v>Маркетолог</v>
      </c>
      <c r="T26" s="19">
        <f t="shared" si="8"/>
        <v>55994.22</v>
      </c>
      <c r="U26" s="16">
        <f t="shared" si="9"/>
        <v>1</v>
      </c>
      <c r="V26" s="19">
        <f t="shared" si="2"/>
        <v>69992.774999999994</v>
      </c>
      <c r="W26" s="19">
        <f t="shared" si="3"/>
        <v>24497.471249999995</v>
      </c>
      <c r="X26" s="19">
        <f t="shared" si="4"/>
        <v>94490.246249999997</v>
      </c>
      <c r="Y26" s="19">
        <f>X26*Лист1!$B$5/100</f>
        <v>11338.82955</v>
      </c>
      <c r="Z26" s="19">
        <f t="shared" si="5"/>
        <v>105829.07579999999</v>
      </c>
      <c r="AA26" s="19">
        <f t="shared" si="6"/>
        <v>1269948.9095999999</v>
      </c>
    </row>
    <row r="27" spans="1:30" ht="15.6" thickTop="1" thickBot="1" x14ac:dyDescent="0.35">
      <c r="A27" s="24" t="s">
        <v>167</v>
      </c>
      <c r="B27" s="29" t="s">
        <v>201</v>
      </c>
      <c r="C27" s="29">
        <v>105</v>
      </c>
      <c r="D27" s="29"/>
      <c r="E27" s="35"/>
      <c r="S27" s="41" t="str">
        <f t="shared" si="7"/>
        <v>Экономист</v>
      </c>
      <c r="T27" s="19">
        <f t="shared" si="8"/>
        <v>55994.22</v>
      </c>
      <c r="U27" s="16">
        <f t="shared" si="9"/>
        <v>1</v>
      </c>
      <c r="V27" s="19">
        <f t="shared" si="2"/>
        <v>69992.774999999994</v>
      </c>
      <c r="W27" s="19">
        <f t="shared" si="3"/>
        <v>24497.471249999995</v>
      </c>
      <c r="X27" s="19">
        <f t="shared" si="4"/>
        <v>94490.246249999997</v>
      </c>
      <c r="Y27" s="19">
        <f>X27*Лист1!$B$5/100</f>
        <v>11338.82955</v>
      </c>
      <c r="Z27" s="19">
        <f t="shared" si="5"/>
        <v>105829.07579999999</v>
      </c>
      <c r="AA27" s="19">
        <f t="shared" si="6"/>
        <v>1269948.9095999999</v>
      </c>
    </row>
    <row r="28" spans="1:30" ht="29.4" thickTop="1" x14ac:dyDescent="0.3">
      <c r="A28" s="26" t="s">
        <v>168</v>
      </c>
      <c r="B28" s="27" t="s">
        <v>202</v>
      </c>
      <c r="C28" s="27">
        <v>15</v>
      </c>
      <c r="D28" s="27">
        <v>4</v>
      </c>
      <c r="E28" s="36">
        <f>IF(D28=1,Лист1!$B$47,IF(D28=2,Лист1!$C$47,IF(D28=3,Лист1!$D$47,IF(D28=4,Лист1!$E$47,IF(D28=5,Лист1!$F$47,IF(D28=6,Лист1!$G$47,IF(D28=7,Лист1!$H$47,IF(D28=8,Лист1!$I$47))))))))</f>
        <v>178.12</v>
      </c>
      <c r="S28" s="41" t="str">
        <f t="shared" ref="S28:S33" si="16">B18</f>
        <v>Агент по
снабжению</v>
      </c>
      <c r="T28" s="19">
        <f t="shared" ref="T28:T33" si="17">E18</f>
        <v>38484</v>
      </c>
      <c r="U28" s="16">
        <f t="shared" ref="U28:U33" si="18">C18</f>
        <v>2</v>
      </c>
      <c r="V28" s="19">
        <f t="shared" si="2"/>
        <v>48105</v>
      </c>
      <c r="W28" s="19">
        <f t="shared" si="3"/>
        <v>16836.75</v>
      </c>
      <c r="X28" s="19">
        <f t="shared" si="4"/>
        <v>64941.75</v>
      </c>
      <c r="Y28" s="19">
        <f>X28*Лист1!$B$5/100</f>
        <v>7793.01</v>
      </c>
      <c r="Z28" s="19">
        <f t="shared" si="5"/>
        <v>72734.759999999995</v>
      </c>
      <c r="AA28" s="19">
        <f t="shared" si="6"/>
        <v>1745634.2399999998</v>
      </c>
    </row>
    <row r="29" spans="1:30" ht="28.8" x14ac:dyDescent="0.3">
      <c r="A29" s="26" t="s">
        <v>169</v>
      </c>
      <c r="B29" s="27" t="s">
        <v>203</v>
      </c>
      <c r="C29" s="27">
        <v>15</v>
      </c>
      <c r="D29" s="27">
        <v>4</v>
      </c>
      <c r="E29" s="36">
        <f>IF(D29=1,Лист1!$B$47,IF(D29=2,Лист1!$C$47,IF(D29=3,Лист1!$D$47,IF(D29=4,Лист1!$E$47,IF(D29=5,Лист1!$F$47,IF(D29=6,Лист1!$G$47,IF(D29=7,Лист1!$H$47,IF(D29=8,Лист1!$I$47))))))))</f>
        <v>178.12</v>
      </c>
      <c r="S29" s="41" t="str">
        <f t="shared" si="16"/>
        <v>Референт</v>
      </c>
      <c r="T29" s="19">
        <f t="shared" si="17"/>
        <v>38484</v>
      </c>
      <c r="U29" s="16">
        <f t="shared" si="18"/>
        <v>2</v>
      </c>
      <c r="V29" s="19">
        <f t="shared" si="2"/>
        <v>48105</v>
      </c>
      <c r="W29" s="19">
        <f t="shared" si="3"/>
        <v>16836.75</v>
      </c>
      <c r="X29" s="19">
        <f t="shared" si="4"/>
        <v>64941.75</v>
      </c>
      <c r="Y29" s="19">
        <f>X29*Лист1!$B$5/100</f>
        <v>7793.01</v>
      </c>
      <c r="Z29" s="19">
        <f t="shared" si="5"/>
        <v>72734.759999999995</v>
      </c>
      <c r="AA29" s="19">
        <f t="shared" si="6"/>
        <v>1745634.2399999998</v>
      </c>
    </row>
    <row r="30" spans="1:30" ht="14.4" customHeight="1" x14ac:dyDescent="0.3">
      <c r="A30" s="26" t="s">
        <v>170</v>
      </c>
      <c r="B30" s="27" t="s">
        <v>204</v>
      </c>
      <c r="C30" s="27">
        <v>28</v>
      </c>
      <c r="D30" s="27">
        <v>3</v>
      </c>
      <c r="E30" s="36">
        <f>IF(D30=1,Лист1!$B$47,IF(D30=2,Лист1!$C$47,IF(D30=3,Лист1!$D$47,IF(D30=4,Лист1!$E$47,IF(D30=5,Лист1!$F$47,IF(D30=6,Лист1!$G$47,IF(D30=7,Лист1!$H$47,IF(D30=8,Лист1!$I$47))))))))</f>
        <v>159.43</v>
      </c>
      <c r="S30" s="41" t="str">
        <f t="shared" si="16"/>
        <v>Экспедитор</v>
      </c>
      <c r="T30" s="19">
        <f t="shared" si="17"/>
        <v>35020.44</v>
      </c>
      <c r="U30" s="16">
        <f t="shared" si="18"/>
        <v>1</v>
      </c>
      <c r="V30" s="19">
        <f t="shared" si="2"/>
        <v>43775.55</v>
      </c>
      <c r="W30" s="19">
        <f t="shared" si="3"/>
        <v>15321.442499999999</v>
      </c>
      <c r="X30" s="19">
        <f t="shared" si="4"/>
        <v>59096.9925</v>
      </c>
      <c r="Y30" s="19">
        <f>X30*Лист1!$B$5/100</f>
        <v>7091.6391000000003</v>
      </c>
      <c r="Z30" s="19">
        <f t="shared" si="5"/>
        <v>66188.631599999993</v>
      </c>
      <c r="AA30" s="19">
        <f t="shared" si="6"/>
        <v>794263.57919999992</v>
      </c>
    </row>
    <row r="31" spans="1:30" ht="28.8" x14ac:dyDescent="0.3">
      <c r="A31" s="26" t="s">
        <v>171</v>
      </c>
      <c r="B31" s="27" t="s">
        <v>205</v>
      </c>
      <c r="C31" s="27">
        <f>C27-C28-C29-C30-C32</f>
        <v>44</v>
      </c>
      <c r="D31" s="27">
        <v>5</v>
      </c>
      <c r="E31" s="36">
        <f>IF(D31=1,Лист1!$B$47,IF(D31=2,Лист1!$C$47,IF(D31=3,Лист1!$D$47,IF(D31=4,Лист1!$E$47,IF(D31=5,Лист1!$F$47,IF(D31=6,Лист1!$G$47,IF(D31=7,Лист1!$H$47,IF(D31=8,Лист1!$I$47))))))))</f>
        <v>193.51</v>
      </c>
      <c r="S31" s="41" t="str">
        <f t="shared" si="16"/>
        <v>Инспектор отдела кадров</v>
      </c>
      <c r="T31" s="19">
        <f t="shared" si="17"/>
        <v>33288.659999999996</v>
      </c>
      <c r="U31" s="16">
        <f t="shared" si="18"/>
        <v>2</v>
      </c>
      <c r="V31" s="19">
        <f t="shared" si="2"/>
        <v>41610.824999999997</v>
      </c>
      <c r="W31" s="19">
        <f t="shared" si="3"/>
        <v>14563.788749999998</v>
      </c>
      <c r="X31" s="19">
        <f t="shared" si="4"/>
        <v>56174.613749999997</v>
      </c>
      <c r="Y31" s="19">
        <f>X31*Лист1!$B$5/100</f>
        <v>6740.9536499999995</v>
      </c>
      <c r="Z31" s="19">
        <f t="shared" si="5"/>
        <v>62915.5674</v>
      </c>
      <c r="AA31" s="19">
        <f t="shared" si="6"/>
        <v>1509973.6176</v>
      </c>
    </row>
    <row r="32" spans="1:30" ht="43.8" thickBot="1" x14ac:dyDescent="0.35">
      <c r="A32" s="26" t="s">
        <v>172</v>
      </c>
      <c r="B32" s="27" t="s">
        <v>206</v>
      </c>
      <c r="C32" s="27">
        <v>3</v>
      </c>
      <c r="D32" s="27">
        <v>3</v>
      </c>
      <c r="E32" s="36">
        <f>IF(D32=1,Лист1!$B$47,IF(D32=2,Лист1!$C$47,IF(D32=3,Лист1!$D$47,IF(D32=4,Лист1!$E$47,IF(D32=5,Лист1!$F$47,IF(D32=6,Лист1!$G$47,IF(D32=7,Лист1!$H$47,IF(D32=8,Лист1!$I$47))))))))</f>
        <v>159.43</v>
      </c>
      <c r="S32" s="41" t="str">
        <f t="shared" si="16"/>
        <v>Уборщик производственных помещений</v>
      </c>
      <c r="T32" s="19">
        <f t="shared" si="17"/>
        <v>26169.120000000003</v>
      </c>
      <c r="U32" s="16">
        <f t="shared" si="18"/>
        <v>4</v>
      </c>
      <c r="V32" s="19">
        <f t="shared" si="2"/>
        <v>32711.4</v>
      </c>
      <c r="W32" s="19">
        <f t="shared" si="3"/>
        <v>11448.99</v>
      </c>
      <c r="X32" s="19">
        <f t="shared" si="4"/>
        <v>44160.39</v>
      </c>
      <c r="Y32" s="19">
        <f>X32*Лист1!$B$5/100</f>
        <v>5299.246799999999</v>
      </c>
      <c r="Z32" s="19">
        <f t="shared" si="5"/>
        <v>49459.6368</v>
      </c>
      <c r="AA32" s="19">
        <f t="shared" si="6"/>
        <v>2374062.5663999999</v>
      </c>
    </row>
    <row r="33" spans="1:33" ht="30" thickTop="1" thickBot="1" x14ac:dyDescent="0.35">
      <c r="A33" s="24" t="s">
        <v>173</v>
      </c>
      <c r="B33" s="37" t="s">
        <v>207</v>
      </c>
      <c r="C33" s="37">
        <v>18</v>
      </c>
      <c r="D33" s="37"/>
      <c r="E33" s="35"/>
      <c r="S33" s="41" t="str">
        <f t="shared" si="16"/>
        <v>Уборщик бытовых помещений</v>
      </c>
      <c r="T33" s="19">
        <f t="shared" si="17"/>
        <v>26169.120000000003</v>
      </c>
      <c r="U33" s="16">
        <f t="shared" si="18"/>
        <v>4</v>
      </c>
      <c r="V33" s="19">
        <f t="shared" si="2"/>
        <v>32711.4</v>
      </c>
      <c r="W33" s="19">
        <f t="shared" si="3"/>
        <v>11448.99</v>
      </c>
      <c r="X33" s="19">
        <f t="shared" si="4"/>
        <v>44160.39</v>
      </c>
      <c r="Y33" s="19">
        <f>X33*Лист1!$B$5/100</f>
        <v>5299.246799999999</v>
      </c>
      <c r="Z33" s="19">
        <f t="shared" si="5"/>
        <v>49459.6368</v>
      </c>
      <c r="AA33" s="19">
        <f t="shared" si="6"/>
        <v>2374062.5663999999</v>
      </c>
    </row>
    <row r="34" spans="1:33" ht="15" thickTop="1" x14ac:dyDescent="0.3">
      <c r="A34" s="26" t="s">
        <v>174</v>
      </c>
      <c r="B34" s="27" t="s">
        <v>208</v>
      </c>
      <c r="C34" s="27">
        <v>4</v>
      </c>
      <c r="D34" s="27">
        <v>5</v>
      </c>
      <c r="E34" s="36">
        <f>IF(D34=1,Лист1!$B$47,IF(D34=2,Лист1!$C$47,IF(D34=3,Лист1!$D$47,IF(D34=4,Лист1!$E$47,IF(D34=5,Лист1!$F$47,IF(D34=6,Лист1!$G$47,IF(D34=7,Лист1!$H$47,IF(D34=8,Лист1!$I$47))))))))</f>
        <v>193.51</v>
      </c>
    </row>
    <row r="35" spans="1:33" ht="72" x14ac:dyDescent="0.3">
      <c r="A35" s="26" t="s">
        <v>175</v>
      </c>
      <c r="B35" s="27" t="s">
        <v>209</v>
      </c>
      <c r="C35" s="27">
        <v>2</v>
      </c>
      <c r="D35" s="27">
        <v>4</v>
      </c>
      <c r="E35" s="36">
        <f>IF(D35=1,Лист1!$B$47,IF(D35=2,Лист1!$C$47,IF(D35=3,Лист1!$D$47,IF(D35=4,Лист1!$E$47,IF(D35=5,Лист1!$F$47,IF(D35=6,Лист1!$G$47,IF(D35=7,Лист1!$H$47,IF(D35=8,Лист1!$I$47))))))))</f>
        <v>178.12</v>
      </c>
    </row>
    <row r="36" spans="1:33" ht="43.2" x14ac:dyDescent="0.3">
      <c r="A36" s="26" t="s">
        <v>176</v>
      </c>
      <c r="B36" s="27" t="s">
        <v>210</v>
      </c>
      <c r="C36" s="27">
        <v>2</v>
      </c>
      <c r="D36" s="27">
        <v>5</v>
      </c>
      <c r="E36" s="36">
        <f>IF(D36=1,Лист1!$B$47,IF(D36=2,Лист1!$C$47,IF(D36=3,Лист1!$D$47,IF(D36=4,Лист1!$E$47,IF(D36=5,Лист1!$F$47,IF(D36=6,Лист1!$G$47,IF(D36=7,Лист1!$H$47,IF(D36=8,Лист1!$I$47))))))))</f>
        <v>193.51</v>
      </c>
    </row>
    <row r="37" spans="1:33" ht="28.8" x14ac:dyDescent="0.3">
      <c r="A37" s="26" t="s">
        <v>177</v>
      </c>
      <c r="B37" s="27" t="s">
        <v>211</v>
      </c>
      <c r="C37" s="27">
        <v>3</v>
      </c>
      <c r="D37" s="27">
        <v>4</v>
      </c>
      <c r="E37" s="36">
        <f>IF(D37=1,Лист1!$B$47,IF(D37=2,Лист1!$C$47,IF(D37=3,Лист1!$D$47,IF(D37=4,Лист1!$E$47,IF(D37=5,Лист1!$F$47,IF(D37=6,Лист1!$G$47,IF(D37=7,Лист1!$H$47,IF(D37=8,Лист1!$I$47))))))))</f>
        <v>178.12</v>
      </c>
    </row>
    <row r="38" spans="1:33" ht="43.2" x14ac:dyDescent="0.3">
      <c r="A38" s="26" t="s">
        <v>178</v>
      </c>
      <c r="B38" s="27" t="s">
        <v>212</v>
      </c>
      <c r="C38" s="27">
        <v>3</v>
      </c>
      <c r="D38" s="27">
        <v>3</v>
      </c>
      <c r="E38" s="36">
        <f>IF(D38=1,Лист1!$B$47,IF(D38=2,Лист1!$C$47,IF(D38=3,Лист1!$D$47,IF(D38=4,Лист1!$E$47,IF(D38=5,Лист1!$F$47,IF(D38=6,Лист1!$G$47,IF(D38=7,Лист1!$H$47,IF(D38=8,Лист1!$I$47))))))))</f>
        <v>159.43</v>
      </c>
    </row>
    <row r="39" spans="1:33" ht="43.2" x14ac:dyDescent="0.3">
      <c r="A39" s="26" t="s">
        <v>179</v>
      </c>
      <c r="B39" s="27" t="s">
        <v>213</v>
      </c>
      <c r="C39" s="27">
        <v>2</v>
      </c>
      <c r="D39" s="27">
        <v>3</v>
      </c>
      <c r="E39" s="36">
        <f>IF(D39=1,Лист1!$B$47,IF(D39=2,Лист1!$C$47,IF(D39=3,Лист1!$D$47,IF(D39=4,Лист1!$E$47,IF(D39=5,Лист1!$F$47,IF(D39=6,Лист1!$G$47,IF(D39=7,Лист1!$H$47,IF(D39=8,Лист1!$I$47))))))))</f>
        <v>159.43</v>
      </c>
    </row>
    <row r="40" spans="1:33" ht="28.8" x14ac:dyDescent="0.3">
      <c r="A40" s="26" t="s">
        <v>180</v>
      </c>
      <c r="B40" s="27" t="s">
        <v>214</v>
      </c>
      <c r="C40" s="27">
        <v>2</v>
      </c>
      <c r="D40" s="27">
        <v>3</v>
      </c>
      <c r="E40" s="36">
        <f>IF(D40=1,Лист1!$B$47,IF(D40=2,Лист1!$C$47,IF(D40=3,Лист1!$D$47,IF(D40=4,Лист1!$E$47,IF(D40=5,Лист1!$F$47,IF(D40=6,Лист1!$G$47,IF(D40=7,Лист1!$H$47,IF(D40=8,Лист1!$I$47))))))))</f>
        <v>159.43</v>
      </c>
    </row>
    <row r="41" spans="1:33" ht="29.4" thickBot="1" x14ac:dyDescent="0.35">
      <c r="A41" s="31"/>
      <c r="B41" s="32"/>
      <c r="C41" s="32"/>
      <c r="D41" s="32"/>
      <c r="E41" s="32"/>
      <c r="AD41" s="46" t="s">
        <v>268</v>
      </c>
      <c r="AE41" s="49" t="s">
        <v>269</v>
      </c>
      <c r="AF41" s="49" t="s">
        <v>270</v>
      </c>
      <c r="AG41" s="49" t="s">
        <v>278</v>
      </c>
    </row>
    <row r="42" spans="1:33" ht="15.6" thickTop="1" thickBot="1" x14ac:dyDescent="0.35">
      <c r="A42" s="38"/>
      <c r="B42" s="32"/>
      <c r="C42" s="32"/>
      <c r="D42" s="32"/>
      <c r="E42" s="32"/>
      <c r="AD42" s="25" t="s">
        <v>271</v>
      </c>
      <c r="AE42" s="53">
        <f>SUM(AE43:AE45)</f>
        <v>6572312.9135999996</v>
      </c>
      <c r="AF42" s="54">
        <f t="shared" ref="AF42:AF62" si="19">C3</f>
        <v>3</v>
      </c>
      <c r="AG42" s="53">
        <f>AE42/12</f>
        <v>547692.74280000001</v>
      </c>
    </row>
    <row r="43" spans="1:33" ht="15" thickTop="1" x14ac:dyDescent="0.3">
      <c r="A43" s="116" t="s">
        <v>221</v>
      </c>
      <c r="B43" s="116"/>
      <c r="C43" s="116"/>
      <c r="D43" s="116"/>
      <c r="E43" s="39"/>
      <c r="AD43" s="27" t="s">
        <v>181</v>
      </c>
      <c r="AE43" s="19">
        <f>AA16</f>
        <v>2426431.5936000003</v>
      </c>
      <c r="AF43" s="16">
        <f t="shared" si="19"/>
        <v>1</v>
      </c>
      <c r="AG43" s="19">
        <f>AE43/AF43/12</f>
        <v>202202.63280000002</v>
      </c>
    </row>
    <row r="44" spans="1:33" x14ac:dyDescent="0.3">
      <c r="A44" s="26" t="s">
        <v>142</v>
      </c>
      <c r="B44" s="36" t="s">
        <v>223</v>
      </c>
      <c r="C44" s="36" t="s">
        <v>224</v>
      </c>
      <c r="D44" s="36" t="s">
        <v>225</v>
      </c>
      <c r="E44" s="32"/>
      <c r="AD44" s="27" t="s">
        <v>182</v>
      </c>
      <c r="AE44" s="19">
        <f t="shared" ref="AE44:AE45" si="20">AA17</f>
        <v>2321693.5391999995</v>
      </c>
      <c r="AF44" s="16">
        <f t="shared" si="19"/>
        <v>1</v>
      </c>
      <c r="AG44" s="19">
        <f>AE44/AF44/12</f>
        <v>193474.46159999995</v>
      </c>
    </row>
    <row r="45" spans="1:33" ht="15" thickBot="1" x14ac:dyDescent="0.35">
      <c r="A45" s="26" t="s">
        <v>226</v>
      </c>
      <c r="B45" s="36" t="s">
        <v>227</v>
      </c>
      <c r="C45" s="36">
        <f>C46+C47</f>
        <v>123</v>
      </c>
      <c r="D45" s="36">
        <f>C45/$C$51*100</f>
        <v>81.456953642384107</v>
      </c>
      <c r="E45" s="32"/>
      <c r="AD45" s="27" t="s">
        <v>183</v>
      </c>
      <c r="AE45" s="19">
        <f t="shared" si="20"/>
        <v>1824187.7808000001</v>
      </c>
      <c r="AF45" s="16">
        <f t="shared" si="19"/>
        <v>1</v>
      </c>
      <c r="AG45" s="19">
        <f>AE45/AF45/12</f>
        <v>152015.64840000001</v>
      </c>
    </row>
    <row r="46" spans="1:33" ht="15.6" thickTop="1" thickBot="1" x14ac:dyDescent="0.35">
      <c r="A46" s="26"/>
      <c r="B46" s="36" t="s">
        <v>228</v>
      </c>
      <c r="C46" s="36">
        <v>105</v>
      </c>
      <c r="D46" s="36">
        <f t="shared" ref="D46:D50" si="21">C46/$C$51*100</f>
        <v>69.536423841059602</v>
      </c>
      <c r="E46" s="32"/>
      <c r="AD46" s="29" t="s">
        <v>272</v>
      </c>
      <c r="AE46" s="53">
        <f>SUM(AE47:AE55)</f>
        <v>11979414.972000003</v>
      </c>
      <c r="AF46" s="54">
        <f t="shared" si="19"/>
        <v>10</v>
      </c>
      <c r="AG46" s="53">
        <f>AE46/12</f>
        <v>998284.58100000024</v>
      </c>
    </row>
    <row r="47" spans="1:33" ht="15" thickTop="1" x14ac:dyDescent="0.3">
      <c r="A47" s="26"/>
      <c r="B47" s="36" t="s">
        <v>229</v>
      </c>
      <c r="C47" s="36">
        <v>18</v>
      </c>
      <c r="D47" s="36">
        <f t="shared" si="21"/>
        <v>11.920529801324504</v>
      </c>
      <c r="E47" s="32"/>
      <c r="AD47" s="27" t="s">
        <v>185</v>
      </c>
      <c r="AE47" s="19">
        <f>AA19</f>
        <v>1269948.9095999999</v>
      </c>
      <c r="AF47" s="16">
        <f t="shared" si="19"/>
        <v>1</v>
      </c>
      <c r="AG47" s="19">
        <f>AE47/AF47/12</f>
        <v>105829.07579999999</v>
      </c>
    </row>
    <row r="48" spans="1:33" x14ac:dyDescent="0.3">
      <c r="A48" s="26" t="s">
        <v>150</v>
      </c>
      <c r="B48" s="36" t="s">
        <v>230</v>
      </c>
      <c r="C48" s="36">
        <v>3</v>
      </c>
      <c r="D48" s="36">
        <f t="shared" si="21"/>
        <v>1.9867549668874174</v>
      </c>
      <c r="E48" s="32"/>
      <c r="AD48" s="27" t="s">
        <v>186</v>
      </c>
      <c r="AE48" s="19">
        <f t="shared" ref="AE48:AE55" si="22">AA20</f>
        <v>1269948.9095999999</v>
      </c>
      <c r="AF48" s="16">
        <f t="shared" si="19"/>
        <v>1</v>
      </c>
      <c r="AG48" s="19">
        <f t="shared" ref="AG48:AG77" si="23">AE48/AF48/12</f>
        <v>105829.07579999999</v>
      </c>
    </row>
    <row r="49" spans="1:33" x14ac:dyDescent="0.3">
      <c r="A49" s="26" t="s">
        <v>160</v>
      </c>
      <c r="B49" s="36" t="s">
        <v>184</v>
      </c>
      <c r="C49" s="36">
        <v>10</v>
      </c>
      <c r="D49" s="36">
        <f t="shared" si="21"/>
        <v>6.6225165562913908</v>
      </c>
      <c r="E49" s="32"/>
      <c r="AD49" s="27" t="s">
        <v>187</v>
      </c>
      <c r="AE49" s="19">
        <f t="shared" si="22"/>
        <v>990647.43120000022</v>
      </c>
      <c r="AF49" s="16">
        <f t="shared" si="19"/>
        <v>1</v>
      </c>
      <c r="AG49" s="19">
        <f t="shared" si="23"/>
        <v>82553.952600000019</v>
      </c>
    </row>
    <row r="50" spans="1:33" x14ac:dyDescent="0.3">
      <c r="A50" s="26" t="s">
        <v>167</v>
      </c>
      <c r="B50" s="36" t="s">
        <v>194</v>
      </c>
      <c r="C50" s="36">
        <v>15</v>
      </c>
      <c r="D50" s="36">
        <f t="shared" si="21"/>
        <v>9.9337748344370862</v>
      </c>
      <c r="E50" s="32"/>
      <c r="AD50" s="27" t="s">
        <v>188</v>
      </c>
      <c r="AE50" s="19">
        <f t="shared" si="22"/>
        <v>990647.43120000022</v>
      </c>
      <c r="AF50" s="16">
        <f t="shared" si="19"/>
        <v>1</v>
      </c>
      <c r="AG50" s="19">
        <f t="shared" si="23"/>
        <v>82553.952600000019</v>
      </c>
    </row>
    <row r="51" spans="1:33" x14ac:dyDescent="0.3">
      <c r="A51" s="26"/>
      <c r="B51" s="36" t="s">
        <v>231</v>
      </c>
      <c r="C51" s="36">
        <f>SUM(C46:C50)</f>
        <v>151</v>
      </c>
      <c r="D51" s="36">
        <f>C51/$C$51*100</f>
        <v>100</v>
      </c>
      <c r="E51" s="32"/>
      <c r="AD51" s="27" t="s">
        <v>189</v>
      </c>
      <c r="AE51" s="19">
        <f t="shared" si="22"/>
        <v>1269948.9095999999</v>
      </c>
      <c r="AF51" s="16">
        <f t="shared" si="19"/>
        <v>1</v>
      </c>
      <c r="AG51" s="19">
        <f t="shared" si="23"/>
        <v>105829.07579999999</v>
      </c>
    </row>
    <row r="52" spans="1:33" x14ac:dyDescent="0.3">
      <c r="A52" s="13"/>
      <c r="AD52" s="27" t="s">
        <v>190</v>
      </c>
      <c r="AE52" s="19">
        <f t="shared" si="22"/>
        <v>1108477.7423999999</v>
      </c>
      <c r="AF52" s="16">
        <f t="shared" si="19"/>
        <v>1</v>
      </c>
      <c r="AG52" s="19">
        <f t="shared" si="23"/>
        <v>92373.145199999984</v>
      </c>
    </row>
    <row r="53" spans="1:33" x14ac:dyDescent="0.3">
      <c r="A53" s="13"/>
      <c r="AD53" s="27" t="s">
        <v>191</v>
      </c>
      <c r="AE53" s="19">
        <f t="shared" si="22"/>
        <v>2539897.8191999998</v>
      </c>
      <c r="AF53" s="16">
        <f t="shared" si="19"/>
        <v>2</v>
      </c>
      <c r="AG53" s="19">
        <f t="shared" si="23"/>
        <v>105829.07579999999</v>
      </c>
    </row>
    <row r="54" spans="1:33" x14ac:dyDescent="0.3">
      <c r="AD54" s="27" t="s">
        <v>192</v>
      </c>
      <c r="AE54" s="19">
        <f t="shared" si="22"/>
        <v>1269948.9095999999</v>
      </c>
      <c r="AF54" s="16">
        <f t="shared" si="19"/>
        <v>1</v>
      </c>
      <c r="AG54" s="19">
        <f t="shared" si="23"/>
        <v>105829.07579999999</v>
      </c>
    </row>
    <row r="55" spans="1:33" ht="15" thickBot="1" x14ac:dyDescent="0.35">
      <c r="AD55" s="27" t="s">
        <v>193</v>
      </c>
      <c r="AE55" s="19">
        <f t="shared" si="22"/>
        <v>1269948.9095999999</v>
      </c>
      <c r="AF55" s="16">
        <f t="shared" si="19"/>
        <v>1</v>
      </c>
      <c r="AG55" s="19">
        <f t="shared" si="23"/>
        <v>105829.07579999999</v>
      </c>
    </row>
    <row r="56" spans="1:33" ht="30" thickTop="1" thickBot="1" x14ac:dyDescent="0.35">
      <c r="A56" s="13"/>
      <c r="AD56" s="29" t="s">
        <v>273</v>
      </c>
      <c r="AE56" s="53">
        <f>SUM(AE57:AE62)</f>
        <v>10543630.809599999</v>
      </c>
      <c r="AF56" s="54">
        <f t="shared" si="19"/>
        <v>15</v>
      </c>
      <c r="AG56" s="53">
        <f>AE56/12</f>
        <v>878635.90079999994</v>
      </c>
    </row>
    <row r="57" spans="1:33" ht="29.4" thickTop="1" x14ac:dyDescent="0.3">
      <c r="A57" s="13"/>
      <c r="AD57" s="27" t="s">
        <v>195</v>
      </c>
      <c r="AE57" s="19">
        <f t="shared" ref="AE57:AE62" si="24">AA28</f>
        <v>1745634.2399999998</v>
      </c>
      <c r="AF57" s="16">
        <f t="shared" si="19"/>
        <v>2</v>
      </c>
      <c r="AG57" s="19">
        <f t="shared" si="23"/>
        <v>72734.759999999995</v>
      </c>
    </row>
    <row r="58" spans="1:33" x14ac:dyDescent="0.3">
      <c r="A58" s="13"/>
      <c r="AD58" s="27" t="s">
        <v>196</v>
      </c>
      <c r="AE58" s="19">
        <f t="shared" si="24"/>
        <v>1745634.2399999998</v>
      </c>
      <c r="AF58" s="16">
        <f t="shared" si="19"/>
        <v>2</v>
      </c>
      <c r="AG58" s="19">
        <f t="shared" si="23"/>
        <v>72734.759999999995</v>
      </c>
    </row>
    <row r="59" spans="1:33" x14ac:dyDescent="0.3">
      <c r="A59" s="13"/>
      <c r="AD59" s="27" t="s">
        <v>197</v>
      </c>
      <c r="AE59" s="19">
        <f t="shared" si="24"/>
        <v>794263.57919999992</v>
      </c>
      <c r="AF59" s="16">
        <f t="shared" si="19"/>
        <v>1</v>
      </c>
      <c r="AG59" s="19">
        <f t="shared" si="23"/>
        <v>66188.631599999993</v>
      </c>
    </row>
    <row r="60" spans="1:33" ht="28.8" x14ac:dyDescent="0.3">
      <c r="A60" s="13"/>
      <c r="AD60" s="27" t="s">
        <v>198</v>
      </c>
      <c r="AE60" s="19">
        <f t="shared" si="24"/>
        <v>1509973.6176</v>
      </c>
      <c r="AF60" s="16">
        <f t="shared" si="19"/>
        <v>2</v>
      </c>
      <c r="AG60" s="19">
        <f t="shared" si="23"/>
        <v>62915.5674</v>
      </c>
    </row>
    <row r="61" spans="1:33" ht="43.2" x14ac:dyDescent="0.3">
      <c r="A61" s="13"/>
      <c r="AD61" s="27" t="s">
        <v>199</v>
      </c>
      <c r="AE61" s="19">
        <f t="shared" si="24"/>
        <v>2374062.5663999999</v>
      </c>
      <c r="AF61" s="16">
        <f t="shared" si="19"/>
        <v>4</v>
      </c>
      <c r="AG61" s="19">
        <f t="shared" si="23"/>
        <v>49459.6368</v>
      </c>
    </row>
    <row r="62" spans="1:33" ht="43.8" thickBot="1" x14ac:dyDescent="0.35">
      <c r="A62" s="13"/>
      <c r="AD62" s="27" t="s">
        <v>200</v>
      </c>
      <c r="AE62" s="19">
        <f t="shared" si="24"/>
        <v>2374062.5663999999</v>
      </c>
      <c r="AF62" s="16">
        <f t="shared" si="19"/>
        <v>4</v>
      </c>
      <c r="AG62" s="19">
        <f t="shared" si="23"/>
        <v>49459.6368</v>
      </c>
    </row>
    <row r="63" spans="1:33" ht="15.6" thickTop="1" thickBot="1" x14ac:dyDescent="0.35">
      <c r="A63" s="13"/>
      <c r="AD63" s="52" t="s">
        <v>276</v>
      </c>
      <c r="AE63" s="53">
        <f>AE64+AE70</f>
        <v>73217570.946861595</v>
      </c>
      <c r="AF63" s="54">
        <f>AF64+AF70</f>
        <v>123</v>
      </c>
      <c r="AG63" s="53">
        <f>AE63/12</f>
        <v>6101464.2455717996</v>
      </c>
    </row>
    <row r="64" spans="1:33" ht="15.6" thickTop="1" thickBot="1" x14ac:dyDescent="0.35">
      <c r="A64" s="13"/>
      <c r="AD64" s="29" t="s">
        <v>274</v>
      </c>
      <c r="AE64" s="53">
        <f>SUM(AE65:AE69)</f>
        <v>62551124.918099999</v>
      </c>
      <c r="AF64" s="54">
        <f t="shared" ref="AF64:AF77" si="25">C27</f>
        <v>105</v>
      </c>
      <c r="AG64" s="53">
        <f>AE64/12</f>
        <v>5212593.743175</v>
      </c>
    </row>
    <row r="65" spans="1:33" ht="15" thickTop="1" x14ac:dyDescent="0.3">
      <c r="A65" s="13"/>
      <c r="AD65" s="27" t="s">
        <v>202</v>
      </c>
      <c r="AE65" s="19">
        <f>Q6+Q7</f>
        <v>7392763.7280000001</v>
      </c>
      <c r="AF65" s="16">
        <f t="shared" si="25"/>
        <v>15</v>
      </c>
      <c r="AG65" s="19">
        <f t="shared" si="23"/>
        <v>41070.909599999999</v>
      </c>
    </row>
    <row r="66" spans="1:33" ht="43.2" x14ac:dyDescent="0.3">
      <c r="A66" s="13"/>
      <c r="AD66" s="27" t="s">
        <v>203</v>
      </c>
      <c r="AE66" s="19">
        <f>Q9+Q10</f>
        <v>9095523.242399998</v>
      </c>
      <c r="AF66" s="16">
        <f t="shared" si="25"/>
        <v>15</v>
      </c>
      <c r="AG66" s="19">
        <f t="shared" si="23"/>
        <v>50530.684679999984</v>
      </c>
    </row>
    <row r="67" spans="1:33" x14ac:dyDescent="0.3">
      <c r="A67" s="13"/>
      <c r="AD67" s="27" t="s">
        <v>204</v>
      </c>
      <c r="AE67" s="19">
        <f>Q12+Q13</f>
        <v>14278176.1395</v>
      </c>
      <c r="AF67" s="16">
        <f t="shared" si="25"/>
        <v>28</v>
      </c>
      <c r="AG67" s="19">
        <f t="shared" si="23"/>
        <v>42494.571843749996</v>
      </c>
    </row>
    <row r="68" spans="1:33" ht="43.2" x14ac:dyDescent="0.3">
      <c r="AD68" s="27" t="s">
        <v>205</v>
      </c>
      <c r="AE68" s="19">
        <f>Q15+Q16</f>
        <v>30095145.429300003</v>
      </c>
      <c r="AF68" s="16">
        <f t="shared" si="25"/>
        <v>44</v>
      </c>
      <c r="AG68" s="19">
        <f t="shared" si="23"/>
        <v>56998.381494886366</v>
      </c>
    </row>
    <row r="69" spans="1:33" ht="15" thickBot="1" x14ac:dyDescent="0.35">
      <c r="AD69" s="27" t="s">
        <v>206</v>
      </c>
      <c r="AE69" s="19">
        <f>Q18+Q19</f>
        <v>1689516.3788999999</v>
      </c>
      <c r="AF69" s="16">
        <f t="shared" si="25"/>
        <v>3</v>
      </c>
      <c r="AG69" s="19">
        <f t="shared" si="23"/>
        <v>46931.010524999998</v>
      </c>
    </row>
    <row r="70" spans="1:33" ht="30" thickTop="1" thickBot="1" x14ac:dyDescent="0.35">
      <c r="AD70" s="37" t="s">
        <v>275</v>
      </c>
      <c r="AE70" s="53">
        <f>SUM(AE71:AE77)</f>
        <v>10666446.028761601</v>
      </c>
      <c r="AF70" s="54">
        <f t="shared" si="25"/>
        <v>18</v>
      </c>
      <c r="AG70" s="53">
        <f>AE70/12</f>
        <v>888870.50239680009</v>
      </c>
    </row>
    <row r="71" spans="1:33" ht="29.4" thickTop="1" x14ac:dyDescent="0.3">
      <c r="AD71" s="27" t="s">
        <v>208</v>
      </c>
      <c r="AE71" s="19">
        <f>AB4</f>
        <v>2606412.8788991999</v>
      </c>
      <c r="AF71" s="16">
        <f t="shared" si="25"/>
        <v>4</v>
      </c>
      <c r="AG71" s="19">
        <f t="shared" si="23"/>
        <v>54300.268310399995</v>
      </c>
    </row>
    <row r="72" spans="1:33" ht="72" x14ac:dyDescent="0.3">
      <c r="AD72" s="27" t="s">
        <v>209</v>
      </c>
      <c r="AE72" s="19">
        <f t="shared" ref="AE72:AE77" si="26">AB5</f>
        <v>1199561.4231552</v>
      </c>
      <c r="AF72" s="16">
        <f t="shared" si="25"/>
        <v>2</v>
      </c>
      <c r="AG72" s="19">
        <f t="shared" si="23"/>
        <v>49981.725964799996</v>
      </c>
    </row>
    <row r="73" spans="1:33" ht="57.6" x14ac:dyDescent="0.3">
      <c r="AD73" s="27" t="s">
        <v>210</v>
      </c>
      <c r="AE73" s="19">
        <f t="shared" si="26"/>
        <v>1303206.4394495999</v>
      </c>
      <c r="AF73" s="16">
        <f t="shared" si="25"/>
        <v>2</v>
      </c>
      <c r="AG73" s="19">
        <f t="shared" si="23"/>
        <v>54300.268310399995</v>
      </c>
    </row>
    <row r="74" spans="1:33" ht="43.2" x14ac:dyDescent="0.3">
      <c r="AD74" s="27" t="s">
        <v>211</v>
      </c>
      <c r="AE74" s="19">
        <f t="shared" si="26"/>
        <v>1799342.1347328001</v>
      </c>
      <c r="AF74" s="16">
        <f t="shared" si="25"/>
        <v>3</v>
      </c>
      <c r="AG74" s="19">
        <f t="shared" si="23"/>
        <v>49981.725964799996</v>
      </c>
    </row>
    <row r="75" spans="1:33" ht="72" x14ac:dyDescent="0.3">
      <c r="AD75" s="27" t="s">
        <v>212</v>
      </c>
      <c r="AE75" s="19">
        <f t="shared" si="26"/>
        <v>1610538.4939392</v>
      </c>
      <c r="AF75" s="16">
        <f t="shared" si="25"/>
        <v>3</v>
      </c>
      <c r="AG75" s="19">
        <f t="shared" si="23"/>
        <v>44737.180387200002</v>
      </c>
    </row>
    <row r="76" spans="1:33" ht="43.2" x14ac:dyDescent="0.3">
      <c r="AD76" s="27" t="s">
        <v>213</v>
      </c>
      <c r="AE76" s="19">
        <f t="shared" si="26"/>
        <v>1073692.3292927998</v>
      </c>
      <c r="AF76" s="16">
        <f t="shared" si="25"/>
        <v>2</v>
      </c>
      <c r="AG76" s="19">
        <f t="shared" si="23"/>
        <v>44737.180387199995</v>
      </c>
    </row>
    <row r="77" spans="1:33" ht="43.2" x14ac:dyDescent="0.3">
      <c r="AD77" s="27" t="s">
        <v>214</v>
      </c>
      <c r="AE77" s="19">
        <f t="shared" si="26"/>
        <v>1073692.3292927998</v>
      </c>
      <c r="AF77" s="16">
        <f t="shared" si="25"/>
        <v>2</v>
      </c>
      <c r="AG77" s="19">
        <f t="shared" si="23"/>
        <v>44737.180387199995</v>
      </c>
    </row>
    <row r="78" spans="1:33" x14ac:dyDescent="0.3">
      <c r="AD78" s="55" t="s">
        <v>260</v>
      </c>
      <c r="AE78" s="19">
        <f>SUM(AE42,AE46,AE56,AE63)</f>
        <v>102312929.64206159</v>
      </c>
      <c r="AF78" s="16">
        <f>SUM(AF70,AF64,AF56,AF46,AF42)</f>
        <v>151</v>
      </c>
      <c r="AG78" s="19">
        <f>SUM(AG63,AG56,AG46,AG42)</f>
        <v>8526077.4701717999</v>
      </c>
    </row>
  </sheetData>
  <mergeCells count="20">
    <mergeCell ref="A43:D43"/>
    <mergeCell ref="H2:H3"/>
    <mergeCell ref="I2:I3"/>
    <mergeCell ref="I11:I13"/>
    <mergeCell ref="I17:I19"/>
    <mergeCell ref="I5:I7"/>
    <mergeCell ref="I14:I16"/>
    <mergeCell ref="I8:I10"/>
    <mergeCell ref="O2:O3"/>
    <mergeCell ref="S13:U13"/>
    <mergeCell ref="V4:V10"/>
    <mergeCell ref="R2:R3"/>
    <mergeCell ref="A1:E1"/>
    <mergeCell ref="H1:Q1"/>
    <mergeCell ref="P2:P3"/>
    <mergeCell ref="Q2:Q3"/>
    <mergeCell ref="J2:K2"/>
    <mergeCell ref="L2:L3"/>
    <mergeCell ref="M2:M3"/>
    <mergeCell ref="N2:N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Расчёт финансовых результатов</vt:lpstr>
      <vt:lpstr>5.1</vt:lpstr>
      <vt:lpstr>6.1</vt:lpstr>
      <vt:lpstr>Расчёт ФОТ</vt:lpstr>
      <vt:lpstr>Приложения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2024-10-22T12:57:17Z</dcterms:modified>
</cp:coreProperties>
</file>