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1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rsogen.sharepoint.com/sites/Electrolyzer/Shared Documents/AEMEL R&amp;D/Cathode/5. GDE fab/"/>
    </mc:Choice>
  </mc:AlternateContent>
  <xr:revisionPtr revIDLastSave="0" documentId="8_{CBBDF914-F459-4E9E-A91B-A71E4B7EABC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Log" sheetId="5" r:id="rId1"/>
    <sheet name="BenchGDE" sheetId="1" r:id="rId2"/>
    <sheet name="5cm2" sheetId="2" r:id="rId3"/>
    <sheet name="Ink waste" sheetId="3" r:id="rId4"/>
    <sheet name="Current 1kW, 10kW Inventory" sheetId="6" r:id="rId5"/>
  </sheets>
  <definedNames>
    <definedName name="_xlnm._FilterDatabase" localSheetId="2" hidden="1">'5cm2'!$D$1:$D$119</definedName>
    <definedName name="_xlnm._FilterDatabase" localSheetId="1" hidden="1">BenchGDE!$A$470:$I$475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5" i="1" l="1"/>
  <c r="A555" i="1"/>
  <c r="F554" i="1"/>
  <c r="A554" i="1"/>
  <c r="F545" i="1"/>
  <c r="A545" i="1" s="1"/>
  <c r="F546" i="1"/>
  <c r="A546" i="1" s="1"/>
  <c r="F547" i="1"/>
  <c r="A547" i="1" s="1"/>
  <c r="F548" i="1"/>
  <c r="A548" i="1" s="1"/>
  <c r="F549" i="1"/>
  <c r="A549" i="1" s="1"/>
  <c r="F550" i="1"/>
  <c r="A550" i="1" s="1"/>
  <c r="F551" i="1"/>
  <c r="A551" i="1" s="1"/>
  <c r="F552" i="1"/>
  <c r="A552" i="1" s="1"/>
  <c r="F544" i="1"/>
  <c r="A544" i="1"/>
  <c r="F543" i="1"/>
  <c r="A543" i="1"/>
  <c r="H151" i="2"/>
  <c r="A151" i="2"/>
  <c r="Q14" i="6"/>
  <c r="H149" i="2"/>
  <c r="A149" i="2"/>
  <c r="F541" i="1"/>
  <c r="A541" i="1"/>
  <c r="F540" i="1"/>
  <c r="A540" i="1"/>
  <c r="F539" i="1"/>
  <c r="A539" i="1"/>
  <c r="F538" i="1"/>
  <c r="A538" i="1"/>
  <c r="F536" i="1"/>
  <c r="A536" i="1"/>
  <c r="F534" i="1"/>
  <c r="A534" i="1"/>
  <c r="F532" i="1"/>
  <c r="A532" i="1"/>
  <c r="F530" i="1"/>
  <c r="A530" i="1"/>
  <c r="F528" i="1"/>
  <c r="A528" i="1"/>
  <c r="F535" i="1"/>
  <c r="A535" i="1"/>
  <c r="F533" i="1"/>
  <c r="A533" i="1"/>
  <c r="F531" i="1"/>
  <c r="A531" i="1"/>
  <c r="F529" i="1"/>
  <c r="A529" i="1"/>
  <c r="F527" i="1"/>
  <c r="A527" i="1"/>
  <c r="F526" i="1"/>
  <c r="A526" i="1"/>
  <c r="F525" i="1"/>
  <c r="A525" i="1"/>
  <c r="F524" i="1"/>
  <c r="A524" i="1"/>
  <c r="F523" i="1"/>
  <c r="A523" i="1"/>
  <c r="O4" i="6"/>
  <c r="A123" i="2"/>
  <c r="A124" i="2"/>
  <c r="A125" i="2"/>
  <c r="A126" i="2"/>
  <c r="A128" i="2"/>
  <c r="A129" i="2"/>
  <c r="A131" i="2"/>
  <c r="A132" i="2"/>
  <c r="A134" i="2"/>
  <c r="A136" i="2"/>
  <c r="A137" i="2"/>
  <c r="A138" i="2"/>
  <c r="A140" i="2"/>
  <c r="A142" i="2"/>
  <c r="A144" i="2"/>
  <c r="A146" i="2"/>
  <c r="A148" i="2"/>
  <c r="H148" i="2"/>
  <c r="F521" i="1"/>
  <c r="A521" i="1"/>
  <c r="F520" i="1"/>
  <c r="A520" i="1"/>
  <c r="F519" i="1"/>
  <c r="A519" i="1"/>
  <c r="F518" i="1"/>
  <c r="A518" i="1"/>
  <c r="F517" i="1"/>
  <c r="A517" i="1"/>
  <c r="H146" i="2"/>
  <c r="H144" i="2"/>
  <c r="C5" i="6"/>
  <c r="D5" i="6"/>
  <c r="I515" i="1"/>
  <c r="F515" i="1"/>
  <c r="A515" i="1"/>
  <c r="I514" i="1"/>
  <c r="F514" i="1"/>
  <c r="A514" i="1"/>
  <c r="I513" i="1"/>
  <c r="F513" i="1"/>
  <c r="A513" i="1"/>
  <c r="I512" i="1"/>
  <c r="F512" i="1"/>
  <c r="A512" i="1"/>
  <c r="H142" i="2"/>
  <c r="H140" i="2"/>
  <c r="H138" i="2"/>
  <c r="H137" i="2"/>
  <c r="H136" i="2"/>
  <c r="H134" i="2"/>
  <c r="C4" i="6"/>
  <c r="F510" i="1"/>
  <c r="I510" i="1"/>
  <c r="A510" i="1" s="1"/>
  <c r="I509" i="1"/>
  <c r="F509" i="1"/>
  <c r="A509" i="1"/>
  <c r="H132" i="2"/>
  <c r="H131" i="2"/>
  <c r="H129" i="2"/>
  <c r="H128" i="2"/>
  <c r="H126" i="2"/>
  <c r="H125" i="2"/>
  <c r="H82" i="2"/>
  <c r="A82" i="2" s="1"/>
  <c r="H124" i="2"/>
  <c r="H123" i="2"/>
  <c r="I92" i="1"/>
  <c r="J33" i="1"/>
  <c r="K32" i="1"/>
  <c r="J32" i="1"/>
  <c r="J22" i="1"/>
  <c r="J29" i="1"/>
  <c r="K29" i="1"/>
  <c r="K28" i="1"/>
  <c r="J28" i="1"/>
  <c r="K21" i="1"/>
  <c r="K22" i="1"/>
  <c r="H121" i="2"/>
  <c r="A121" i="2"/>
  <c r="H119" i="2"/>
  <c r="A119" i="2" s="1"/>
  <c r="H118" i="2"/>
  <c r="A118" i="2" s="1"/>
  <c r="I507" i="1"/>
  <c r="F507" i="1"/>
  <c r="I506" i="1"/>
  <c r="F506" i="1"/>
  <c r="I505" i="1"/>
  <c r="F505" i="1"/>
  <c r="I504" i="1"/>
  <c r="F504" i="1"/>
  <c r="I502" i="1"/>
  <c r="F502" i="1"/>
  <c r="I501" i="1"/>
  <c r="F501" i="1"/>
  <c r="I500" i="1"/>
  <c r="F500" i="1"/>
  <c r="I499" i="1"/>
  <c r="F499" i="1"/>
  <c r="F497" i="1"/>
  <c r="A497" i="1" s="1"/>
  <c r="F496" i="1"/>
  <c r="A496" i="1"/>
  <c r="F495" i="1"/>
  <c r="A495" i="1"/>
  <c r="F494" i="1"/>
  <c r="A494" i="1"/>
  <c r="F493" i="1"/>
  <c r="A493" i="1" s="1"/>
  <c r="F492" i="1"/>
  <c r="A492" i="1"/>
  <c r="F491" i="1"/>
  <c r="A491" i="1"/>
  <c r="F490" i="1"/>
  <c r="A490" i="1"/>
  <c r="F489" i="1"/>
  <c r="A489" i="1" s="1"/>
  <c r="F488" i="1"/>
  <c r="A488" i="1" s="1"/>
  <c r="F486" i="1"/>
  <c r="A486" i="1" s="1"/>
  <c r="F485" i="1"/>
  <c r="A485" i="1"/>
  <c r="F484" i="1"/>
  <c r="A484" i="1" s="1"/>
  <c r="F483" i="1"/>
  <c r="A483" i="1"/>
  <c r="F482" i="1"/>
  <c r="A482" i="1" s="1"/>
  <c r="F481" i="1"/>
  <c r="A481" i="1"/>
  <c r="F480" i="1"/>
  <c r="A480" i="1" s="1"/>
  <c r="F479" i="1"/>
  <c r="A479" i="1"/>
  <c r="F478" i="1"/>
  <c r="A478" i="1" s="1"/>
  <c r="F477" i="1"/>
  <c r="A477" i="1"/>
  <c r="H114" i="2"/>
  <c r="A114" i="2" s="1"/>
  <c r="H112" i="2"/>
  <c r="A112" i="2" s="1"/>
  <c r="H111" i="2"/>
  <c r="A111" i="2" s="1"/>
  <c r="H110" i="2"/>
  <c r="A110" i="2" s="1"/>
  <c r="H109" i="2"/>
  <c r="A109" i="2"/>
  <c r="S107" i="2"/>
  <c r="S106" i="2"/>
  <c r="F475" i="1"/>
  <c r="A475" i="1" s="1"/>
  <c r="F474" i="1"/>
  <c r="A474" i="1"/>
  <c r="F473" i="1"/>
  <c r="A473" i="1" s="1"/>
  <c r="F472" i="1"/>
  <c r="A472" i="1"/>
  <c r="F471" i="1"/>
  <c r="A471" i="1" s="1"/>
  <c r="F470" i="1"/>
  <c r="A470" i="1"/>
  <c r="H107" i="2"/>
  <c r="A107" i="2"/>
  <c r="H106" i="2"/>
  <c r="A106" i="2"/>
  <c r="H105" i="2"/>
  <c r="A105" i="2" s="1"/>
  <c r="H103" i="2"/>
  <c r="A103" i="2" s="1"/>
  <c r="F468" i="1"/>
  <c r="A468" i="1" s="1"/>
  <c r="F467" i="1"/>
  <c r="A467" i="1" s="1"/>
  <c r="F466" i="1"/>
  <c r="A466" i="1" s="1"/>
  <c r="F465" i="1"/>
  <c r="A465" i="1" s="1"/>
  <c r="F464" i="1"/>
  <c r="A464" i="1" s="1"/>
  <c r="F463" i="1"/>
  <c r="A463" i="1" s="1"/>
  <c r="F462" i="1"/>
  <c r="A462" i="1" s="1"/>
  <c r="F461" i="1"/>
  <c r="A461" i="1" s="1"/>
  <c r="F460" i="1"/>
  <c r="A460" i="1" s="1"/>
  <c r="F459" i="1"/>
  <c r="A459" i="1" s="1"/>
  <c r="F456" i="1"/>
  <c r="A456" i="1" s="1"/>
  <c r="F457" i="1"/>
  <c r="A457" i="1" s="1"/>
  <c r="F458" i="1"/>
  <c r="A458" i="1" s="1"/>
  <c r="A499" i="1" l="1"/>
  <c r="A500" i="1"/>
  <c r="A501" i="1"/>
  <c r="A502" i="1"/>
  <c r="A504" i="1"/>
  <c r="A505" i="1"/>
  <c r="A506" i="1"/>
  <c r="A507" i="1"/>
  <c r="F454" i="1"/>
  <c r="A454" i="1" s="1"/>
  <c r="F453" i="1"/>
  <c r="A453" i="1" s="1"/>
  <c r="F452" i="1"/>
  <c r="A452" i="1"/>
  <c r="F451" i="1"/>
  <c r="A451" i="1"/>
  <c r="F450" i="1"/>
  <c r="A450" i="1" s="1"/>
  <c r="F449" i="1"/>
  <c r="A449" i="1" s="1"/>
  <c r="F448" i="1"/>
  <c r="A448" i="1"/>
  <c r="F447" i="1"/>
  <c r="A447" i="1"/>
  <c r="F446" i="1"/>
  <c r="A446" i="1" s="1"/>
  <c r="F445" i="1"/>
  <c r="A445" i="1" s="1"/>
  <c r="F443" i="1"/>
  <c r="A443" i="1"/>
  <c r="F442" i="1"/>
  <c r="A442" i="1"/>
  <c r="F441" i="1"/>
  <c r="A441" i="1" s="1"/>
  <c r="F440" i="1"/>
  <c r="A440" i="1" s="1"/>
  <c r="F439" i="1"/>
  <c r="A439" i="1"/>
  <c r="F438" i="1"/>
  <c r="A438" i="1"/>
  <c r="F437" i="1"/>
  <c r="A437" i="1" s="1"/>
  <c r="F436" i="1"/>
  <c r="A436" i="1" s="1"/>
  <c r="F435" i="1"/>
  <c r="A435" i="1"/>
  <c r="F434" i="1"/>
  <c r="A434" i="1"/>
  <c r="F433" i="1"/>
  <c r="A433" i="1" s="1"/>
  <c r="F432" i="1"/>
  <c r="A432" i="1" s="1"/>
  <c r="F431" i="1"/>
  <c r="A431" i="1"/>
  <c r="F430" i="1"/>
  <c r="A430" i="1" s="1"/>
  <c r="F428" i="1"/>
  <c r="A428" i="1" s="1"/>
  <c r="F427" i="1"/>
  <c r="A427" i="1" s="1"/>
  <c r="F426" i="1"/>
  <c r="A426" i="1"/>
  <c r="F425" i="1"/>
  <c r="A425" i="1" s="1"/>
  <c r="F424" i="1"/>
  <c r="A424" i="1" s="1"/>
  <c r="F423" i="1"/>
  <c r="A423" i="1" s="1"/>
  <c r="F422" i="1"/>
  <c r="A422" i="1"/>
  <c r="F421" i="1"/>
  <c r="A421" i="1" s="1"/>
  <c r="F420" i="1"/>
  <c r="A420" i="1" s="1"/>
  <c r="F419" i="1"/>
  <c r="A419" i="1" s="1"/>
  <c r="F418" i="1"/>
  <c r="A418" i="1"/>
  <c r="F416" i="1"/>
  <c r="A416" i="1" s="1"/>
  <c r="F415" i="1"/>
  <c r="A415" i="1" s="1"/>
  <c r="F414" i="1"/>
  <c r="A414" i="1" s="1"/>
  <c r="F410" i="1"/>
  <c r="A410" i="1" s="1"/>
  <c r="F411" i="1"/>
  <c r="A411" i="1" s="1"/>
  <c r="F412" i="1"/>
  <c r="A412" i="1" s="1"/>
  <c r="F405" i="1"/>
  <c r="A405" i="1" s="1"/>
  <c r="F406" i="1"/>
  <c r="A406" i="1" s="1"/>
  <c r="F407" i="1"/>
  <c r="A407" i="1" s="1"/>
  <c r="F408" i="1"/>
  <c r="A408" i="1" s="1"/>
  <c r="F409" i="1"/>
  <c r="A409" i="1" s="1"/>
  <c r="F404" i="1"/>
  <c r="A404" i="1"/>
  <c r="F403" i="1"/>
  <c r="A403" i="1" s="1"/>
  <c r="U392" i="1"/>
  <c r="F401" i="1"/>
  <c r="A401" i="1" s="1"/>
  <c r="F400" i="1"/>
  <c r="A400" i="1"/>
  <c r="F399" i="1"/>
  <c r="A399" i="1"/>
  <c r="F397" i="1"/>
  <c r="A397" i="1"/>
  <c r="F396" i="1"/>
  <c r="A396" i="1" s="1"/>
  <c r="F395" i="1"/>
  <c r="A395" i="1"/>
  <c r="F393" i="1"/>
  <c r="A393" i="1" s="1"/>
  <c r="F398" i="1"/>
  <c r="A398" i="1" s="1"/>
  <c r="F394" i="1"/>
  <c r="A394" i="1" s="1"/>
  <c r="F392" i="1"/>
  <c r="A392" i="1" s="1"/>
  <c r="H100" i="2"/>
  <c r="H101" i="2"/>
  <c r="H99" i="2"/>
  <c r="A99" i="2" s="1"/>
  <c r="F390" i="1"/>
  <c r="A390" i="1" s="1"/>
  <c r="F389" i="1" l="1"/>
  <c r="A389" i="1" s="1"/>
  <c r="F387" i="1"/>
  <c r="A387" i="1" s="1"/>
  <c r="F386" i="1"/>
  <c r="A386" i="1" s="1"/>
  <c r="F385" i="1"/>
  <c r="A385" i="1"/>
  <c r="F384" i="1"/>
  <c r="A384" i="1" s="1"/>
  <c r="F379" i="1"/>
  <c r="A379" i="1" s="1"/>
  <c r="F378" i="1"/>
  <c r="A378" i="1" s="1"/>
  <c r="F383" i="1"/>
  <c r="A383" i="1"/>
  <c r="F382" i="1"/>
  <c r="A382" i="1" s="1"/>
  <c r="F381" i="1"/>
  <c r="A381" i="1" s="1"/>
  <c r="F380" i="1"/>
  <c r="A380" i="1" s="1"/>
  <c r="F377" i="1"/>
  <c r="A377" i="1"/>
  <c r="F376" i="1"/>
  <c r="A376" i="1" s="1"/>
  <c r="F375" i="1"/>
  <c r="A375" i="1" s="1"/>
  <c r="F374" i="1"/>
  <c r="A374" i="1" s="1"/>
  <c r="F373" i="1"/>
  <c r="A373" i="1"/>
  <c r="F372" i="1"/>
  <c r="A372" i="1" s="1"/>
  <c r="F371" i="1"/>
  <c r="A371" i="1" s="1"/>
  <c r="F370" i="1"/>
  <c r="A370" i="1" s="1"/>
  <c r="F368" i="1"/>
  <c r="A368" i="1"/>
  <c r="F367" i="1"/>
  <c r="A367" i="1" s="1"/>
  <c r="F366" i="1"/>
  <c r="A366" i="1" s="1"/>
  <c r="F365" i="1"/>
  <c r="A365" i="1" s="1"/>
  <c r="F364" i="1"/>
  <c r="A364" i="1"/>
  <c r="F363" i="1"/>
  <c r="A363" i="1" s="1"/>
  <c r="F362" i="1"/>
  <c r="A362" i="1" s="1"/>
  <c r="F357" i="1"/>
  <c r="A357" i="1" s="1"/>
  <c r="F360" i="1"/>
  <c r="A360" i="1"/>
  <c r="F359" i="1"/>
  <c r="A359" i="1" s="1"/>
  <c r="F358" i="1"/>
  <c r="A358" i="1" s="1"/>
  <c r="F356" i="1"/>
  <c r="A356" i="1" s="1"/>
  <c r="F349" i="1"/>
  <c r="F348" i="1"/>
  <c r="A348" i="1" s="1"/>
  <c r="A349" i="1"/>
  <c r="F355" i="1"/>
  <c r="A355" i="1" s="1"/>
  <c r="F354" i="1"/>
  <c r="A354" i="1" s="1"/>
  <c r="F353" i="1"/>
  <c r="A353" i="1"/>
  <c r="F352" i="1"/>
  <c r="A352" i="1" s="1"/>
  <c r="F351" i="1"/>
  <c r="A351" i="1" s="1"/>
  <c r="F350" i="1"/>
  <c r="A350" i="1" s="1"/>
  <c r="F347" i="1"/>
  <c r="A347" i="1"/>
  <c r="F346" i="1"/>
  <c r="A346" i="1" s="1"/>
  <c r="F345" i="1"/>
  <c r="A345" i="1" s="1"/>
  <c r="F344" i="1"/>
  <c r="A344" i="1" s="1"/>
  <c r="F343" i="1"/>
  <c r="A343" i="1"/>
  <c r="F342" i="1"/>
  <c r="A342" i="1" s="1"/>
  <c r="F341" i="1"/>
  <c r="A341" i="1" s="1"/>
  <c r="F340" i="1"/>
  <c r="A340" i="1" s="1"/>
  <c r="F339" i="1"/>
  <c r="A339" i="1" s="1"/>
  <c r="F338" i="1"/>
  <c r="A338" i="1" s="1"/>
  <c r="F337" i="1"/>
  <c r="A337" i="1" s="1"/>
  <c r="H98" i="2"/>
  <c r="A98" i="2" s="1"/>
  <c r="H97" i="2"/>
  <c r="A97" i="2" s="1"/>
  <c r="F333" i="1"/>
  <c r="A333" i="1" s="1"/>
  <c r="F334" i="1"/>
  <c r="A334" i="1" s="1"/>
  <c r="F335" i="1"/>
  <c r="A335" i="1" s="1"/>
  <c r="F336" i="1"/>
  <c r="A336" i="1" s="1"/>
  <c r="F332" i="1"/>
  <c r="A332" i="1" s="1"/>
  <c r="H96" i="2"/>
  <c r="A96" i="2" s="1"/>
  <c r="F322" i="1"/>
  <c r="A322" i="1" s="1"/>
  <c r="F323" i="1"/>
  <c r="A323" i="1" s="1"/>
  <c r="F324" i="1"/>
  <c r="A324" i="1" s="1"/>
  <c r="F325" i="1"/>
  <c r="A325" i="1" s="1"/>
  <c r="F326" i="1"/>
  <c r="A326" i="1" s="1"/>
  <c r="F327" i="1"/>
  <c r="A327" i="1" s="1"/>
  <c r="F328" i="1"/>
  <c r="A328" i="1" s="1"/>
  <c r="F329" i="1"/>
  <c r="A329" i="1" s="1"/>
  <c r="F330" i="1"/>
  <c r="A330" i="1" s="1"/>
  <c r="F331" i="1"/>
  <c r="A331" i="1" s="1"/>
  <c r="F321" i="1"/>
  <c r="A321" i="1" s="1"/>
  <c r="H95" i="2"/>
  <c r="A95" i="2" s="1"/>
  <c r="H94" i="2"/>
  <c r="A94" i="2" s="1"/>
  <c r="F319" i="1"/>
  <c r="A319" i="1" s="1"/>
  <c r="F318" i="1"/>
  <c r="A318" i="1" s="1"/>
  <c r="F317" i="1" l="1"/>
  <c r="A317" i="1" s="1"/>
  <c r="F316" i="1"/>
  <c r="A316" i="1" s="1"/>
  <c r="F315" i="1"/>
  <c r="A315" i="1" s="1"/>
  <c r="H93" i="2" l="1"/>
  <c r="A93" i="2" s="1"/>
  <c r="H92" i="2"/>
  <c r="A92" i="2" s="1"/>
  <c r="F280" i="1"/>
  <c r="A280" i="1" s="1"/>
  <c r="F281" i="1"/>
  <c r="A281" i="1" s="1"/>
  <c r="F282" i="1"/>
  <c r="A282" i="1" s="1"/>
  <c r="F283" i="1"/>
  <c r="A283" i="1" s="1"/>
  <c r="F284" i="1"/>
  <c r="A284" i="1" s="1"/>
  <c r="F285" i="1"/>
  <c r="A285" i="1" s="1"/>
  <c r="F286" i="1"/>
  <c r="A286" i="1" s="1"/>
  <c r="F287" i="1"/>
  <c r="A287" i="1" s="1"/>
  <c r="F288" i="1"/>
  <c r="A288" i="1" s="1"/>
  <c r="F289" i="1"/>
  <c r="A289" i="1" s="1"/>
  <c r="F290" i="1"/>
  <c r="A290" i="1" s="1"/>
  <c r="F291" i="1"/>
  <c r="A291" i="1" s="1"/>
  <c r="F292" i="1"/>
  <c r="A292" i="1" s="1"/>
  <c r="F293" i="1"/>
  <c r="A293" i="1" s="1"/>
  <c r="F294" i="1"/>
  <c r="A294" i="1" s="1"/>
  <c r="F295" i="1"/>
  <c r="A295" i="1" s="1"/>
  <c r="F296" i="1"/>
  <c r="A296" i="1" s="1"/>
  <c r="F297" i="1"/>
  <c r="A297" i="1" s="1"/>
  <c r="F298" i="1"/>
  <c r="A298" i="1" s="1"/>
  <c r="F299" i="1"/>
  <c r="A299" i="1" s="1"/>
  <c r="F300" i="1"/>
  <c r="A300" i="1" s="1"/>
  <c r="F301" i="1"/>
  <c r="A301" i="1" s="1"/>
  <c r="F302" i="1"/>
  <c r="A302" i="1" s="1"/>
  <c r="F303" i="1"/>
  <c r="A303" i="1" s="1"/>
  <c r="F304" i="1"/>
  <c r="A304" i="1" s="1"/>
  <c r="F305" i="1"/>
  <c r="A305" i="1" s="1"/>
  <c r="F306" i="1"/>
  <c r="A306" i="1" s="1"/>
  <c r="F307" i="1"/>
  <c r="A307" i="1" s="1"/>
  <c r="F308" i="1"/>
  <c r="A308" i="1" s="1"/>
  <c r="F309" i="1"/>
  <c r="A309" i="1" s="1"/>
  <c r="F310" i="1"/>
  <c r="A310" i="1" s="1"/>
  <c r="F311" i="1"/>
  <c r="A311" i="1" s="1"/>
  <c r="F312" i="1"/>
  <c r="A312" i="1" s="1"/>
  <c r="F313" i="1"/>
  <c r="A313" i="1" s="1"/>
  <c r="F314" i="1"/>
  <c r="A314" i="1" s="1"/>
  <c r="F279" i="1"/>
  <c r="A279" i="1" s="1"/>
  <c r="F278" i="1"/>
  <c r="A278" i="1" s="1"/>
  <c r="H91" i="2"/>
  <c r="A91" i="2" s="1"/>
  <c r="H90" i="2"/>
  <c r="A90" i="2" s="1"/>
  <c r="H89" i="2"/>
  <c r="A89" i="2" s="1"/>
  <c r="H88" i="2"/>
  <c r="A88" i="2" s="1"/>
  <c r="H87" i="2"/>
  <c r="A87" i="2" s="1"/>
  <c r="H86" i="2"/>
  <c r="A86" i="2" s="1"/>
  <c r="H85" i="2"/>
  <c r="A85" i="2" s="1"/>
  <c r="H19" i="2"/>
  <c r="H18" i="2"/>
  <c r="H16" i="2"/>
  <c r="A16" i="2" s="1"/>
  <c r="H17" i="2"/>
  <c r="H15" i="2"/>
  <c r="H14" i="2"/>
  <c r="H13" i="2"/>
  <c r="H12" i="2"/>
  <c r="H11" i="2"/>
  <c r="H10" i="2"/>
  <c r="H9" i="2"/>
  <c r="H8" i="2"/>
  <c r="H7" i="2"/>
  <c r="H3" i="2"/>
  <c r="V275" i="1"/>
  <c r="F275" i="1"/>
  <c r="A275" i="1" s="1"/>
  <c r="F239" i="1"/>
  <c r="A239" i="1" s="1"/>
  <c r="F240" i="1"/>
  <c r="A240" i="1" s="1"/>
  <c r="H84" i="2"/>
  <c r="A84" i="2" s="1"/>
  <c r="H83" i="2"/>
  <c r="A83" i="2" s="1"/>
  <c r="F276" i="1"/>
  <c r="A276" i="1" s="1"/>
  <c r="F274" i="1"/>
  <c r="A274" i="1" s="1"/>
  <c r="F273" i="1"/>
  <c r="A273" i="1" s="1"/>
  <c r="F272" i="1"/>
  <c r="A272" i="1" s="1"/>
  <c r="F271" i="1"/>
  <c r="A271" i="1" s="1"/>
  <c r="F270" i="1"/>
  <c r="A270" i="1" s="1"/>
  <c r="H80" i="2"/>
  <c r="A80" i="2" s="1"/>
  <c r="H81" i="2"/>
  <c r="A81" i="2" s="1"/>
  <c r="H61" i="2"/>
  <c r="A61" i="2" s="1"/>
  <c r="H79" i="2"/>
  <c r="A79" i="2" s="1"/>
  <c r="H60" i="2"/>
  <c r="A60" i="2" s="1"/>
  <c r="F269" i="1"/>
  <c r="A269" i="1" s="1"/>
  <c r="F268" i="1"/>
  <c r="A268" i="1" s="1"/>
  <c r="F267" i="1"/>
  <c r="A267" i="1" s="1"/>
  <c r="F266" i="1"/>
  <c r="A266" i="1" s="1"/>
  <c r="F265" i="1"/>
  <c r="A265" i="1" s="1"/>
  <c r="F264" i="1"/>
  <c r="A264" i="1" s="1"/>
  <c r="F263" i="1"/>
  <c r="A263" i="1" s="1"/>
  <c r="F262" i="1"/>
  <c r="A262" i="1" s="1"/>
  <c r="F261" i="1"/>
  <c r="A261" i="1" s="1"/>
  <c r="F260" i="1"/>
  <c r="A260" i="1" s="1"/>
  <c r="F259" i="1"/>
  <c r="A259" i="1" s="1"/>
  <c r="F258" i="1"/>
  <c r="A258" i="1" s="1"/>
  <c r="F257" i="1"/>
  <c r="A257" i="1" s="1"/>
  <c r="F256" i="1"/>
  <c r="A256" i="1" s="1"/>
  <c r="F255" i="1"/>
  <c r="A255" i="1" s="1"/>
  <c r="F254" i="1"/>
  <c r="A254" i="1" s="1"/>
  <c r="F253" i="1"/>
  <c r="A253" i="1" s="1"/>
  <c r="F252" i="1"/>
  <c r="A252" i="1" s="1"/>
  <c r="F251" i="1"/>
  <c r="A251" i="1" s="1"/>
  <c r="F250" i="1"/>
  <c r="A250" i="1" s="1"/>
  <c r="F249" i="1"/>
  <c r="A249" i="1" s="1"/>
  <c r="F248" i="1"/>
  <c r="A248" i="1" s="1"/>
  <c r="F247" i="1"/>
  <c r="A247" i="1" s="1"/>
  <c r="F246" i="1"/>
  <c r="A246" i="1" s="1"/>
  <c r="H77" i="2"/>
  <c r="A77" i="2" s="1"/>
  <c r="H76" i="2"/>
  <c r="A76" i="2" s="1"/>
  <c r="F242" i="1"/>
  <c r="A242" i="1" s="1"/>
  <c r="F243" i="1"/>
  <c r="A243" i="1" s="1"/>
  <c r="F244" i="1"/>
  <c r="A244" i="1" s="1"/>
  <c r="F245" i="1"/>
  <c r="A245" i="1" s="1"/>
  <c r="F241" i="1"/>
  <c r="A241" i="1" s="1"/>
  <c r="H78" i="2"/>
  <c r="A78" i="2" s="1"/>
  <c r="F238" i="1"/>
  <c r="A238" i="1" s="1"/>
  <c r="F237" i="1"/>
  <c r="A237" i="1" s="1"/>
  <c r="F236" i="1"/>
  <c r="A236" i="1" s="1"/>
  <c r="F235" i="1"/>
  <c r="A235" i="1" s="1"/>
  <c r="F234" i="1"/>
  <c r="A234" i="1" s="1"/>
  <c r="F233" i="1"/>
  <c r="A233" i="1" s="1"/>
  <c r="H75" i="2"/>
  <c r="A75" i="2" s="1"/>
  <c r="H74" i="2"/>
  <c r="A74" i="2" s="1"/>
  <c r="H73" i="2"/>
  <c r="A73" i="2" s="1"/>
  <c r="H72" i="2"/>
  <c r="A72" i="2" s="1"/>
  <c r="H71" i="2"/>
  <c r="A71" i="2" s="1"/>
  <c r="H44" i="2"/>
  <c r="A44" i="2" s="1"/>
  <c r="H43" i="2"/>
  <c r="A43" i="2" s="1"/>
  <c r="H66" i="2"/>
  <c r="A66" i="2" s="1"/>
  <c r="H65" i="2"/>
  <c r="A65" i="2" s="1"/>
  <c r="H64" i="2"/>
  <c r="A64" i="2" s="1"/>
  <c r="H63" i="2"/>
  <c r="A63" i="2" s="1"/>
  <c r="H70" i="2"/>
  <c r="A70" i="2" s="1"/>
  <c r="H69" i="2"/>
  <c r="A69" i="2" s="1"/>
  <c r="H68" i="2"/>
  <c r="A68" i="2" s="1"/>
  <c r="H67" i="2"/>
  <c r="A67" i="2" s="1"/>
  <c r="A232" i="1"/>
  <c r="A231" i="1"/>
  <c r="A230" i="1"/>
  <c r="I229" i="1"/>
  <c r="F229" i="1"/>
  <c r="F228" i="1"/>
  <c r="A228" i="1" s="1"/>
  <c r="F227" i="1"/>
  <c r="A227" i="1" s="1"/>
  <c r="F226" i="1"/>
  <c r="A226" i="1" s="1"/>
  <c r="F225" i="1"/>
  <c r="A225" i="1" s="1"/>
  <c r="H62" i="2"/>
  <c r="A62" i="2" s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H58" i="2"/>
  <c r="A58" i="2" s="1"/>
  <c r="F177" i="1"/>
  <c r="A177" i="1" s="1"/>
  <c r="F178" i="1"/>
  <c r="A178" i="1" s="1"/>
  <c r="F179" i="1"/>
  <c r="A179" i="1" s="1"/>
  <c r="F180" i="1"/>
  <c r="A180" i="1" s="1"/>
  <c r="F181" i="1"/>
  <c r="A181" i="1" s="1"/>
  <c r="I162" i="1"/>
  <c r="F162" i="1"/>
  <c r="I161" i="1"/>
  <c r="F161" i="1"/>
  <c r="I160" i="1"/>
  <c r="F160" i="1"/>
  <c r="I159" i="1"/>
  <c r="F159" i="1"/>
  <c r="I158" i="1"/>
  <c r="F158" i="1"/>
  <c r="H40" i="2"/>
  <c r="A40" i="2" s="1"/>
  <c r="H23" i="2"/>
  <c r="A23" i="2" s="1"/>
  <c r="H59" i="2"/>
  <c r="A59" i="2" s="1"/>
  <c r="H49" i="2"/>
  <c r="A49" i="2" s="1"/>
  <c r="F213" i="1"/>
  <c r="A213" i="1" s="1"/>
  <c r="F212" i="1"/>
  <c r="A212" i="1" s="1"/>
  <c r="F211" i="1"/>
  <c r="A211" i="1" s="1"/>
  <c r="F210" i="1"/>
  <c r="A210" i="1" s="1"/>
  <c r="F209" i="1"/>
  <c r="A209" i="1" s="1"/>
  <c r="F208" i="1"/>
  <c r="A208" i="1" s="1"/>
  <c r="H42" i="2"/>
  <c r="A42" i="2" s="1"/>
  <c r="H48" i="2"/>
  <c r="A48" i="2" s="1"/>
  <c r="H47" i="2"/>
  <c r="A47" i="2" s="1"/>
  <c r="H54" i="2"/>
  <c r="A54" i="2" s="1"/>
  <c r="H53" i="2"/>
  <c r="A53" i="2" s="1"/>
  <c r="H57" i="2"/>
  <c r="A57" i="2" s="1"/>
  <c r="H56" i="2"/>
  <c r="A56" i="2" s="1"/>
  <c r="H55" i="2"/>
  <c r="A55" i="2" s="1"/>
  <c r="H52" i="2"/>
  <c r="A52" i="2" s="1"/>
  <c r="H51" i="2"/>
  <c r="A51" i="2" s="1"/>
  <c r="H50" i="2"/>
  <c r="A50" i="2" s="1"/>
  <c r="H46" i="2"/>
  <c r="A46" i="2" s="1"/>
  <c r="H45" i="2"/>
  <c r="A45" i="2" s="1"/>
  <c r="K197" i="1"/>
  <c r="K196" i="1"/>
  <c r="J197" i="1"/>
  <c r="J196" i="1"/>
  <c r="U196" i="1"/>
  <c r="U197" i="1"/>
  <c r="F197" i="1"/>
  <c r="I197" i="1"/>
  <c r="F196" i="1"/>
  <c r="I196" i="1"/>
  <c r="I201" i="1"/>
  <c r="F201" i="1"/>
  <c r="I200" i="1"/>
  <c r="F200" i="1"/>
  <c r="I199" i="1"/>
  <c r="F199" i="1"/>
  <c r="I198" i="1"/>
  <c r="F198" i="1"/>
  <c r="H31" i="2"/>
  <c r="A31" i="2" s="1"/>
  <c r="I207" i="1"/>
  <c r="F207" i="1"/>
  <c r="I206" i="1"/>
  <c r="F206" i="1"/>
  <c r="I205" i="1"/>
  <c r="F205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204" i="1"/>
  <c r="F204" i="1"/>
  <c r="I203" i="1"/>
  <c r="F203" i="1"/>
  <c r="I202" i="1"/>
  <c r="F202" i="1"/>
  <c r="I189" i="1"/>
  <c r="F189" i="1"/>
  <c r="I188" i="1"/>
  <c r="F188" i="1"/>
  <c r="I187" i="1"/>
  <c r="F187" i="1"/>
  <c r="I186" i="1"/>
  <c r="F186" i="1"/>
  <c r="I185" i="1"/>
  <c r="I184" i="1"/>
  <c r="F185" i="1"/>
  <c r="F184" i="1"/>
  <c r="I183" i="1"/>
  <c r="F183" i="1"/>
  <c r="F182" i="1"/>
  <c r="I176" i="1"/>
  <c r="F176" i="1"/>
  <c r="I175" i="1"/>
  <c r="F175" i="1"/>
  <c r="I174" i="1"/>
  <c r="F174" i="1"/>
  <c r="I173" i="1"/>
  <c r="F173" i="1"/>
  <c r="I172" i="1"/>
  <c r="F172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H6" i="2"/>
  <c r="A220" i="1" l="1"/>
  <c r="A162" i="1"/>
  <c r="A215" i="1"/>
  <c r="A219" i="1"/>
  <c r="A224" i="1"/>
  <c r="A214" i="1"/>
  <c r="A221" i="1"/>
  <c r="A158" i="1"/>
  <c r="A217" i="1"/>
  <c r="A161" i="1"/>
  <c r="A223" i="1"/>
  <c r="A216" i="1"/>
  <c r="A229" i="1"/>
  <c r="A160" i="1"/>
  <c r="A159" i="1"/>
  <c r="A222" i="1"/>
  <c r="A197" i="1"/>
  <c r="A218" i="1"/>
  <c r="A196" i="1"/>
  <c r="A191" i="1"/>
  <c r="A194" i="1"/>
  <c r="A203" i="1"/>
  <c r="A200" i="1"/>
  <c r="A155" i="1"/>
  <c r="A204" i="1"/>
  <c r="A188" i="1"/>
  <c r="A154" i="1"/>
  <c r="A156" i="1"/>
  <c r="A172" i="1"/>
  <c r="A199" i="1"/>
  <c r="A153" i="1"/>
  <c r="A193" i="1"/>
  <c r="A186" i="1"/>
  <c r="A192" i="1"/>
  <c r="A198" i="1"/>
  <c r="A157" i="1"/>
  <c r="A195" i="1"/>
  <c r="A201" i="1"/>
  <c r="A173" i="1"/>
  <c r="A190" i="1"/>
  <c r="A205" i="1"/>
  <c r="A206" i="1"/>
  <c r="A207" i="1"/>
  <c r="A175" i="1"/>
  <c r="A176" i="1"/>
  <c r="A182" i="1"/>
  <c r="A183" i="1"/>
  <c r="A187" i="1"/>
  <c r="A189" i="1"/>
  <c r="A202" i="1"/>
  <c r="A174" i="1"/>
  <c r="A184" i="1"/>
  <c r="A185" i="1"/>
  <c r="A152" i="1"/>
  <c r="H41" i="2"/>
  <c r="A41" i="2" s="1"/>
  <c r="H36" i="2"/>
  <c r="A36" i="2" s="1"/>
  <c r="K171" i="1"/>
  <c r="J171" i="1"/>
  <c r="K170" i="1"/>
  <c r="J170" i="1"/>
  <c r="K169" i="1"/>
  <c r="J169" i="1"/>
  <c r="K168" i="1"/>
  <c r="J168" i="1"/>
  <c r="K167" i="1"/>
  <c r="J167" i="1"/>
  <c r="I171" i="1"/>
  <c r="I170" i="1"/>
  <c r="I169" i="1"/>
  <c r="I168" i="1"/>
  <c r="I167" i="1"/>
  <c r="F169" i="1"/>
  <c r="F170" i="1"/>
  <c r="F171" i="1"/>
  <c r="F168" i="1"/>
  <c r="F167" i="1"/>
  <c r="H39" i="2"/>
  <c r="A39" i="2" s="1"/>
  <c r="K166" i="1"/>
  <c r="J166" i="1"/>
  <c r="I166" i="1"/>
  <c r="F166" i="1"/>
  <c r="K165" i="1"/>
  <c r="J165" i="1"/>
  <c r="I165" i="1"/>
  <c r="F165" i="1"/>
  <c r="K164" i="1"/>
  <c r="J164" i="1"/>
  <c r="I164" i="1"/>
  <c r="F164" i="1"/>
  <c r="J163" i="1"/>
  <c r="K163" i="1"/>
  <c r="I163" i="1"/>
  <c r="F163" i="1"/>
  <c r="H38" i="2"/>
  <c r="A38" i="2" s="1"/>
  <c r="H37" i="2"/>
  <c r="A37" i="2" s="1"/>
  <c r="U151" i="1"/>
  <c r="U150" i="1"/>
  <c r="U149" i="1"/>
  <c r="U148" i="1"/>
  <c r="U147" i="1"/>
  <c r="U146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J140" i="1"/>
  <c r="U145" i="1"/>
  <c r="U144" i="1"/>
  <c r="U143" i="1"/>
  <c r="U142" i="1"/>
  <c r="U141" i="1"/>
  <c r="U140" i="1"/>
  <c r="K145" i="1"/>
  <c r="J145" i="1"/>
  <c r="K144" i="1"/>
  <c r="J144" i="1"/>
  <c r="K143" i="1"/>
  <c r="J143" i="1"/>
  <c r="K142" i="1"/>
  <c r="J142" i="1"/>
  <c r="K141" i="1"/>
  <c r="J141" i="1"/>
  <c r="K140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U139" i="1"/>
  <c r="U138" i="1"/>
  <c r="U137" i="1"/>
  <c r="U136" i="1"/>
  <c r="U135" i="1"/>
  <c r="U134" i="1"/>
  <c r="K139" i="1"/>
  <c r="J139" i="1"/>
  <c r="I139" i="1"/>
  <c r="F139" i="1"/>
  <c r="K138" i="1"/>
  <c r="J138" i="1"/>
  <c r="I138" i="1"/>
  <c r="F138" i="1"/>
  <c r="K137" i="1"/>
  <c r="J137" i="1"/>
  <c r="I137" i="1"/>
  <c r="F137" i="1"/>
  <c r="K136" i="1"/>
  <c r="J136" i="1"/>
  <c r="I136" i="1"/>
  <c r="F136" i="1"/>
  <c r="K135" i="1"/>
  <c r="J135" i="1"/>
  <c r="I135" i="1"/>
  <c r="F135" i="1"/>
  <c r="K134" i="1"/>
  <c r="J134" i="1"/>
  <c r="I134" i="1"/>
  <c r="F134" i="1"/>
  <c r="I133" i="1"/>
  <c r="F133" i="1"/>
  <c r="J133" i="1"/>
  <c r="K133" i="1"/>
  <c r="K132" i="1"/>
  <c r="J132" i="1"/>
  <c r="U133" i="1"/>
  <c r="U132" i="1"/>
  <c r="I132" i="1"/>
  <c r="F132" i="1"/>
  <c r="H35" i="2"/>
  <c r="A35" i="2" s="1"/>
  <c r="H34" i="2"/>
  <c r="A34" i="2" s="1"/>
  <c r="H27" i="2"/>
  <c r="A27" i="2" s="1"/>
  <c r="H33" i="2"/>
  <c r="A33" i="2" s="1"/>
  <c r="H32" i="2"/>
  <c r="A32" i="2" s="1"/>
  <c r="U131" i="1"/>
  <c r="U130" i="1"/>
  <c r="U129" i="1"/>
  <c r="U128" i="1"/>
  <c r="U127" i="1"/>
  <c r="U126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F131" i="1"/>
  <c r="F130" i="1"/>
  <c r="F129" i="1"/>
  <c r="F128" i="1"/>
  <c r="F127" i="1"/>
  <c r="F126" i="1"/>
  <c r="I131" i="1"/>
  <c r="I130" i="1"/>
  <c r="I129" i="1"/>
  <c r="I128" i="1"/>
  <c r="I127" i="1"/>
  <c r="I126" i="1"/>
  <c r="U113" i="1"/>
  <c r="U112" i="1"/>
  <c r="U111" i="1"/>
  <c r="U110" i="1"/>
  <c r="K110" i="1"/>
  <c r="K113" i="1"/>
  <c r="J113" i="1"/>
  <c r="K112" i="1"/>
  <c r="J112" i="1"/>
  <c r="K111" i="1"/>
  <c r="J111" i="1"/>
  <c r="J110" i="1"/>
  <c r="I113" i="1"/>
  <c r="F113" i="1"/>
  <c r="I112" i="1"/>
  <c r="F112" i="1"/>
  <c r="I111" i="1"/>
  <c r="F111" i="1"/>
  <c r="I110" i="1"/>
  <c r="F110" i="1"/>
  <c r="H26" i="2"/>
  <c r="A26" i="2" s="1"/>
  <c r="H22" i="2"/>
  <c r="A22" i="2" s="1"/>
  <c r="H29" i="2"/>
  <c r="A29" i="2" s="1"/>
  <c r="K28" i="2"/>
  <c r="H28" i="2"/>
  <c r="A28" i="2" s="1"/>
  <c r="K30" i="2"/>
  <c r="H30" i="2"/>
  <c r="A30" i="2" s="1"/>
  <c r="H25" i="2"/>
  <c r="A25" i="2" s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09" i="1"/>
  <c r="U108" i="1"/>
  <c r="U107" i="1"/>
  <c r="U106" i="1"/>
  <c r="U105" i="1"/>
  <c r="U104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09" i="1"/>
  <c r="F109" i="1"/>
  <c r="I108" i="1"/>
  <c r="F108" i="1"/>
  <c r="I107" i="1"/>
  <c r="F107" i="1"/>
  <c r="I106" i="1"/>
  <c r="F106" i="1"/>
  <c r="I105" i="1"/>
  <c r="F105" i="1"/>
  <c r="F104" i="1"/>
  <c r="I104" i="1"/>
  <c r="H24" i="2"/>
  <c r="A24" i="2" s="1"/>
  <c r="U100" i="1"/>
  <c r="U98" i="1"/>
  <c r="K103" i="1"/>
  <c r="J103" i="1"/>
  <c r="K102" i="1"/>
  <c r="J102" i="1"/>
  <c r="K101" i="1"/>
  <c r="J101" i="1"/>
  <c r="K100" i="1"/>
  <c r="J100" i="1"/>
  <c r="K99" i="1"/>
  <c r="J99" i="1"/>
  <c r="K98" i="1"/>
  <c r="J98" i="1"/>
  <c r="U103" i="1"/>
  <c r="U102" i="1"/>
  <c r="U101" i="1"/>
  <c r="U99" i="1"/>
  <c r="F103" i="1"/>
  <c r="F102" i="1"/>
  <c r="F101" i="1"/>
  <c r="F100" i="1"/>
  <c r="F99" i="1"/>
  <c r="I103" i="1"/>
  <c r="I102" i="1"/>
  <c r="I101" i="1"/>
  <c r="I1048528" i="1"/>
  <c r="I100" i="1"/>
  <c r="I99" i="1"/>
  <c r="I98" i="1"/>
  <c r="F98" i="1"/>
  <c r="I97" i="1"/>
  <c r="F97" i="1"/>
  <c r="U93" i="1"/>
  <c r="I93" i="1"/>
  <c r="F93" i="1"/>
  <c r="I96" i="1"/>
  <c r="F96" i="1"/>
  <c r="I95" i="1"/>
  <c r="F95" i="1"/>
  <c r="I94" i="1"/>
  <c r="F94" i="1"/>
  <c r="U92" i="1"/>
  <c r="U39" i="1"/>
  <c r="U88" i="1"/>
  <c r="U61" i="1"/>
  <c r="U89" i="1"/>
  <c r="I17" i="1"/>
  <c r="F92" i="1"/>
  <c r="H21" i="2"/>
  <c r="A21" i="2" s="1"/>
  <c r="A137" i="1" l="1"/>
  <c r="A169" i="1"/>
  <c r="A107" i="1"/>
  <c r="A139" i="1"/>
  <c r="A165" i="1"/>
  <c r="A164" i="1"/>
  <c r="A166" i="1"/>
  <c r="A163" i="1"/>
  <c r="A109" i="1"/>
  <c r="A106" i="1"/>
  <c r="A134" i="1"/>
  <c r="A167" i="1"/>
  <c r="A121" i="1"/>
  <c r="A102" i="1"/>
  <c r="A136" i="1"/>
  <c r="A97" i="1"/>
  <c r="A138" i="1"/>
  <c r="A168" i="1"/>
  <c r="A108" i="1"/>
  <c r="A120" i="1"/>
  <c r="A135" i="1"/>
  <c r="A105" i="1"/>
  <c r="A101" i="1"/>
  <c r="A127" i="1"/>
  <c r="A98" i="1"/>
  <c r="A104" i="1"/>
  <c r="A132" i="1"/>
  <c r="A133" i="1"/>
  <c r="A103" i="1"/>
  <c r="A131" i="1"/>
  <c r="A171" i="1"/>
  <c r="A122" i="1"/>
  <c r="A170" i="1"/>
  <c r="A100" i="1"/>
  <c r="A128" i="1"/>
  <c r="A92" i="1"/>
  <c r="A99" i="1"/>
  <c r="A129" i="1"/>
  <c r="A130" i="1"/>
  <c r="A126" i="1"/>
  <c r="A110" i="1"/>
  <c r="A111" i="1"/>
  <c r="A112" i="1"/>
  <c r="A113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95" i="1"/>
  <c r="A96" i="1"/>
  <c r="A93" i="1"/>
  <c r="A114" i="1"/>
  <c r="A115" i="1"/>
  <c r="A116" i="1"/>
  <c r="A117" i="1"/>
  <c r="A118" i="1"/>
  <c r="A119" i="1"/>
  <c r="A123" i="1"/>
  <c r="A124" i="1"/>
  <c r="A125" i="1"/>
  <c r="A94" i="1"/>
  <c r="I90" i="1"/>
  <c r="I89" i="1"/>
  <c r="I91" i="1"/>
  <c r="I88" i="1"/>
  <c r="I19" i="1"/>
  <c r="H20" i="2"/>
  <c r="A20" i="2" s="1"/>
  <c r="F91" i="1"/>
  <c r="F89" i="1"/>
  <c r="F90" i="1"/>
  <c r="F88" i="1"/>
  <c r="A14" i="2"/>
  <c r="A19" i="2"/>
  <c r="A18" i="2"/>
  <c r="A17" i="2"/>
  <c r="J87" i="1"/>
  <c r="K87" i="1"/>
  <c r="J86" i="1"/>
  <c r="K86" i="1"/>
  <c r="J85" i="1"/>
  <c r="K85" i="1"/>
  <c r="J84" i="1"/>
  <c r="K84" i="1"/>
  <c r="F87" i="1"/>
  <c r="A87" i="1" s="1"/>
  <c r="F86" i="1"/>
  <c r="A86" i="1" s="1"/>
  <c r="F85" i="1"/>
  <c r="A85" i="1" s="1"/>
  <c r="F84" i="1"/>
  <c r="A84" i="1" s="1"/>
  <c r="K83" i="1"/>
  <c r="J83" i="1"/>
  <c r="K82" i="1"/>
  <c r="J82" i="1"/>
  <c r="K81" i="1"/>
  <c r="J81" i="1"/>
  <c r="K80" i="1"/>
  <c r="J80" i="1"/>
  <c r="K79" i="1"/>
  <c r="J79" i="1"/>
  <c r="F83" i="1"/>
  <c r="A83" i="1" s="1"/>
  <c r="F82" i="1"/>
  <c r="A82" i="1" s="1"/>
  <c r="F81" i="1"/>
  <c r="A81" i="1" s="1"/>
  <c r="F80" i="1"/>
  <c r="A80" i="1" s="1"/>
  <c r="F79" i="1"/>
  <c r="A79" i="1" s="1"/>
  <c r="K78" i="1"/>
  <c r="J78" i="1"/>
  <c r="F78" i="1"/>
  <c r="A78" i="1" s="1"/>
  <c r="K77" i="1"/>
  <c r="J77" i="1"/>
  <c r="F77" i="1"/>
  <c r="A77" i="1" s="1"/>
  <c r="K76" i="1"/>
  <c r="J76" i="1"/>
  <c r="F76" i="1"/>
  <c r="A76" i="1" s="1"/>
  <c r="K75" i="1"/>
  <c r="J75" i="1"/>
  <c r="F75" i="1"/>
  <c r="A75" i="1" s="1"/>
  <c r="A15" i="2"/>
  <c r="J74" i="1"/>
  <c r="K74" i="1"/>
  <c r="K73" i="1"/>
  <c r="J73" i="1"/>
  <c r="F74" i="1"/>
  <c r="A74" i="1" s="1"/>
  <c r="F73" i="1"/>
  <c r="A73" i="1" s="1"/>
  <c r="J72" i="1"/>
  <c r="K72" i="1"/>
  <c r="J71" i="1"/>
  <c r="K71" i="1"/>
  <c r="F72" i="1"/>
  <c r="A72" i="1" s="1"/>
  <c r="F71" i="1"/>
  <c r="A71" i="1" s="1"/>
  <c r="J64" i="1"/>
  <c r="K64" i="1"/>
  <c r="I66" i="1"/>
  <c r="I67" i="1"/>
  <c r="I68" i="1"/>
  <c r="I69" i="1"/>
  <c r="I70" i="1"/>
  <c r="I65" i="1"/>
  <c r="K70" i="1"/>
  <c r="K69" i="1"/>
  <c r="K68" i="1"/>
  <c r="K67" i="1"/>
  <c r="K66" i="1"/>
  <c r="K65" i="1"/>
  <c r="J70" i="1"/>
  <c r="J69" i="1"/>
  <c r="J68" i="1"/>
  <c r="J67" i="1"/>
  <c r="J66" i="1"/>
  <c r="J65" i="1"/>
  <c r="F70" i="1"/>
  <c r="F69" i="1"/>
  <c r="F68" i="1"/>
  <c r="F67" i="1"/>
  <c r="F66" i="1"/>
  <c r="F65" i="1"/>
  <c r="F64" i="1"/>
  <c r="A64" i="1" s="1"/>
  <c r="F63" i="1"/>
  <c r="A63" i="1" s="1"/>
  <c r="F62" i="1"/>
  <c r="A62" i="1" s="1"/>
  <c r="I61" i="1"/>
  <c r="I60" i="1"/>
  <c r="I59" i="1"/>
  <c r="I58" i="1"/>
  <c r="I57" i="1"/>
  <c r="I33" i="1"/>
  <c r="F61" i="1"/>
  <c r="A52" i="1"/>
  <c r="A50" i="1"/>
  <c r="A48" i="1"/>
  <c r="A46" i="1"/>
  <c r="A45" i="1"/>
  <c r="A44" i="1"/>
  <c r="A43" i="1"/>
  <c r="A42" i="1"/>
  <c r="A13" i="2"/>
  <c r="K60" i="1"/>
  <c r="J60" i="1"/>
  <c r="F60" i="1"/>
  <c r="A12" i="2"/>
  <c r="F59" i="1"/>
  <c r="K58" i="1"/>
  <c r="J58" i="1"/>
  <c r="F58" i="1"/>
  <c r="A11" i="2"/>
  <c r="K57" i="1"/>
  <c r="J57" i="1"/>
  <c r="F57" i="1"/>
  <c r="A6" i="2"/>
  <c r="A5" i="2"/>
  <c r="A4" i="2"/>
  <c r="A8" i="2"/>
  <c r="A10" i="2"/>
  <c r="A9" i="2"/>
  <c r="K56" i="1"/>
  <c r="J56" i="1"/>
  <c r="K55" i="1"/>
  <c r="J55" i="1"/>
  <c r="K54" i="1"/>
  <c r="J54" i="1"/>
  <c r="K53" i="1"/>
  <c r="J53" i="1"/>
  <c r="I56" i="1"/>
  <c r="F56" i="1"/>
  <c r="I55" i="1"/>
  <c r="F55" i="1"/>
  <c r="I54" i="1"/>
  <c r="F54" i="1"/>
  <c r="I53" i="1"/>
  <c r="F53" i="1"/>
  <c r="A7" i="2"/>
  <c r="K52" i="1"/>
  <c r="J52" i="1"/>
  <c r="K51" i="1"/>
  <c r="J51" i="1"/>
  <c r="K50" i="1"/>
  <c r="J50" i="1"/>
  <c r="K49" i="1"/>
  <c r="J49" i="1"/>
  <c r="K48" i="1"/>
  <c r="J48" i="1"/>
  <c r="K47" i="1"/>
  <c r="J47" i="1"/>
  <c r="F49" i="1"/>
  <c r="A49" i="1" s="1"/>
  <c r="F51" i="1"/>
  <c r="A51" i="1" s="1"/>
  <c r="F47" i="1"/>
  <c r="A47" i="1" s="1"/>
  <c r="F39" i="1"/>
  <c r="AF42" i="1"/>
  <c r="J46" i="1"/>
  <c r="K46" i="1"/>
  <c r="J45" i="1"/>
  <c r="K45" i="1"/>
  <c r="J44" i="1"/>
  <c r="K44" i="1"/>
  <c r="K43" i="1"/>
  <c r="J43" i="1"/>
  <c r="K42" i="1"/>
  <c r="J42" i="1"/>
  <c r="K41" i="1"/>
  <c r="J41" i="1"/>
  <c r="K40" i="1"/>
  <c r="J40" i="1"/>
  <c r="I41" i="1"/>
  <c r="A41" i="1" s="1"/>
  <c r="I40" i="1"/>
  <c r="A40" i="1" s="1"/>
  <c r="K35" i="1"/>
  <c r="J35" i="1"/>
  <c r="K38" i="1"/>
  <c r="J38" i="1"/>
  <c r="K37" i="1"/>
  <c r="J37" i="1"/>
  <c r="K36" i="1"/>
  <c r="J36" i="1"/>
  <c r="K39" i="1"/>
  <c r="J39" i="1"/>
  <c r="AG39" i="1"/>
  <c r="I39" i="1"/>
  <c r="AG35" i="1"/>
  <c r="AH35" i="1" s="1"/>
  <c r="F35" i="1"/>
  <c r="A35" i="1" s="1"/>
  <c r="J21" i="1"/>
  <c r="J34" i="1"/>
  <c r="K34" i="1"/>
  <c r="K33" i="1"/>
  <c r="I37" i="1"/>
  <c r="A37" i="1" s="1"/>
  <c r="I38" i="1"/>
  <c r="A38" i="1" s="1"/>
  <c r="I30" i="1"/>
  <c r="I31" i="1"/>
  <c r="I32" i="1"/>
  <c r="I34" i="1"/>
  <c r="I20" i="1"/>
  <c r="I21" i="1"/>
  <c r="I22" i="1"/>
  <c r="I36" i="1"/>
  <c r="A36" i="1" s="1"/>
  <c r="I29" i="1"/>
  <c r="I23" i="1"/>
  <c r="I18" i="1"/>
  <c r="I13" i="1"/>
  <c r="I14" i="1"/>
  <c r="I15" i="1"/>
  <c r="I16" i="1"/>
  <c r="I12" i="1"/>
  <c r="I10" i="1"/>
  <c r="I11" i="1"/>
  <c r="I9" i="1"/>
  <c r="I7" i="1"/>
  <c r="I8" i="1"/>
  <c r="I6" i="1"/>
  <c r="I4" i="1"/>
  <c r="I5" i="1"/>
  <c r="F34" i="1"/>
  <c r="F33" i="1"/>
  <c r="F32" i="1"/>
  <c r="F31" i="1"/>
  <c r="F30" i="1"/>
  <c r="F29" i="1"/>
  <c r="I28" i="1"/>
  <c r="F28" i="1"/>
  <c r="I27" i="1"/>
  <c r="F27" i="1"/>
  <c r="I26" i="1"/>
  <c r="F26" i="1"/>
  <c r="I25" i="1"/>
  <c r="F25" i="1"/>
  <c r="I24" i="1"/>
  <c r="F24" i="1"/>
  <c r="F23" i="1"/>
  <c r="F22" i="1"/>
  <c r="F21" i="1"/>
  <c r="F20" i="1"/>
  <c r="F19" i="1"/>
  <c r="F18" i="1"/>
  <c r="AG17" i="1"/>
  <c r="AH17" i="1" s="1"/>
  <c r="F4" i="1"/>
  <c r="F16" i="1"/>
  <c r="F15" i="1"/>
  <c r="F14" i="1"/>
  <c r="F13" i="1"/>
  <c r="F12" i="1"/>
  <c r="F11" i="1"/>
  <c r="F10" i="1"/>
  <c r="F9" i="1"/>
  <c r="F8" i="1"/>
  <c r="F7" i="1"/>
  <c r="F6" i="1"/>
  <c r="F5" i="1"/>
  <c r="F17" i="1"/>
  <c r="AI17" i="1"/>
  <c r="A5" i="3"/>
  <c r="D12" i="3"/>
  <c r="D13" i="3"/>
  <c r="D14" i="3"/>
  <c r="D15" i="3"/>
  <c r="D11" i="3"/>
  <c r="A10" i="3"/>
  <c r="A9" i="3"/>
  <c r="D9" i="3" s="1"/>
  <c r="O3" i="2"/>
  <c r="A3" i="2" s="1"/>
  <c r="Z13" i="1"/>
  <c r="Z14" i="1"/>
  <c r="Z15" i="1"/>
  <c r="Z16" i="1"/>
  <c r="Z12" i="1"/>
  <c r="Z10" i="1"/>
  <c r="Z11" i="1"/>
  <c r="Z9" i="1"/>
  <c r="Z8" i="1"/>
  <c r="Z7" i="1"/>
  <c r="Z6" i="1"/>
  <c r="Z5" i="1"/>
  <c r="Z4" i="1"/>
  <c r="AF16" i="1"/>
  <c r="AH16" i="1" s="1"/>
  <c r="A4" i="1" l="1"/>
  <c r="A69" i="1"/>
  <c r="A91" i="1"/>
  <c r="A89" i="1"/>
  <c r="A90" i="1"/>
  <c r="A88" i="1"/>
  <c r="A68" i="1"/>
  <c r="A59" i="1"/>
  <c r="A55" i="1"/>
  <c r="A65" i="1"/>
  <c r="A70" i="1"/>
  <c r="A67" i="1"/>
  <c r="A66" i="1"/>
  <c r="A57" i="1"/>
  <c r="A60" i="1"/>
  <c r="A61" i="1"/>
  <c r="A39" i="1"/>
  <c r="A58" i="1"/>
  <c r="A27" i="1"/>
  <c r="A26" i="1"/>
  <c r="A9" i="1"/>
  <c r="A7" i="1"/>
  <c r="A20" i="1"/>
  <c r="A14" i="1"/>
  <c r="A54" i="1"/>
  <c r="A19" i="1"/>
  <c r="A11" i="1"/>
  <c r="A22" i="1"/>
  <c r="A25" i="1"/>
  <c r="A33" i="1"/>
  <c r="A15" i="1"/>
  <c r="A34" i="1"/>
  <c r="A5" i="1"/>
  <c r="A13" i="1"/>
  <c r="A32" i="1"/>
  <c r="A17" i="1"/>
  <c r="A31" i="1"/>
  <c r="A6" i="1"/>
  <c r="A18" i="1"/>
  <c r="A30" i="1"/>
  <c r="A8" i="1"/>
  <c r="A23" i="1"/>
  <c r="A56" i="1"/>
  <c r="A29" i="1"/>
  <c r="A28" i="1"/>
  <c r="A10" i="1"/>
  <c r="A21" i="1"/>
  <c r="A24" i="1"/>
  <c r="A12" i="1"/>
  <c r="A16" i="1"/>
  <c r="A53" i="1"/>
  <c r="AH39" i="1"/>
  <c r="AJ39" i="1"/>
  <c r="AJ35" i="1"/>
  <c r="AJ17" i="1"/>
  <c r="AG16" i="1"/>
  <c r="AJ16" i="1" s="1"/>
  <c r="D10" i="3"/>
  <c r="B17" i="3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tc={944CF522-90C2-4C5A-A178-FEFCCB7A48AE}</author>
  </authors>
  <commentList>
    <comment ref="B3" authorId="0" shapeId="0" xr:uid="{944CF522-90C2-4C5A-A178-FEFCCB7A48AE}">
      <text>
        <t>[Threaded comment]
Your version of Excel allows you to read this threaded comment; however, any edits to it will get removed if the file is opened in a newer version of Excel. Learn more: https://go.microsoft.com/fwlink/?linkid=870924
Comment:
    22 also been used for one time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tc={690039B8-959D-4144-8F84-DA05AEE67521}</author>
    <author>tc={BA465E8C-FBFD-4D78-AE36-29B94F74887F}</author>
    <author>tc={52EE6DF4-411E-4398-8BB2-917D516FA692}</author>
    <author>tc={43F4D353-6F14-488A-ABBC-21BD2280271B}</author>
  </authors>
  <commentList>
    <comment ref="AB53" authorId="0" shapeId="0" xr:uid="{690039B8-959D-4144-8F84-DA05AEE67521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@Luke Brusse @Shule Yu @Lincoln Pritt where is the mwp002 and mwp003 cathode information? I need the mwp003 thickness and standard dev
Reply:
    The MWP002 was long time ago. That was my first 600 cm2 GDE. We didn't even know how to measure the loading correctly then. Because that was my first 600, I actually memorized its thickness on purpose. That one has a t avg of 190 um. However, I didn't do STD for that.</t>
      </text>
    </comment>
    <comment ref="AB54" authorId="1" shapeId="0" xr:uid="{BA465E8C-FBFD-4D78-AE36-29B94F74887F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@Luke Brusse @Shule Yu @Lincoln Pritt where is the mwp002 and mwp003 cathode information? I need the mwp003 thickness and standard dev
Reply:
    The MWP002 was long time ago. That was my first 600 cm2 GDE. We didn't even know how to measure the loading correctly then. Because that was my first 600, I actually memorized its thickness on purpose. That one has a t avg of 190 um. However, I didn't do STD for that.</t>
      </text>
    </comment>
    <comment ref="U275" authorId="2" shapeId="0" xr:uid="{52EE6DF4-411E-4398-8BB2-917D516FA692}">
      <text>
        <t>[Threaded comment]
Your version of Excel allows you to read this threaded comment; however, any edits to it will get removed if the file is opened in a newer version of Excel. Learn more: https://go.microsoft.com/fwlink/?linkid=870924
Comment:
    +/-0.022</t>
      </text>
    </comment>
    <comment ref="V275" authorId="3" shapeId="0" xr:uid="{43F4D353-6F14-488A-ABBC-21BD2280271B}">
      <text>
        <t>[Threaded comment]
Your version of Excel allows you to read this threaded comment; however, any edits to it will get removed if the file is opened in a newer version of Excel. Learn more: https://go.microsoft.com/fwlink/?linkid=870924
Comment:
    +/- 0.025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tc={26DA79C1-12D7-4D9D-B301-82151B17A2EA}</author>
  </authors>
  <commentList>
    <comment ref="K151" authorId="0" shapeId="0" xr:uid="{26DA79C1-12D7-4D9D-B301-82151B17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Ni</t>
      </text>
    </comment>
  </commentList>
</comments>
</file>

<file path=xl/sharedStrings.xml><?xml version="1.0" encoding="utf-8"?>
<sst xmlns="http://schemas.openxmlformats.org/spreadsheetml/2006/main" count="4271" uniqueCount="875">
  <si>
    <t>GDL code</t>
  </si>
  <si>
    <t xml:space="preserve"> item</t>
  </si>
  <si>
    <t>Faber code</t>
  </si>
  <si>
    <t>Name</t>
  </si>
  <si>
    <t>Area [cm2]</t>
  </si>
  <si>
    <t>Area Code</t>
  </si>
  <si>
    <t>XGLR055</t>
  </si>
  <si>
    <t>A</t>
  </si>
  <si>
    <t>Shule</t>
  </si>
  <si>
    <t>XGLR045</t>
  </si>
  <si>
    <t>B</t>
  </si>
  <si>
    <t>Maheesha</t>
  </si>
  <si>
    <t>H23C2</t>
  </si>
  <si>
    <t>E</t>
  </si>
  <si>
    <t>Lincoln</t>
  </si>
  <si>
    <t>H23C8</t>
  </si>
  <si>
    <t>F</t>
  </si>
  <si>
    <t>Yue</t>
  </si>
  <si>
    <t>Thickness</t>
  </si>
  <si>
    <t>Loading</t>
  </si>
  <si>
    <t>Area</t>
  </si>
  <si>
    <t>Column1</t>
  </si>
  <si>
    <t>GDE</t>
  </si>
  <si>
    <t>Date</t>
  </si>
  <si>
    <t>Day#</t>
  </si>
  <si>
    <t>Ink</t>
  </si>
  <si>
    <t>GDL</t>
  </si>
  <si>
    <t>Area code</t>
  </si>
  <si>
    <t>T avg</t>
  </si>
  <si>
    <t>T STD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</si>
  <si>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</si>
  <si>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</si>
  <si>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</si>
  <si>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</si>
  <si>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</si>
  <si>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</si>
  <si>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</si>
  <si>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</si>
  <si>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</si>
  <si>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ωPt</t>
  </si>
  <si>
    <t>ωIL</t>
  </si>
  <si>
    <t>ωRu</t>
  </si>
  <si>
    <t>GDL batch</t>
  </si>
  <si>
    <t>Fab by</t>
  </si>
  <si>
    <t>Claimed by</t>
  </si>
  <si>
    <t>To stack</t>
  </si>
  <si>
    <t>Which cell?</t>
  </si>
  <si>
    <t>Date to Stack</t>
  </si>
  <si>
    <t>Note</t>
  </si>
  <si>
    <t>ink consumption</t>
  </si>
  <si>
    <t>Mass in ink</t>
  </si>
  <si>
    <t>PtRu60/VC</t>
  </si>
  <si>
    <t>Mass on GDL</t>
  </si>
  <si>
    <t>η</t>
  </si>
  <si>
    <t>cm2</t>
  </si>
  <si>
    <t>#</t>
  </si>
  <si>
    <t>um</t>
  </si>
  <si>
    <t>mg/cm2</t>
  </si>
  <si>
    <t>mg/cm3</t>
  </si>
  <si>
    <t>g</t>
  </si>
  <si>
    <t>mg</t>
  </si>
  <si>
    <t>GDE 0208-1</t>
  </si>
  <si>
    <t>R11 0208</t>
  </si>
  <si>
    <t>XGL-R 055</t>
  </si>
  <si>
    <t>Brian</t>
  </si>
  <si>
    <t>Conductivity measurement</t>
  </si>
  <si>
    <t>Lincoln DB IL</t>
  </si>
  <si>
    <t>Lisa</t>
  </si>
  <si>
    <t>Stack 7</t>
  </si>
  <si>
    <t>GDE 0213-1</t>
  </si>
  <si>
    <t>R11 0213</t>
  </si>
  <si>
    <t>Didn't measure loading, since directly IL DBed. Wet gap of CL is 160 um.</t>
  </si>
  <si>
    <t>Lin</t>
  </si>
  <si>
    <t>5 cm2 test</t>
  </si>
  <si>
    <t>GDE 0216-1</t>
  </si>
  <si>
    <t>R11 0216</t>
  </si>
  <si>
    <t>Shule DB IL, and not sticky, first to try spray EtOH</t>
  </si>
  <si>
    <t>GDE 0217-1</t>
  </si>
  <si>
    <t>R11 0217</t>
  </si>
  <si>
    <t>B1-5.3-4</t>
  </si>
  <si>
    <t>Stack 8</t>
  </si>
  <si>
    <t>GDE 0221-1</t>
  </si>
  <si>
    <t>B1-5.2</t>
  </si>
  <si>
    <t>Stack 9</t>
  </si>
  <si>
    <t>GDE 0222-1</t>
  </si>
  <si>
    <t>R11 0222</t>
  </si>
  <si>
    <t>B1-6.3</t>
  </si>
  <si>
    <t>GDE 0224-1</t>
  </si>
  <si>
    <t>B1-6.6</t>
  </si>
  <si>
    <t>null</t>
  </si>
  <si>
    <t>B1-6.4</t>
  </si>
  <si>
    <t>GDE 0228-1</t>
  </si>
  <si>
    <t>R11 0224</t>
  </si>
  <si>
    <t>B1-6.2</t>
  </si>
  <si>
    <t>GDE 0313-1</t>
  </si>
  <si>
    <t>R11 0307</t>
  </si>
  <si>
    <t>B1-7</t>
  </si>
  <si>
    <t>MWP002</t>
  </si>
  <si>
    <t>60 um gap mark (est. 83 um gap)</t>
  </si>
  <si>
    <t>GDE 0327-1</t>
  </si>
  <si>
    <t>R11 0314</t>
  </si>
  <si>
    <t>B1-8</t>
  </si>
  <si>
    <t>Stack 10</t>
  </si>
  <si>
    <t>Luke</t>
  </si>
  <si>
    <t>Stack 14</t>
  </si>
  <si>
    <t>Cell 2</t>
  </si>
  <si>
    <t>Cell 3</t>
  </si>
  <si>
    <t>GDE 0331-1</t>
  </si>
  <si>
    <t>B1-10</t>
  </si>
  <si>
    <t>Stack 11</t>
  </si>
  <si>
    <t>Stack 13</t>
  </si>
  <si>
    <t>Cell 1</t>
  </si>
  <si>
    <t>GDE 0405-1</t>
  </si>
  <si>
    <t>R11 0331</t>
  </si>
  <si>
    <t>B2-Roll</t>
  </si>
  <si>
    <t>Stack 15</t>
  </si>
  <si>
    <t>Lan</t>
  </si>
  <si>
    <t>Cut into 5 cm2 and Lan brought to UD</t>
  </si>
  <si>
    <t>GDE 0407-1</t>
  </si>
  <si>
    <t xml:space="preserve"> </t>
  </si>
  <si>
    <t>MWP001</t>
  </si>
  <si>
    <t>Lan, side matr'l, UD</t>
  </si>
  <si>
    <t>GDE 0510-1</t>
  </si>
  <si>
    <t>R11 0505.2</t>
  </si>
  <si>
    <t>Stack 16</t>
  </si>
  <si>
    <t>Stack 17</t>
  </si>
  <si>
    <t>Stack 18</t>
  </si>
  <si>
    <t>GDE0519-1</t>
  </si>
  <si>
    <t>MWP006</t>
  </si>
  <si>
    <t>GDE 0525-1</t>
  </si>
  <si>
    <t>R21 0519</t>
  </si>
  <si>
    <t>GDE 0530-1</t>
  </si>
  <si>
    <t>R11 0526.1</t>
  </si>
  <si>
    <t>WW</t>
  </si>
  <si>
    <t>Stack 26</t>
  </si>
  <si>
    <t>GDE 0530-2</t>
  </si>
  <si>
    <t>R11 0526.2</t>
  </si>
  <si>
    <t>GDE 0609-1</t>
  </si>
  <si>
    <t>R11 0607</t>
  </si>
  <si>
    <t xml:space="preserve">Lincoln </t>
  </si>
  <si>
    <t>Accidentally Cut too Small</t>
  </si>
  <si>
    <t>Stack 19</t>
  </si>
  <si>
    <t>GDE 0620-1</t>
  </si>
  <si>
    <t>L27-R1 0614</t>
  </si>
  <si>
    <t>Luis</t>
  </si>
  <si>
    <t>Stack27</t>
  </si>
  <si>
    <t>GDO 0626</t>
  </si>
  <si>
    <t>R11 0621</t>
  </si>
  <si>
    <t>GDE 0627-1</t>
  </si>
  <si>
    <t>R11 0621+0208+0224+0519</t>
  </si>
  <si>
    <t>GDE 0627-2</t>
  </si>
  <si>
    <t>GDE 0628-1</t>
  </si>
  <si>
    <t>R11 0621 Comb</t>
  </si>
  <si>
    <t>GDE 06289</t>
  </si>
  <si>
    <t>R11 comb</t>
  </si>
  <si>
    <t>GDE 0713</t>
  </si>
  <si>
    <t>R11 0710</t>
  </si>
  <si>
    <t>GDE 0717-1</t>
  </si>
  <si>
    <t>R11 0715</t>
  </si>
  <si>
    <t>GDE 0717-2.1</t>
  </si>
  <si>
    <t>Stack 20</t>
  </si>
  <si>
    <t>GDE 0717-2.2</t>
  </si>
  <si>
    <t>GDE 0717-2.3</t>
  </si>
  <si>
    <t>GDE 0717-2.4</t>
  </si>
  <si>
    <t>Stack 21</t>
  </si>
  <si>
    <t>GDE 0717-2.5</t>
  </si>
  <si>
    <t>GDE 0717-2.6</t>
  </si>
  <si>
    <t>GDE0717-3</t>
  </si>
  <si>
    <t>GDE0717-4</t>
  </si>
  <si>
    <t>GDE0719</t>
  </si>
  <si>
    <t>Stack 25</t>
  </si>
  <si>
    <t>GDE0725-1</t>
  </si>
  <si>
    <t>R11 0720</t>
  </si>
  <si>
    <t>stack 26</t>
  </si>
  <si>
    <t>cell 1</t>
  </si>
  <si>
    <t>stack 24</t>
  </si>
  <si>
    <t>cell 3</t>
  </si>
  <si>
    <t>cell 2</t>
  </si>
  <si>
    <t>GDE0725-2</t>
  </si>
  <si>
    <t>stack 23</t>
  </si>
  <si>
    <t>Stack 23</t>
  </si>
  <si>
    <t>GDE0731-1</t>
  </si>
  <si>
    <t>R110720</t>
  </si>
  <si>
    <t>30 r1</t>
  </si>
  <si>
    <t>GDE0814-1</t>
  </si>
  <si>
    <t>R110814</t>
  </si>
  <si>
    <t>GDE0814-3</t>
  </si>
  <si>
    <t>Cell 4</t>
  </si>
  <si>
    <t>Bill Mustain 5 x 25 cm2 samples</t>
  </si>
  <si>
    <t>GDE0814-2</t>
  </si>
  <si>
    <t>GDE0814-4</t>
  </si>
  <si>
    <t>SD-GDE0831.1</t>
  </si>
  <si>
    <t>R35 0818</t>
  </si>
  <si>
    <t>2307-Roll</t>
  </si>
  <si>
    <t>Cell 5</t>
  </si>
  <si>
    <t>SD-GDE0901.1</t>
  </si>
  <si>
    <t>R35 0901</t>
  </si>
  <si>
    <t>GDE0905.1</t>
  </si>
  <si>
    <t>R11 0811</t>
  </si>
  <si>
    <t>30 R1</t>
  </si>
  <si>
    <t>Side material for 5 cm2 samples.</t>
  </si>
  <si>
    <t>GDE0908.3</t>
  </si>
  <si>
    <t>R11 0905</t>
  </si>
  <si>
    <t>GDE 0908.2</t>
  </si>
  <si>
    <t>GDE 0908.1</t>
  </si>
  <si>
    <t>GDE 0911.3</t>
  </si>
  <si>
    <t>GDE 0911.4</t>
  </si>
  <si>
    <t>Side matrl into 5 cm2 claimed by Fausto. 230928</t>
  </si>
  <si>
    <t>GDE 0911.1</t>
  </si>
  <si>
    <t>GDE 0912.2</t>
  </si>
  <si>
    <t>GDE 0912.3</t>
  </si>
  <si>
    <t>R11 0906</t>
  </si>
  <si>
    <t>2307-Roll2</t>
  </si>
  <si>
    <t>GDE 0912.4</t>
  </si>
  <si>
    <t>GDE 0912.5</t>
  </si>
  <si>
    <t>SD-GDE 1025.2</t>
  </si>
  <si>
    <t>R35 1103</t>
  </si>
  <si>
    <t>Shule &amp; Lincoln</t>
  </si>
  <si>
    <t>SD-GDE 1025.1</t>
  </si>
  <si>
    <t>R11 0918</t>
  </si>
  <si>
    <t>SD-GDE 1103.1</t>
  </si>
  <si>
    <t>MWP007</t>
  </si>
  <si>
    <t>SD-GDE 1103.2</t>
  </si>
  <si>
    <t>SD-GDE 1103.3</t>
  </si>
  <si>
    <t>SD-GDE 1103.4</t>
  </si>
  <si>
    <t>SD-GDE 1103.5</t>
  </si>
  <si>
    <t>SD-GDE 1120.1</t>
  </si>
  <si>
    <t>R35 1120</t>
  </si>
  <si>
    <t>SD-GDE 1120.2</t>
  </si>
  <si>
    <t>SD-GDE 1120.4</t>
  </si>
  <si>
    <t>SD-GDE 1120.5</t>
  </si>
  <si>
    <t>SD-GDE 1120.6</t>
  </si>
  <si>
    <t>SD-GDE 1120.7</t>
  </si>
  <si>
    <t>SD-GDE 1120.8</t>
  </si>
  <si>
    <t>SD-GDE 1120.3</t>
  </si>
  <si>
    <t>SD-GDE 1127.1 V1</t>
  </si>
  <si>
    <t>R35 1127.1</t>
  </si>
  <si>
    <t>SD-GDE 1127.1 V2</t>
  </si>
  <si>
    <t>SD-GDE 1127.2 V2</t>
  </si>
  <si>
    <t>SD-GDE 1218.1</t>
  </si>
  <si>
    <t>R38 1215.1</t>
  </si>
  <si>
    <t>no</t>
  </si>
  <si>
    <t>SD-GDE 1218.2</t>
  </si>
  <si>
    <t>SD-GDE 0122.1</t>
  </si>
  <si>
    <t>R35 mix</t>
  </si>
  <si>
    <t>2307-Roll3</t>
  </si>
  <si>
    <t>SD-GDE 0122.2</t>
  </si>
  <si>
    <t>SD-GDE 0126.6</t>
  </si>
  <si>
    <t>SD-GDE 0126.5</t>
  </si>
  <si>
    <t>Not measured</t>
  </si>
  <si>
    <t>SD-GDE 0215.1</t>
  </si>
  <si>
    <t>RPEG3 0215.2</t>
  </si>
  <si>
    <t>SD-GDE 0219.1</t>
  </si>
  <si>
    <t>RPEG3 mix</t>
  </si>
  <si>
    <t>SD-GDE 0219.2</t>
  </si>
  <si>
    <t>RPEG3 0219</t>
  </si>
  <si>
    <t>RPEG3</t>
  </si>
  <si>
    <t>2307-Roll4</t>
  </si>
  <si>
    <t xml:space="preserve">XRF TAKEN ON PET FILM. ~0.015 extr platinum loading added </t>
  </si>
  <si>
    <t>SD-GDE 0223.1</t>
  </si>
  <si>
    <t>R 35 0212.1</t>
  </si>
  <si>
    <t>SD-GDE 0223.4</t>
  </si>
  <si>
    <t>SD-GDE 0223.5</t>
  </si>
  <si>
    <t>SD-GDE 0223.6</t>
  </si>
  <si>
    <t>SD-GDE 0223.7</t>
  </si>
  <si>
    <t>SD-GDE 0304.2</t>
  </si>
  <si>
    <t>R 11 0303</t>
  </si>
  <si>
    <t>SD-GDE 0304.3</t>
  </si>
  <si>
    <t>SD-GDE 0304.4</t>
  </si>
  <si>
    <t>SD-GDE 0304.5</t>
  </si>
  <si>
    <t>SD-GDE 0304.7</t>
  </si>
  <si>
    <t>SD-GDE 0304.8</t>
  </si>
  <si>
    <t>SD-GDE 0304.9</t>
  </si>
  <si>
    <t>SD-GDE 0304.10</t>
  </si>
  <si>
    <t>SD-GDE 0304.11</t>
  </si>
  <si>
    <t>SD-GDE 0304.12</t>
  </si>
  <si>
    <t>SD-GDE 0304.13</t>
  </si>
  <si>
    <t>SD-GDE 0304.14</t>
  </si>
  <si>
    <t>SD-GDE 0304.15</t>
  </si>
  <si>
    <t>SD-GDE 0304.16</t>
  </si>
  <si>
    <t>SD-GDE 0304.17</t>
  </si>
  <si>
    <t>SD-GDE 0304.18</t>
  </si>
  <si>
    <t>SD-GDE 0304.19</t>
  </si>
  <si>
    <t>SD-GDE 0304.20</t>
  </si>
  <si>
    <t>SD-GDE 0304.21</t>
  </si>
  <si>
    <t>SD-GDE 0304.22</t>
  </si>
  <si>
    <t>SD-GDE 0304.23</t>
  </si>
  <si>
    <t>SD-GDE 0304.24</t>
  </si>
  <si>
    <t>SD-GDE 0304.25</t>
  </si>
  <si>
    <t>SD-GDE 0304.26</t>
  </si>
  <si>
    <t>SD-GDE 0304.2-26</t>
  </si>
  <si>
    <t>SD-GDE 0311.1</t>
  </si>
  <si>
    <t>R51 0307.1</t>
  </si>
  <si>
    <t>Lincoln and Yue</t>
  </si>
  <si>
    <t>TKK/KB no AB</t>
  </si>
  <si>
    <t>SD-GDE 0401.1</t>
  </si>
  <si>
    <t>R11 0302+0329</t>
  </si>
  <si>
    <t>0401- Roll1</t>
  </si>
  <si>
    <t>SD-GDE 0401.2</t>
  </si>
  <si>
    <t>XGL-R 056</t>
  </si>
  <si>
    <t>0401- Roll2</t>
  </si>
  <si>
    <t>SD-GDE 0401.3</t>
  </si>
  <si>
    <t>R11 0302+0330</t>
  </si>
  <si>
    <t>XGL-R 057</t>
  </si>
  <si>
    <t>0401- Roll3</t>
  </si>
  <si>
    <t>SD-GDE 0401.4</t>
  </si>
  <si>
    <t>R11 0302+0331</t>
  </si>
  <si>
    <t>XGL-R 058</t>
  </si>
  <si>
    <t>0401- Roll4</t>
  </si>
  <si>
    <t>SD-GDE 0401.5</t>
  </si>
  <si>
    <t>R11 0302+0332</t>
  </si>
  <si>
    <t>XGL-R 059</t>
  </si>
  <si>
    <t>0401- Roll5</t>
  </si>
  <si>
    <t>SD-GDE 0401.6</t>
  </si>
  <si>
    <t>R11 0302+0333</t>
  </si>
  <si>
    <t>XGL-R 060</t>
  </si>
  <si>
    <t>0401- Roll6</t>
  </si>
  <si>
    <t>SD-GDE 0401.7</t>
  </si>
  <si>
    <t>R11 0302+0334</t>
  </si>
  <si>
    <t>XGL-R 061</t>
  </si>
  <si>
    <t>0401- Roll7</t>
  </si>
  <si>
    <t>SD-GDE 0401.8</t>
  </si>
  <si>
    <t>R11 0302+0335</t>
  </si>
  <si>
    <t>XGL-R 062</t>
  </si>
  <si>
    <t>0401- Roll8</t>
  </si>
  <si>
    <t>SD-GDE 0401.9</t>
  </si>
  <si>
    <t>R11 0302+0336</t>
  </si>
  <si>
    <t>XGL-R 063</t>
  </si>
  <si>
    <t>0401- Roll9</t>
  </si>
  <si>
    <t>SD-GDE 0401.10</t>
  </si>
  <si>
    <t>R11 0302+0337</t>
  </si>
  <si>
    <t>XGL-R 064</t>
  </si>
  <si>
    <t>0401- Roll10</t>
  </si>
  <si>
    <t>SD-GDE 0401.11</t>
  </si>
  <si>
    <t>R11 0302+0338</t>
  </si>
  <si>
    <t>XGL-R 065</t>
  </si>
  <si>
    <t>0401- Roll11</t>
  </si>
  <si>
    <t>SD-GDE 0401.12</t>
  </si>
  <si>
    <t>R11 0302+0339</t>
  </si>
  <si>
    <t>XGL-R 066</t>
  </si>
  <si>
    <t>0401- Roll12</t>
  </si>
  <si>
    <t>SD-GDE 0401.13</t>
  </si>
  <si>
    <t>R11 0302+0340</t>
  </si>
  <si>
    <t>XGL-R 067</t>
  </si>
  <si>
    <t>0401- Roll13</t>
  </si>
  <si>
    <t>SD-GDE 0401.14</t>
  </si>
  <si>
    <t>R11 0302+0341</t>
  </si>
  <si>
    <t>XGL-R 068</t>
  </si>
  <si>
    <t>0401- Roll14</t>
  </si>
  <si>
    <t>SD-GDE 0401.15</t>
  </si>
  <si>
    <t>R11 0302+0342</t>
  </si>
  <si>
    <t>XGL-R 069</t>
  </si>
  <si>
    <t>0401- Roll15</t>
  </si>
  <si>
    <t>SD-GDE 0401.16</t>
  </si>
  <si>
    <t>R11 0302+0343</t>
  </si>
  <si>
    <t>XGL-R 070</t>
  </si>
  <si>
    <t>0401- Roll16</t>
  </si>
  <si>
    <t>SD-GDE 0401.17</t>
  </si>
  <si>
    <t>R11 0302+0344</t>
  </si>
  <si>
    <t>XGL-R 071</t>
  </si>
  <si>
    <t>0401- Roll17</t>
  </si>
  <si>
    <t>SD-GDE 0401.18</t>
  </si>
  <si>
    <t>R11 0302+0345</t>
  </si>
  <si>
    <t>XGL-R 072</t>
  </si>
  <si>
    <t>0401- Roll18</t>
  </si>
  <si>
    <t>SD-GDE 0401.19</t>
  </si>
  <si>
    <t>R11 0302+0346</t>
  </si>
  <si>
    <t>XGL-R 073</t>
  </si>
  <si>
    <t>0401- Roll19</t>
  </si>
  <si>
    <t>SD-GDE 0401.20</t>
  </si>
  <si>
    <t>R11 0302+0347</t>
  </si>
  <si>
    <t>XGL-R 074</t>
  </si>
  <si>
    <t>0401- Roll20</t>
  </si>
  <si>
    <t>SD-GDE 0401.21</t>
  </si>
  <si>
    <t>R11 0302+0348</t>
  </si>
  <si>
    <t>XGL-R 075</t>
  </si>
  <si>
    <t>0401- Roll21</t>
  </si>
  <si>
    <t>SD-GDE 0401.22</t>
  </si>
  <si>
    <t>R11 0302+0349</t>
  </si>
  <si>
    <t>XGL-R 076</t>
  </si>
  <si>
    <t>0401- Roll22</t>
  </si>
  <si>
    <t>SD-GDE 0401.23</t>
  </si>
  <si>
    <t>R11 0302+0350</t>
  </si>
  <si>
    <t>XGL-R 077</t>
  </si>
  <si>
    <t>0401- Roll23</t>
  </si>
  <si>
    <t>SD-GDE 0401.24</t>
  </si>
  <si>
    <t>R11 0302+0351</t>
  </si>
  <si>
    <t>XGL-R 078</t>
  </si>
  <si>
    <t>0401- Roll24</t>
  </si>
  <si>
    <t>SD-GDE 0401.25</t>
  </si>
  <si>
    <t>R11 0302+0352</t>
  </si>
  <si>
    <t>XGL-R 079</t>
  </si>
  <si>
    <t>0401- Roll25</t>
  </si>
  <si>
    <t>SD-GDE 0401.26</t>
  </si>
  <si>
    <t>R11 0302+0353</t>
  </si>
  <si>
    <t>XGL-R 080</t>
  </si>
  <si>
    <t>0401- Roll26</t>
  </si>
  <si>
    <t>SD-GDE 0401.27</t>
  </si>
  <si>
    <t>R11 0302+0354</t>
  </si>
  <si>
    <t>XGL-R 081</t>
  </si>
  <si>
    <t>0401- Roll27</t>
  </si>
  <si>
    <t>SD-GDE 0401.28</t>
  </si>
  <si>
    <t>R11 0302+0355</t>
  </si>
  <si>
    <t>XGL-R 082</t>
  </si>
  <si>
    <t>0401- Roll28</t>
  </si>
  <si>
    <t>SD-GDE 0401.29</t>
  </si>
  <si>
    <t>R11 0302+0356</t>
  </si>
  <si>
    <t>XGL-R 083</t>
  </si>
  <si>
    <t>0401- Roll29</t>
  </si>
  <si>
    <t>SD-GDE 0401.30</t>
  </si>
  <si>
    <t>R11 0302+0357</t>
  </si>
  <si>
    <t>XGL-R 084</t>
  </si>
  <si>
    <t>0401- Roll30</t>
  </si>
  <si>
    <t>SD-GDE 0401.31</t>
  </si>
  <si>
    <t>R11 0302+0358</t>
  </si>
  <si>
    <t>XGL-R 085</t>
  </si>
  <si>
    <t>0401- Roll31</t>
  </si>
  <si>
    <t>SD-GDE 0401.32</t>
  </si>
  <si>
    <t>R11 0302+0359</t>
  </si>
  <si>
    <t>XGL-R 086</t>
  </si>
  <si>
    <t>0401- Roll32</t>
  </si>
  <si>
    <t>SD-GDE 0401.33</t>
  </si>
  <si>
    <t>R11 0302+0360</t>
  </si>
  <si>
    <t>XGL-R 087</t>
  </si>
  <si>
    <t>0401- Roll33</t>
  </si>
  <si>
    <t>SD-GDE 0401.34</t>
  </si>
  <si>
    <t>R11 0302+0361</t>
  </si>
  <si>
    <t>XGL-R 088</t>
  </si>
  <si>
    <t>0401- Roll34</t>
  </si>
  <si>
    <t>SD-GDE 0401.35</t>
  </si>
  <si>
    <t>R11 0302+0362</t>
  </si>
  <si>
    <t>XGL-R 089</t>
  </si>
  <si>
    <t>0401- Roll35</t>
  </si>
  <si>
    <t>SD-GDE 0401.36</t>
  </si>
  <si>
    <t>R11 0302+0363</t>
  </si>
  <si>
    <t>XGL-R 090</t>
  </si>
  <si>
    <t>0401- Roll36</t>
  </si>
  <si>
    <t>SD-GDE 0401.37</t>
  </si>
  <si>
    <t>R11 0302+0364</t>
  </si>
  <si>
    <t>XGL-R 091</t>
  </si>
  <si>
    <t>0401- Roll37</t>
  </si>
  <si>
    <t>SD-GDE 0401</t>
  </si>
  <si>
    <t>SD-GDE 0304</t>
  </si>
  <si>
    <t>SD-GDE 0415.1</t>
  </si>
  <si>
    <t>R53 0412.1</t>
  </si>
  <si>
    <t>SD-GDE 0415.2</t>
  </si>
  <si>
    <t>SD-GDE 0415.3</t>
  </si>
  <si>
    <t>SD-GDE 0415.4</t>
  </si>
  <si>
    <t>SD-GDE 0415.5</t>
  </si>
  <si>
    <t>SD-GDE 0415.6</t>
  </si>
  <si>
    <t>SD-GDE 0415.7</t>
  </si>
  <si>
    <t>SD-GDE 0415.8</t>
  </si>
  <si>
    <t>SD-GDE 0415.9</t>
  </si>
  <si>
    <t>SD-GDE 0415.10</t>
  </si>
  <si>
    <t>SD-GDE 0415.11</t>
  </si>
  <si>
    <t>SD-GDE 0415.16</t>
  </si>
  <si>
    <t>SD-GDE 0328.1</t>
  </si>
  <si>
    <t>JM12100</t>
  </si>
  <si>
    <t>SD-GDE 0328.2</t>
  </si>
  <si>
    <t>SD-GDE 0328.3</t>
  </si>
  <si>
    <t>SD-GDE 0328.4</t>
  </si>
  <si>
    <t>SD-GDE 0328.5</t>
  </si>
  <si>
    <t>SD-GDE 0401.29.1</t>
  </si>
  <si>
    <t>SD-GDE 0401.29.2</t>
  </si>
  <si>
    <t>SD-GDE 0401.29.3</t>
  </si>
  <si>
    <t>SD-GDE 0401.29.4</t>
  </si>
  <si>
    <t>SD-GDE 0401.29.5</t>
  </si>
  <si>
    <t>SD-GDE 0401.29.6</t>
  </si>
  <si>
    <t>SD-GDE 0401.30.1</t>
  </si>
  <si>
    <t>SD-GDE 0401.30.2</t>
  </si>
  <si>
    <t>SD-GDE 0401.31.1</t>
  </si>
  <si>
    <t>SD-GDE 0401.31.2</t>
  </si>
  <si>
    <t>SD-GDE 0401.31.3</t>
  </si>
  <si>
    <t>SD-GDE 0401.31.4</t>
  </si>
  <si>
    <t>SD-GDE 0401.31.5</t>
  </si>
  <si>
    <t>SD-GDE 0401.31.6</t>
  </si>
  <si>
    <t>SD-GDE 0415.8.1</t>
  </si>
  <si>
    <t>SD-GDE 0415.8.2</t>
  </si>
  <si>
    <t>SD-GDE 0415.11.1</t>
  </si>
  <si>
    <t>SD-GDE 0415.11.2</t>
  </si>
  <si>
    <t>SD-GDE 0401.23.1</t>
  </si>
  <si>
    <t>SD-GDE 0401.23.2</t>
  </si>
  <si>
    <t>SD-GDE 0401.28.1</t>
  </si>
  <si>
    <t>SD-GDE 0401.28.2</t>
  </si>
  <si>
    <t>SD-GDE 0401.28.3</t>
  </si>
  <si>
    <t>SD-GDE 0401.28.4</t>
  </si>
  <si>
    <t>SD-GDE 0415.8.3</t>
  </si>
  <si>
    <t>SD-GDE 0415.8.4</t>
  </si>
  <si>
    <t>SD-GDE 0415.8.5</t>
  </si>
  <si>
    <t>SD-GDE 0415.8.6</t>
  </si>
  <si>
    <t>SD-GDE 0415.9.1</t>
  </si>
  <si>
    <t>SD-GDE 0415.9.2</t>
  </si>
  <si>
    <t>SD-GDE 0415.9.3</t>
  </si>
  <si>
    <t>SD-GDE 0415.9.4</t>
  </si>
  <si>
    <t>SD-GDE 0415.9.5</t>
  </si>
  <si>
    <t>SD-GDE 0415.9.6</t>
  </si>
  <si>
    <t>SD-GDE 0415.11.3</t>
  </si>
  <si>
    <t>SD-GDE 0415.11.4</t>
  </si>
  <si>
    <t>SD-GDE 0415.11.5</t>
  </si>
  <si>
    <t>SD-GDE 0415.11.6</t>
  </si>
  <si>
    <t>SD-GDE 0415.10.1</t>
  </si>
  <si>
    <t>SD-GDE 0415.10.2</t>
  </si>
  <si>
    <t>SD-GDE 0415.10.3</t>
  </si>
  <si>
    <t>SD-GDE 0415.10.4</t>
  </si>
  <si>
    <t>SD-GDE 0401.1.1</t>
  </si>
  <si>
    <t>SD-GDE 0401.1.2</t>
  </si>
  <si>
    <t>SD-GDE 0401.2.1</t>
  </si>
  <si>
    <t>SD-GDE 0401.2.2</t>
  </si>
  <si>
    <t>SD-GDE 0401.2.3</t>
  </si>
  <si>
    <t>SD-GDE 0401.2.4</t>
  </si>
  <si>
    <t>SD-GDE 0401.3.1</t>
  </si>
  <si>
    <t>SD-GDE 0401.3.2</t>
  </si>
  <si>
    <t>SD-GDE 0401.3.3</t>
  </si>
  <si>
    <t>SD-GDE 0401.3.4</t>
  </si>
  <si>
    <t>SD-GDE 0506.1</t>
  </si>
  <si>
    <t>R51 0502</t>
  </si>
  <si>
    <t>SD-GDE 0506.2</t>
  </si>
  <si>
    <t>SS006</t>
  </si>
  <si>
    <t>SD-GDE 0506.3</t>
  </si>
  <si>
    <t>SD-GDE 0506.4</t>
  </si>
  <si>
    <t>SD-GDE 0506.5</t>
  </si>
  <si>
    <t>SD-GDE 0506.6</t>
  </si>
  <si>
    <t>SD-GDE 0506.7</t>
  </si>
  <si>
    <t>SD-GDE 0506.8</t>
  </si>
  <si>
    <t>SD-GDE 0506.9</t>
  </si>
  <si>
    <t>SD-GDE 0506.10</t>
  </si>
  <si>
    <t>SD-GDE 0506.1.1</t>
  </si>
  <si>
    <t>SD-GDE 0506.1.2</t>
  </si>
  <si>
    <t>SD-GDE 0506.1.3</t>
  </si>
  <si>
    <t>SD-GDE 0509.1</t>
  </si>
  <si>
    <t>R53 0507</t>
  </si>
  <si>
    <t>SD-GDE 0509.2</t>
  </si>
  <si>
    <t>SD-GDE 0509.3</t>
  </si>
  <si>
    <t>SD-GDE 0509.4</t>
  </si>
  <si>
    <t>SD-GDE 0509.5</t>
  </si>
  <si>
    <t>SD-GDE 0509.6</t>
  </si>
  <si>
    <t>SD-GDE 0509.7</t>
  </si>
  <si>
    <t>SD-GDE 0509.8</t>
  </si>
  <si>
    <t>SD-GDE 0509.9</t>
  </si>
  <si>
    <t>SD-GDE 0509.10</t>
  </si>
  <si>
    <t>SD-GDE 0509.11</t>
  </si>
  <si>
    <t>SD-GDE 0513.1</t>
  </si>
  <si>
    <t>R53 0509</t>
  </si>
  <si>
    <t>~0.82</t>
  </si>
  <si>
    <t>SD-GDE 0513.2</t>
  </si>
  <si>
    <t>SD-GDE 0513.3</t>
  </si>
  <si>
    <t>SD-GDE 0513.4</t>
  </si>
  <si>
    <t>SD-GDE 0513.5</t>
  </si>
  <si>
    <t>SD-GDE 0513.6</t>
  </si>
  <si>
    <t>SD-GDE 0513.7</t>
  </si>
  <si>
    <t>SD-GDE 0513.8</t>
  </si>
  <si>
    <t>SD-GDE 0513.9</t>
  </si>
  <si>
    <t>SD-GDE 0513.10</t>
  </si>
  <si>
    <t>SD-GDE 0513.11</t>
  </si>
  <si>
    <t>SD-GDE 0513.12</t>
  </si>
  <si>
    <t>SD-GDE 0513.13</t>
  </si>
  <si>
    <t>SD-GDE 0513.14</t>
  </si>
  <si>
    <t>SD-GDE 0514.1</t>
  </si>
  <si>
    <t>R51 TKK 0507</t>
  </si>
  <si>
    <t>SD-GDE 0514.2</t>
  </si>
  <si>
    <t>SD-GDE 0514.3</t>
  </si>
  <si>
    <t>SD-GDE 0514.4</t>
  </si>
  <si>
    <t>SD-GDE 0514.5</t>
  </si>
  <si>
    <t>SD-GDE 0514.6</t>
  </si>
  <si>
    <t>SD-GDE 0514.7</t>
  </si>
  <si>
    <t>SD-GDE 0514.8</t>
  </si>
  <si>
    <t>SD-GDE 0514.9</t>
  </si>
  <si>
    <t>SD-GDE 0514.10</t>
  </si>
  <si>
    <t>SD-GDE 0506.9.1</t>
  </si>
  <si>
    <t>SD-GDE 0506.9.2</t>
  </si>
  <si>
    <t>Luke Brusse</t>
  </si>
  <si>
    <t>SS008</t>
  </si>
  <si>
    <t>SD-GDE 0506.9.3</t>
  </si>
  <si>
    <t>SD-GDE 0506.10.1</t>
  </si>
  <si>
    <t>SD-GDE 0506.10.2</t>
  </si>
  <si>
    <t>SD-GDE 0506.2.1</t>
  </si>
  <si>
    <t>SD-GDE 0506.2.2</t>
  </si>
  <si>
    <t>SD-GDE 0506.3.1</t>
  </si>
  <si>
    <t>SD-GDE 0506.3.2</t>
  </si>
  <si>
    <t>SD-GDE 0506.4.1</t>
  </si>
  <si>
    <t>SD-GDE 0506.4.2</t>
  </si>
  <si>
    <t>SD-GDE 0506.6.1</t>
  </si>
  <si>
    <t>SD-GDE 0506.6.2</t>
  </si>
  <si>
    <t>SD-GDE 0516.1</t>
  </si>
  <si>
    <t>R51 0514</t>
  </si>
  <si>
    <t>SS007</t>
  </si>
  <si>
    <t>SD-GDE 0516.2</t>
  </si>
  <si>
    <t>SD-GDE 0516.3</t>
  </si>
  <si>
    <t>SD-GDE 0516.4</t>
  </si>
  <si>
    <t>SD-GDE 0516.5</t>
  </si>
  <si>
    <t>SD-GDE 0516.6</t>
  </si>
  <si>
    <t>SD-GDE 0516.7</t>
  </si>
  <si>
    <t>SD-GDE 0516.8</t>
  </si>
  <si>
    <t>SD-GDE 0516.9</t>
  </si>
  <si>
    <t>SD-GDE 0516.10</t>
  </si>
  <si>
    <t>SD-GDE 0516.1-1</t>
  </si>
  <si>
    <t>SD-GDE 0516.1-2</t>
  </si>
  <si>
    <t>SD-GDE 0516.2-1</t>
  </si>
  <si>
    <t>SD-GDE 0516.2-2</t>
  </si>
  <si>
    <t>SD-GDE 0516.3-1</t>
  </si>
  <si>
    <t>SD-GDE 0516.3-2</t>
  </si>
  <si>
    <t>SD-GDE 0516.4-1</t>
  </si>
  <si>
    <t>SD-GDE 0516.4-2</t>
  </si>
  <si>
    <t>SD-GDE 0516.5-1</t>
  </si>
  <si>
    <t>SD-GDE 0516.5-2</t>
  </si>
  <si>
    <t>SD-GDE 0122.3</t>
  </si>
  <si>
    <t>0.15-0.2</t>
  </si>
  <si>
    <t>OLD SAI Batch Cathodes</t>
  </si>
  <si>
    <t>SD-GDE 0108.2</t>
  </si>
  <si>
    <t>R35 0509</t>
  </si>
  <si>
    <t>New Sai w/ IL</t>
  </si>
  <si>
    <t>SD-GDE 0506.5.1</t>
  </si>
  <si>
    <t>SD-GDE 0506.7.1</t>
  </si>
  <si>
    <t>SD-GDE 0506.7.2</t>
  </si>
  <si>
    <t>SD-GDE 0506.8.1</t>
  </si>
  <si>
    <t>SD-GDE 0506.8.2</t>
  </si>
  <si>
    <t>NO IL</t>
  </si>
  <si>
    <t>SD-GDE 0514.1-2</t>
  </si>
  <si>
    <t>No IL</t>
  </si>
  <si>
    <t>SD-GDE 0514.2-1</t>
  </si>
  <si>
    <t>SD-GDE 0514.3-1</t>
  </si>
  <si>
    <t>SD-GDE 0514.4-1</t>
  </si>
  <si>
    <t>SD-GDE 0514.4-2</t>
  </si>
  <si>
    <t>SD-GDE 0514.5-1</t>
  </si>
  <si>
    <t>SD-GDE 0514.5-2</t>
  </si>
  <si>
    <t>SD-GDE 0514.6-1</t>
  </si>
  <si>
    <t>SD-GDE 0514.6-2</t>
  </si>
  <si>
    <t>SD-GDE 0514.7-1</t>
  </si>
  <si>
    <t>SD-GDE 0514.7-2</t>
  </si>
  <si>
    <t>SD-GDE 0514.8-1</t>
  </si>
  <si>
    <t>SD-GDE 0514.8-2</t>
  </si>
  <si>
    <t>SD-GDE 0710.1</t>
  </si>
  <si>
    <t>R51 0621</t>
  </si>
  <si>
    <t>SD-GDE 0710.2</t>
  </si>
  <si>
    <t>SD-GDE 0710.3</t>
  </si>
  <si>
    <t>SD-GDE 0710.4</t>
  </si>
  <si>
    <t>SD-GDE 0710.5</t>
  </si>
  <si>
    <t>SD-GDE 0710.6</t>
  </si>
  <si>
    <t>SD-GDE 0710.7</t>
  </si>
  <si>
    <t>SD-GDE 0710.8</t>
  </si>
  <si>
    <t>SD-GDE 0710.9</t>
  </si>
  <si>
    <t>SD-GDE 0710.10</t>
  </si>
  <si>
    <t>GDL Code</t>
  </si>
  <si>
    <t>Julian Date</t>
  </si>
  <si>
    <t>IL</t>
  </si>
  <si>
    <t>GDE 0303-1</t>
  </si>
  <si>
    <t>R17</t>
  </si>
  <si>
    <t>R11 0505</t>
  </si>
  <si>
    <t>GDE 0512</t>
  </si>
  <si>
    <t>R20 0510</t>
  </si>
  <si>
    <t>GDE 0616-1</t>
  </si>
  <si>
    <t>L27-R1</t>
  </si>
  <si>
    <t>Shule&amp;Lincoln</t>
  </si>
  <si>
    <t>GDE 0616-2</t>
  </si>
  <si>
    <t>GDE 0619-1</t>
  </si>
  <si>
    <t>R22</t>
  </si>
  <si>
    <t>GDE 0626</t>
  </si>
  <si>
    <t>GDE 0626-1</t>
  </si>
  <si>
    <t>GDE 0703</t>
  </si>
  <si>
    <t>R25 0703</t>
  </si>
  <si>
    <t>SD-GDE0721</t>
  </si>
  <si>
    <t>XGL-R 045 0803</t>
  </si>
  <si>
    <t>R32 0802</t>
  </si>
  <si>
    <t xml:space="preserve">GDE 0804-1 </t>
  </si>
  <si>
    <t>R25 0630</t>
  </si>
  <si>
    <t>GDE 0807-4</t>
  </si>
  <si>
    <t>SD GDE 0815.2</t>
  </si>
  <si>
    <t>R35 0815</t>
  </si>
  <si>
    <t>SD GDE 0815.1</t>
  </si>
  <si>
    <t>Archana</t>
  </si>
  <si>
    <t>SD GDE 0901.1</t>
  </si>
  <si>
    <t>GDE0907.1</t>
  </si>
  <si>
    <t xml:space="preserve">Shule </t>
  </si>
  <si>
    <t>DBGDE0912.1</t>
  </si>
  <si>
    <t>DBGDE0912.2</t>
  </si>
  <si>
    <t>GDE0918.2</t>
  </si>
  <si>
    <t>R32 0914</t>
  </si>
  <si>
    <t>Non-IL</t>
  </si>
  <si>
    <t>GDE0919.1</t>
  </si>
  <si>
    <t>SD GDE 0920.1</t>
  </si>
  <si>
    <t>R35 0920</t>
  </si>
  <si>
    <t>SD GDE 1113.1</t>
  </si>
  <si>
    <t>R35</t>
  </si>
  <si>
    <t>SD GDE 0927.3</t>
  </si>
  <si>
    <t xml:space="preserve">R36 </t>
  </si>
  <si>
    <t>SD GDE 1004.2</t>
  </si>
  <si>
    <t>SD GDE 1016.1</t>
  </si>
  <si>
    <t>R35 1016</t>
  </si>
  <si>
    <t>Lin/Fausto</t>
  </si>
  <si>
    <t>SD GDE 1030.2</t>
  </si>
  <si>
    <t>R35 1030</t>
  </si>
  <si>
    <t>R40 1102.1</t>
  </si>
  <si>
    <t>SD-GDE 1127.2</t>
  </si>
  <si>
    <t>SD GDE 1129.1</t>
  </si>
  <si>
    <t>R40 1129.1</t>
  </si>
  <si>
    <t>SD GDE 1129.2</t>
  </si>
  <si>
    <t>SD GDE 1130.2b</t>
  </si>
  <si>
    <t>R42 1128.1</t>
  </si>
  <si>
    <t>No</t>
  </si>
  <si>
    <t>SD GDE 1130.5</t>
  </si>
  <si>
    <t>R43 1128.1</t>
  </si>
  <si>
    <t>SD-GDE 1130.1f</t>
  </si>
  <si>
    <t>SD GDE 1201.1</t>
  </si>
  <si>
    <t>SD GDE 1204.1</t>
  </si>
  <si>
    <t>R44 1201.1</t>
  </si>
  <si>
    <t>SD GDE 1204.4</t>
  </si>
  <si>
    <t>R45 1201</t>
  </si>
  <si>
    <t>R38 1204</t>
  </si>
  <si>
    <t>SD-GDE1204.2</t>
  </si>
  <si>
    <t>SD GDE 1205.1</t>
  </si>
  <si>
    <t>R41 1120.1+ 1204</t>
  </si>
  <si>
    <t>SD GDE 1205.4</t>
  </si>
  <si>
    <t>0.1-IL</t>
  </si>
  <si>
    <t>SD-GDE 1204.5</t>
  </si>
  <si>
    <t>SD-GDE 1219.1</t>
  </si>
  <si>
    <t>R43 1219.1</t>
  </si>
  <si>
    <t>SD-GDE 0116.3</t>
  </si>
  <si>
    <t>RFreud2</t>
  </si>
  <si>
    <t>SD-GDE 0117.2</t>
  </si>
  <si>
    <t>SD-GDE 0123.2</t>
  </si>
  <si>
    <t>RPEG2</t>
  </si>
  <si>
    <t>SD-GDE 0126.1</t>
  </si>
  <si>
    <t>SD-GDE 0126.2</t>
  </si>
  <si>
    <t>SD-GDE 0126.3</t>
  </si>
  <si>
    <t>SD-GDE 0126.4</t>
  </si>
  <si>
    <t>SD-GDE 0131.1-1</t>
  </si>
  <si>
    <t>SD-GDE 0131.1-2</t>
  </si>
  <si>
    <t>SD-GDE 0131.1-3</t>
  </si>
  <si>
    <t>SD-GDE 0131.2-1</t>
  </si>
  <si>
    <t>SD-GDE 0205.1</t>
  </si>
  <si>
    <t>R50 0202</t>
  </si>
  <si>
    <t>SD-GDE 0205.2</t>
  </si>
  <si>
    <t>RPEG-4</t>
  </si>
  <si>
    <t>SD-GDE 0205.3</t>
  </si>
  <si>
    <t>SD-GDE 0214.1</t>
  </si>
  <si>
    <t>RPDDA-1</t>
  </si>
  <si>
    <t>PDDA/C=0.2</t>
  </si>
  <si>
    <t>SD-GDE 0214.2</t>
  </si>
  <si>
    <t>SD-GDE 0214.2-1</t>
  </si>
  <si>
    <t>SD-GDE 0214.2-2</t>
  </si>
  <si>
    <t>SD-GDE 0221.1</t>
  </si>
  <si>
    <t>2024Feb05 Batch SaiVC</t>
  </si>
  <si>
    <t>R51</t>
  </si>
  <si>
    <t>TKK KB</t>
  </si>
  <si>
    <t>SD-GDE 0311.4-1</t>
  </si>
  <si>
    <t>R51 AB</t>
  </si>
  <si>
    <t>TKK KB AB</t>
  </si>
  <si>
    <t>SD-GDE 0311.4-2</t>
  </si>
  <si>
    <t>SD-GDE 0313.2</t>
  </si>
  <si>
    <t>R52</t>
  </si>
  <si>
    <t>TKK Pt/C KB</t>
  </si>
  <si>
    <t>Durability</t>
  </si>
  <si>
    <t>CCM-GDE 0318.1</t>
  </si>
  <si>
    <t>CCM ink TEC10E50E I/C=0.76</t>
  </si>
  <si>
    <t>TKK Pt/KB</t>
  </si>
  <si>
    <t>XRF</t>
  </si>
  <si>
    <t>NM</t>
  </si>
  <si>
    <t>PEG/C=0.2</t>
  </si>
  <si>
    <t>SD-GDE 0319.1</t>
  </si>
  <si>
    <t>RJM1</t>
  </si>
  <si>
    <t>JM 12100</t>
  </si>
  <si>
    <t>SD-GDE 0319.3</t>
  </si>
  <si>
    <t>RJM2</t>
  </si>
  <si>
    <t>JM 17100</t>
  </si>
  <si>
    <t>PtNi/VC ink1</t>
  </si>
  <si>
    <t>Sai PtNi/VC</t>
  </si>
  <si>
    <t>R11 0215 NewSai</t>
  </si>
  <si>
    <t>NewSai</t>
  </si>
  <si>
    <t>SD-GDE 0320.3</t>
  </si>
  <si>
    <t>PtCo/VC ink1</t>
  </si>
  <si>
    <t>Sai PtCo/Vc</t>
  </si>
  <si>
    <t>TKK TEC66E50, 10% PTFE, 20% PEG to C.</t>
  </si>
  <si>
    <t>NO</t>
  </si>
  <si>
    <t>TKK TEC66E50, 10% PTFE, 20% PEG to C. Standard performance, H2 slow pol</t>
  </si>
  <si>
    <t>SD-GDE 0403.5</t>
  </si>
  <si>
    <t xml:space="preserve">SaiVC, 10% PTFE, 20% PEG to C. </t>
  </si>
  <si>
    <t>SaiVC, 10% PTFE, 20% PEG to C. Standard performance, H2 slow pol</t>
  </si>
  <si>
    <t>SD-GDE 0403.2</t>
  </si>
  <si>
    <t>JM17100, 10% PTFE, 20% PEG to C.</t>
  </si>
  <si>
    <t>JM17100, 10% PTFE, 20% PEG to C.Standard performance, H2 slow pol</t>
  </si>
  <si>
    <t>SD-GDE 0403.3</t>
  </si>
  <si>
    <t>SD-GDE 0401.x</t>
  </si>
  <si>
    <t>R53</t>
  </si>
  <si>
    <t>yes</t>
  </si>
  <si>
    <t>NewSaiBL</t>
  </si>
  <si>
    <t>VSG05C-24122F2.01</t>
  </si>
  <si>
    <t>SD-GDE 0502.1</t>
  </si>
  <si>
    <t>R51 0501</t>
  </si>
  <si>
    <t>BL Anode. TKK TEC66E50 Cathode, 0.1 PEG/TP85-IL. Standard BoL suite. Slow pol. H2 sensor</t>
  </si>
  <si>
    <t>VSG05C-24122F2.02</t>
  </si>
  <si>
    <t>SD-GDE 0502.2</t>
  </si>
  <si>
    <t>SD-GDE 0520.1</t>
  </si>
  <si>
    <t>R56 0520</t>
  </si>
  <si>
    <t>Sharon shear blade</t>
  </si>
  <si>
    <t>R58 0521</t>
  </si>
  <si>
    <t>BL Anode. TKK TEC66V50-LHT Cathode, 0.1 PEG/TP85-IL. Standard BoL suite. Slow pol. H2 sensor</t>
  </si>
  <si>
    <t>SD-GDE 0520.2</t>
  </si>
  <si>
    <t>R57 0521</t>
  </si>
  <si>
    <t>BL Anode. TKK TEC66E50-LHT Cathode, 0.1 PEG/TP85-IL. Standard BoL suite. Slow pol. H2 sensor</t>
  </si>
  <si>
    <t>SD-GDE 0520.3</t>
  </si>
  <si>
    <t>SD-GDE 0522.1</t>
  </si>
  <si>
    <t>TKK TEC66V50-LHT,  BL Anode, Standard suite. H2 sensor 180. Slow pol.</t>
  </si>
  <si>
    <t>SD-GDE 0522.2</t>
  </si>
  <si>
    <t>TKK TEC66E50-LHT repeat High IL,  BL Anode, Standard suite. H2 sensor. Slow pol.</t>
  </si>
  <si>
    <t>SD-GDE 0530.1</t>
  </si>
  <si>
    <t>R59 0521</t>
  </si>
  <si>
    <t>Yur</t>
  </si>
  <si>
    <t xml:space="preserve">F </t>
  </si>
  <si>
    <t>DB-GDE 0606.2</t>
  </si>
  <si>
    <t xml:space="preserve">R58 +R59 coat </t>
  </si>
  <si>
    <t>DB-GDE 0606.4</t>
  </si>
  <si>
    <t xml:space="preserve">R59 +R58 mix </t>
  </si>
  <si>
    <t>SD-GDE 0516&amp;0506</t>
  </si>
  <si>
    <t>R51 0514 &amp; 0502</t>
  </si>
  <si>
    <t>NA</t>
  </si>
  <si>
    <t>0.146 (AVERAGE)</t>
  </si>
  <si>
    <t xml:space="preserve">TKK Baseline 5cm2 </t>
  </si>
  <si>
    <t>SD-GDE 0607.1</t>
  </si>
  <si>
    <t>RJM1 0606</t>
  </si>
  <si>
    <t>JM1-C1 cathodes</t>
  </si>
  <si>
    <t>SD-GDE 0606.3</t>
  </si>
  <si>
    <t>R58+R59</t>
  </si>
  <si>
    <t>TKK TEC66V50-LHT+TEC66E50-LHT mix</t>
  </si>
  <si>
    <t>SD-GDE 0611.4</t>
  </si>
  <si>
    <t>R59C1 0610</t>
  </si>
  <si>
    <t>TKK TEC66E50-LHT I/C=0.48-CL total I/C=1.00 C1</t>
  </si>
  <si>
    <t>SD-GDE 0612.1</t>
  </si>
  <si>
    <t>R51 0611</t>
  </si>
  <si>
    <t>Freudenberg TKK cathodes</t>
  </si>
  <si>
    <t>SD-GDE 0611.3</t>
  </si>
  <si>
    <t>R58</t>
  </si>
  <si>
    <t>TKK TEC66V50-LHT</t>
  </si>
  <si>
    <t>SD-GDE 0617.1</t>
  </si>
  <si>
    <t>RJM1 0617</t>
  </si>
  <si>
    <t>SD-GDE 0618.2</t>
  </si>
  <si>
    <t>RJM1 C1 0617</t>
  </si>
  <si>
    <t>Freud H23C8</t>
  </si>
  <si>
    <t>JM1-C1-5SD cathodes</t>
  </si>
  <si>
    <t>SD-GDE 0619.1</t>
  </si>
  <si>
    <t>RJM1 C2 0618</t>
  </si>
  <si>
    <t>JM1-C2 cathodes</t>
  </si>
  <si>
    <t>SD-GDE 0617.2</t>
  </si>
  <si>
    <t>RJM1 C1-2 0617</t>
  </si>
  <si>
    <t>JM1-C1-30SD cathodes</t>
  </si>
  <si>
    <t>SD-GDE 0625.1</t>
  </si>
  <si>
    <t>Lincoln/Shule</t>
  </si>
  <si>
    <t>JM1-C1-30SD Freudenberg</t>
  </si>
  <si>
    <t>DB-GDE 0627.2</t>
  </si>
  <si>
    <t>R60 0624</t>
  </si>
  <si>
    <t>SGL 3</t>
  </si>
  <si>
    <t>SD-GDE 0709.1</t>
  </si>
  <si>
    <t>RNiMo1</t>
  </si>
  <si>
    <t>Lincoln/Yue</t>
  </si>
  <si>
    <t>NiMo Sai</t>
  </si>
  <si>
    <t>Catalyst ink waste evaluation - initial DB</t>
  </si>
  <si>
    <t>DB GDE 0313-1-600</t>
  </si>
  <si>
    <t>Solid content total</t>
  </si>
  <si>
    <t>Catalyst [mg]</t>
  </si>
  <si>
    <t>Solids [mg]</t>
  </si>
  <si>
    <t>Vial</t>
  </si>
  <si>
    <t>600 cm2 Interior</t>
  </si>
  <si>
    <t>Exterior on GDL</t>
  </si>
  <si>
    <t>Blade</t>
  </si>
  <si>
    <t>Pipette head</t>
  </si>
  <si>
    <t>Plate</t>
  </si>
  <si>
    <t>Pan</t>
  </si>
  <si>
    <t>Strip</t>
  </si>
  <si>
    <t>Others</t>
  </si>
  <si>
    <t>Baseline SAI VC</t>
  </si>
  <si>
    <t>Baseline TKK KB</t>
  </si>
  <si>
    <t>1kW with IL</t>
  </si>
  <si>
    <t>10kW with IL</t>
  </si>
  <si>
    <t>1kW no IL</t>
  </si>
  <si>
    <t>10kW no IL</t>
  </si>
  <si>
    <t>0709/2024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</si>
</sst>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%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thin">
        <color rgb="FF000000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9" fontId="0" fillId="0" borderId="0" xfId="1" applyFon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/>
    <xf numFmtId="164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/>
    <xf numFmtId="0" fontId="9" fillId="0" borderId="1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4" xfId="0" applyFont="1" applyBorder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right"/>
    </xf>
    <xf numFmtId="14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9" fontId="0" fillId="0" borderId="4" xfId="1" applyFont="1" applyFill="1" applyBorder="1" applyAlignment="1">
      <alignment horizontal="right" vertical="center"/>
    </xf>
    <xf numFmtId="9" fontId="0" fillId="0" borderId="4" xfId="1" applyFont="1" applyFill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1" fontId="0" fillId="0" borderId="5" xfId="0" applyNumberFormat="1" applyBorder="1"/>
    <xf numFmtId="166" fontId="0" fillId="0" borderId="4" xfId="0" applyNumberFormat="1" applyBorder="1"/>
    <xf numFmtId="0" fontId="0" fillId="0" borderId="6" xfId="0" applyBorder="1"/>
    <xf numFmtId="2" fontId="0" fillId="0" borderId="6" xfId="0" applyNumberFormat="1" applyBorder="1"/>
    <xf numFmtId="1" fontId="0" fillId="0" borderId="4" xfId="0" applyNumberFormat="1" applyBorder="1"/>
    <xf numFmtId="0" fontId="10" fillId="0" borderId="4" xfId="0" applyFont="1" applyBorder="1"/>
    <xf numFmtId="0" fontId="6" fillId="0" borderId="4" xfId="0" applyFont="1" applyBorder="1"/>
    <xf numFmtId="14" fontId="6" fillId="0" borderId="4" xfId="0" applyNumberFormat="1" applyFont="1" applyBorder="1"/>
    <xf numFmtId="164" fontId="6" fillId="0" borderId="4" xfId="0" applyNumberFormat="1" applyFont="1" applyBorder="1"/>
    <xf numFmtId="167" fontId="0" fillId="0" borderId="4" xfId="0" applyNumberFormat="1" applyBorder="1"/>
    <xf numFmtId="0" fontId="8" fillId="0" borderId="4" xfId="0" applyFont="1" applyBorder="1"/>
    <xf numFmtId="0" fontId="7" fillId="3" borderId="4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right"/>
    </xf>
    <xf numFmtId="0" fontId="0" fillId="3" borderId="0" xfId="0" applyFill="1"/>
    <xf numFmtId="0" fontId="11" fillId="0" borderId="0" xfId="0" applyFont="1"/>
    <xf numFmtId="0" fontId="12" fillId="0" borderId="4" xfId="0" applyFont="1" applyBorder="1"/>
    <xf numFmtId="0" fontId="13" fillId="0" borderId="4" xfId="0" applyFont="1" applyBorder="1"/>
    <xf numFmtId="14" fontId="13" fillId="0" borderId="4" xfId="0" applyNumberFormat="1" applyFont="1" applyBorder="1"/>
    <xf numFmtId="164" fontId="13" fillId="0" borderId="4" xfId="0" applyNumberFormat="1" applyFont="1" applyBorder="1"/>
    <xf numFmtId="167" fontId="13" fillId="0" borderId="4" xfId="0" applyNumberFormat="1" applyFont="1" applyBorder="1"/>
    <xf numFmtId="0" fontId="13" fillId="0" borderId="4" xfId="0" applyFont="1" applyBorder="1" applyAlignment="1">
      <alignment horizontal="right"/>
    </xf>
    <xf numFmtId="0" fontId="13" fillId="0" borderId="0" xfId="0" applyFont="1"/>
    <xf numFmtId="0" fontId="8" fillId="0" borderId="0" xfId="0" applyFont="1"/>
    <xf numFmtId="0" fontId="0" fillId="0" borderId="7" xfId="0" applyBorder="1"/>
    <xf numFmtId="14" fontId="0" fillId="4" borderId="7" xfId="0" applyNumberFormat="1" applyFill="1" applyBorder="1"/>
    <xf numFmtId="0" fontId="7" fillId="5" borderId="4" xfId="0" applyFont="1" applyFill="1" applyBorder="1"/>
    <xf numFmtId="0" fontId="0" fillId="5" borderId="4" xfId="0" applyFill="1" applyBorder="1"/>
    <xf numFmtId="14" fontId="0" fillId="5" borderId="7" xfId="0" applyNumberFormat="1" applyFill="1" applyBorder="1"/>
    <xf numFmtId="164" fontId="0" fillId="5" borderId="4" xfId="0" applyNumberFormat="1" applyFill="1" applyBorder="1"/>
    <xf numFmtId="0" fontId="0" fillId="5" borderId="7" xfId="0" applyFill="1" applyBorder="1"/>
    <xf numFmtId="0" fontId="0" fillId="5" borderId="4" xfId="0" applyFill="1" applyBorder="1" applyAlignment="1">
      <alignment horizontal="right"/>
    </xf>
    <xf numFmtId="0" fontId="0" fillId="5" borderId="0" xfId="0" applyFill="1"/>
    <xf numFmtId="14" fontId="0" fillId="5" borderId="0" xfId="0" applyNumberFormat="1" applyFill="1"/>
    <xf numFmtId="0" fontId="7" fillId="6" borderId="4" xfId="0" applyFont="1" applyFill="1" applyBorder="1"/>
    <xf numFmtId="0" fontId="0" fillId="6" borderId="4" xfId="0" applyFill="1" applyBorder="1"/>
    <xf numFmtId="14" fontId="0" fillId="6" borderId="4" xfId="0" applyNumberFormat="1" applyFill="1" applyBorder="1"/>
    <xf numFmtId="164" fontId="0" fillId="6" borderId="4" xfId="0" applyNumberFormat="1" applyFill="1" applyBorder="1"/>
    <xf numFmtId="0" fontId="7" fillId="7" borderId="4" xfId="0" applyFont="1" applyFill="1" applyBorder="1"/>
    <xf numFmtId="0" fontId="0" fillId="7" borderId="0" xfId="0" applyFill="1"/>
    <xf numFmtId="0" fontId="0" fillId="7" borderId="4" xfId="0" applyFill="1" applyBorder="1"/>
    <xf numFmtId="14" fontId="0" fillId="7" borderId="0" xfId="0" applyNumberFormat="1" applyFill="1"/>
    <xf numFmtId="164" fontId="0" fillId="7" borderId="4" xfId="0" applyNumberFormat="1" applyFill="1" applyBorder="1"/>
    <xf numFmtId="0" fontId="0" fillId="7" borderId="7" xfId="0" applyFill="1" applyBorder="1"/>
    <xf numFmtId="0" fontId="0" fillId="7" borderId="4" xfId="0" applyFill="1" applyBorder="1" applyAlignment="1">
      <alignment horizontal="right"/>
    </xf>
    <xf numFmtId="14" fontId="0" fillId="5" borderId="4" xfId="0" applyNumberFormat="1" applyFill="1" applyBorder="1"/>
    <xf numFmtId="0" fontId="0" fillId="4" borderId="0" xfId="0" applyFill="1"/>
    <xf numFmtId="0" fontId="4" fillId="0" borderId="0" xfId="0" applyFont="1" applyAlignment="1">
      <alignment horizontal="center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14" fontId="4" fillId="8" borderId="8" xfId="0" applyNumberFormat="1" applyFont="1" applyFill="1" applyBorder="1"/>
    <xf numFmtId="0" fontId="4" fillId="9" borderId="9" xfId="0" applyFont="1" applyFill="1" applyBorder="1"/>
    <xf numFmtId="0" fontId="4" fillId="8" borderId="10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1" xfId="0" applyFill="1" applyBorder="1"/>
    <xf numFmtId="0" fontId="0" fillId="9" borderId="12" xfId="0" applyFill="1" applyBorder="1"/>
    <xf numFmtId="0" fontId="0" fillId="8" borderId="13" xfId="0" applyFill="1" applyBorder="1"/>
    <xf numFmtId="0" fontId="14" fillId="0" borderId="14" xfId="0" applyFont="1" applyBorder="1"/>
    <xf numFmtId="0" fontId="14" fillId="0" borderId="15" xfId="0" applyFont="1" applyBorder="1"/>
    <xf numFmtId="14" fontId="4" fillId="9" borderId="8" xfId="0" applyNumberFormat="1" applyFont="1" applyFill="1" applyBorder="1"/>
    <xf numFmtId="0" fontId="4" fillId="8" borderId="9" xfId="0" applyFont="1" applyFill="1" applyBorder="1"/>
    <xf numFmtId="0" fontId="4" fillId="9" borderId="10" xfId="0" applyFont="1" applyFill="1" applyBorder="1"/>
    <xf numFmtId="0" fontId="4" fillId="9" borderId="14" xfId="0" applyFont="1" applyFill="1" applyBorder="1"/>
    <xf numFmtId="0" fontId="4" fillId="9" borderId="15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1" xfId="0" applyFill="1" applyBorder="1"/>
    <xf numFmtId="0" fontId="0" fillId="8" borderId="12" xfId="0" applyFill="1" applyBorder="1"/>
    <xf numFmtId="0" fontId="0" fillId="9" borderId="13" xfId="0" applyFill="1" applyBorder="1"/>
    <xf numFmtId="0" fontId="14" fillId="0" borderId="0" xfId="0" applyFont="1"/>
    <xf numFmtId="0" fontId="4" fillId="9" borderId="0" xfId="0" applyFont="1" applyFill="1"/>
    <xf numFmtId="0" fontId="4" fillId="8" borderId="0" xfId="0" applyFont="1" applyFill="1"/>
    <xf numFmtId="0" fontId="0" fillId="8" borderId="0" xfId="0" applyFill="1"/>
    <xf numFmtId="0" fontId="0" fillId="9" borderId="0" xfId="0" applyFill="1"/>
    <xf numFmtId="14" fontId="4" fillId="8" borderId="14" xfId="0" applyNumberFormat="1" applyFont="1" applyFill="1" applyBorder="1"/>
    <xf numFmtId="14" fontId="4" fillId="9" borderId="14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</dxf>
  </dxfs>
  <tableStyles count="0" defaultTableStyle="TableStyleMedium2" defaultPivotStyle="PivotStyleLight16"/>
  <colors>
    <mruColors>
      <color rgb="FFFF9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8C-480E-9682-ACE6CEC88C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8C-480E-9682-ACE6CEC88CB8}"/>
              </c:ext>
            </c:extLst>
          </c:dPt>
          <c:dPt>
            <c:idx val="2"/>
            <c:bubble3D val="0"/>
            <c:spPr>
              <a:solidFill>
                <a:srgbClr val="FF99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8C-480E-9682-ACE6CEC88CB8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C-480E-9682-ACE6CEC88C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8C-480E-9682-ACE6CEC88C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8C-480E-9682-ACE6CEC88CB8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C-480E-9682-ACE6CEC88C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C-480E-9682-ACE6CEC88C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8C-480E-9682-ACE6CEC88C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C-480E-9682-ACE6CEC88CB8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-0.12962962962962968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6189"/>
                        <a:gd name="adj2" fmla="val 19119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C8C-480E-9682-ACE6CEC88C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8C-480E-9682-ACE6CEC88C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8C-480E-9682-ACE6CEC88CB8}"/>
                </c:ext>
              </c:extLst>
            </c:dLbl>
            <c:dLbl>
              <c:idx val="3"/>
              <c:layout>
                <c:manualLayout>
                  <c:x val="-7.2222222222222215E-2"/>
                  <c:y val="9.7222222222222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8C-480E-9682-ACE6CEC88CB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8C-480E-9682-ACE6CEC88CB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8C-480E-9682-ACE6CEC88CB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8C-480E-9682-ACE6CEC88CB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8C-480E-9682-ACE6CEC88CB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8C-480E-9682-ACE6CEC88CB8}"/>
                </c:ext>
              </c:extLst>
            </c:dLbl>
            <c:dLbl>
              <c:idx val="9"/>
              <c:layout>
                <c:manualLayout>
                  <c:x val="-0.11111111111111116"/>
                  <c:y val="-0.1435185185185185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Ink poured, </a:t>
                    </a:r>
                    <a:fld id="{455C5072-09B1-43C5-9E4A-C9DABF0301A1}" type="PERCENTAGE">
                      <a:rPr lang="en-US" baseline="0"/>
                      <a:pPr>
                        <a:defRPr/>
                      </a:pPr>
                      <a:t>[]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7861"/>
                        <a:gd name="adj2" fmla="val 26909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8C-480E-9682-ACE6CEC88C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'Ink waste'!$C$8:$C$16</c:f>
              <c:strCache>
                <c:ptCount val="9"/>
                <c:pt idx="0">
                  <c:v>Vial</c:v>
                </c:pt>
                <c:pt idx="1">
                  <c:v>600 cm2 Interior</c:v>
                </c:pt>
                <c:pt idx="2">
                  <c:v>Exterior on GDL</c:v>
                </c:pt>
                <c:pt idx="3">
                  <c:v>Blade</c:v>
                </c:pt>
                <c:pt idx="4">
                  <c:v>Pipette head</c:v>
                </c:pt>
                <c:pt idx="5">
                  <c:v>Plate</c:v>
                </c:pt>
                <c:pt idx="6">
                  <c:v>Pan</c:v>
                </c:pt>
                <c:pt idx="7">
                  <c:v>Strip</c:v>
                </c:pt>
                <c:pt idx="8">
                  <c:v>Others</c:v>
                </c:pt>
              </c:strCache>
            </c:strRef>
          </c:cat>
          <c:val>
            <c:numRef>
              <c:f>'Ink waste'!$D$8:$D$16</c:f>
              <c:numCache>
                <c:formatCode>0.0%</c:formatCode>
                <c:ptCount val="9"/>
                <c:pt idx="0" formatCode="0%">
                  <c:v>0.33</c:v>
                </c:pt>
                <c:pt idx="1">
                  <c:v>0.20437956204379565</c:v>
                </c:pt>
                <c:pt idx="2">
                  <c:v>7.664233576642332E-2</c:v>
                </c:pt>
                <c:pt idx="3">
                  <c:v>0.11233009708737865</c:v>
                </c:pt>
                <c:pt idx="4">
                  <c:v>4.864077669902913E-2</c:v>
                </c:pt>
                <c:pt idx="5">
                  <c:v>0.11980582524271845</c:v>
                </c:pt>
                <c:pt idx="6">
                  <c:v>3.7378640776699029E-2</c:v>
                </c:pt>
                <c:pt idx="7">
                  <c:v>2.242718446601942E-2</c:v>
                </c:pt>
                <c:pt idx="8">
                  <c:v>4.839557791793625E-2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C-480E-9682-ACE6CEC8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8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ocumenttasks/documenttask1.xml><?xml version="1.0" encoding="utf-8"?>
<Tasks xmlns="http://schemas.microsoft.com/office/tasks/2019/documenttasks">
  <Task id="{CCF7A956-898C-4CAA-99BF-DD28B50FD794}">
    <Anchor>
      <Comment id="{BA465E8C-FBFD-4D78-AE36-29B94F74887F}"/>
    </Anchor>
    <History>
      <Event time="2023-07-07T15:30:37.03" id="{19A71635-1392-4012-BD5F-E6C6C0F6A66A}">
        <Attribution userId="S::lisa.dunsmore@versogen.com::ffd333d8-3b61-44b5-a127-ce6728f84f43" userName="Lisa Dunsmore" userProvider="AD"/>
        <Anchor>
          <Comment id="{BA465E8C-FBFD-4D78-AE36-29B94F74887F}"/>
        </Anchor>
        <Create/>
      </Event>
      <Event time="2023-07-07T15:30:37.03" id="{3276AE5C-704D-4934-BA33-BAA93B40D5E9}">
        <Attribution userId="S::lisa.dunsmore@versogen.com::ffd333d8-3b61-44b5-a127-ce6728f84f43" userName="Lisa Dunsmore" userProvider="AD"/>
        <Anchor>
          <Comment id="{BA465E8C-FBFD-4D78-AE36-29B94F74887F}"/>
        </Anchor>
        <Assign userId="S::luke.brusse@versogen.com::7bc5bc00-511d-4ba3-b8ce-b1cf0306a01f" userName="Luke Brusse" userProvider="AD"/>
      </Event>
      <Event time="2023-07-07T15:30:37.03" id="{2CBF1ED4-CFAB-45FF-A321-57369804B650}">
        <Attribution userId="S::lisa.dunsmore@versogen.com::ffd333d8-3b61-44b5-a127-ce6728f84f43" userName="Lisa Dunsmore" userProvider="AD"/>
        <Anchor>
          <Comment id="{BA465E8C-FBFD-4D78-AE36-29B94F74887F}"/>
        </Anchor>
        <SetTitle title="@Luke Brusse @Shule Yu @Lincoln Pritt where is the mwp002 and mwp003 cathode information? I need the mwp003 thickness and standard dev"/>
      </Event>
    </History>
  </Task>
  <Task id="{F966C2DD-6ED9-4CD8-92FC-3FB2AF95E01B}">
    <Anchor>
      <Comment id="{690039B8-959D-4144-8F84-DA05AEE67521}"/>
    </Anchor>
    <History>
      <Event time="2023-07-07T15:30:37.03" id="{19A71635-1392-4012-BD5F-E6C6C0F6A66A}">
        <Attribution userId="S::lisa.dunsmore@versogen.com::ffd333d8-3b61-44b5-a127-ce6728f84f43" userName="Lisa Dunsmore" userProvider="AD"/>
        <Anchor>
          <Comment id="{690039B8-959D-4144-8F84-DA05AEE67521}"/>
        </Anchor>
        <Create/>
      </Event>
      <Event time="2023-07-07T15:30:37.03" id="{3276AE5C-704D-4934-BA33-BAA93B40D5E9}">
        <Attribution userId="S::lisa.dunsmore@versogen.com::ffd333d8-3b61-44b5-a127-ce6728f84f43" userName="Lisa Dunsmore" userProvider="AD"/>
        <Anchor>
          <Comment id="{690039B8-959D-4144-8F84-DA05AEE67521}"/>
        </Anchor>
        <Assign userId="S::luke.brusse@versogen.com::7bc5bc00-511d-4ba3-b8ce-b1cf0306a01f" userName="Luke Brusse" userProvider="AD"/>
      </Event>
      <Event time="2023-07-07T15:30:37.03" id="{2CBF1ED4-CFAB-45FF-A321-57369804B650}">
        <Attribution userId="S::lisa.dunsmore@versogen.com::ffd333d8-3b61-44b5-a127-ce6728f84f43" userName="Lisa Dunsmore" userProvider="AD"/>
        <Anchor>
          <Comment id="{690039B8-959D-4144-8F84-DA05AEE67521}"/>
        </Anchor>
        <SetTitle title="@Luke Brusse @Shule Yu @Lincoln Pritt where is the mwp002 and mwp003 cathode information? I need the mwp003 thickness and standard dev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233045</xdr:colOff>
      <xdr:row>0</xdr:row>
      <xdr:rowOff>0</xdr:rowOff>
    </xdr:from>
    <xdr:to>
      <xdr:col>11</xdr:col>
      <xdr:colOff>154305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FD734-F1CD-A8AE-87D5-B179F879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ule Yu" id="{69E4D937-5737-4179-94BD-2D54720E7323}" userId="shule@versogen.com" providerId="PeoplePicker"/>
  <person displayName="Lincoln Pritt" id="{3915C049-69D6-4BEE-81A5-C2B3E0FA5746}" userId="lpritt@versogen.com" providerId="PeoplePicker"/>
  <person displayName="Luke Brusse" id="{B75E1A87-4FEE-4AE1-BBA2-0AA3D238CB5D}" userId="luke.brusse@versogen.com" providerId="PeoplePicker"/>
  <person displayName="Shule Yu" id="{66D82B31-93A9-4E33-B930-44CAA6CA32C3}" userId="S::shule@versogen.com::fc2e1f96-f236-498a-bdde-84195ff8a412" providerId="AD"/>
  <person displayName="Lisa Dunsmore" id="{5272E9C1-8864-4BA9-80A8-50CDC45CC844}" userId="S::lisa.dunsmore@versogen.com::ffd333d8-3b61-44b5-a127-ce6728f84f4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1A488D-B9A8-4831-B0D5-23034B5A57EE}" name="Table2" displayName="Table2" ref="A2:AJ341" totalsRowShown="0" headerRowDxfId="38" dataDxfId="37" tableBorderDxfId="36">
  <autoFilter ref="A2:AJ341" xr:uid="{E41A488D-B9A8-4831-B0D5-23034B5A57EE}">
    <filterColumn colId="1">
      <filters>
        <filter val="100"/>
      </filters>
    </filterColumn>
  </autoFilter>
  <tableColumns count="36">
    <tableColumn id="1" xr3:uid="{ECBE2662-3FD3-4DF6-9D75-F356FB307780}" name="Name" dataDxfId="35"/>
    <tableColumn id="2" xr3:uid="{3656498B-A759-4A4C-923A-4B551AE8E96F}" name="Area" dataDxfId="34"/>
    <tableColumn id="3" xr3:uid="{5BF3B682-865D-4596-918E-9F61A0DF1C12}" name="Column1" dataDxfId="33"/>
    <tableColumn id="4" xr3:uid="{22E54E72-1FAE-4861-AF94-2DE312C791A6}" name="GDE" dataDxfId="32"/>
    <tableColumn id="5" xr3:uid="{A0DFD96D-6C92-4F9F-B796-15FB8666B864}" name="Date" dataDxfId="31"/>
    <tableColumn id="6" xr3:uid="{54C92CEE-1039-4FFE-A1A6-70D161E433F9}" name="Day#" dataDxfId="30"/>
    <tableColumn id="7" xr3:uid="{A05B3282-0D45-412B-835C-27CEF276C34C}" name="Ink" dataDxfId="29"/>
    <tableColumn id="8" xr3:uid="{A35DA67B-E1FC-445F-A7BC-1F4C997E9047}" name="GDL" dataDxfId="28"/>
    <tableColumn id="9" xr3:uid="{AF4490AE-38DC-4D8C-844A-3ED93DDC671D}" name="Area code" dataDxfId="27"/>
    <tableColumn id="10" xr3:uid="{EE81271D-38A5-4BEE-83F1-57AC07312250}" name="T avg" dataDxfId="26"/>
    <tableColumn id="11" xr3:uid="{69C30905-94CD-4684-AE67-87F84DE7F122}" name="T STD" dataDxfId="25"/>
    <tableColumn id="12" xr3:uid="{879749EC-CBBC-4313-92AF-EC4BE8A2E3CC}" name="t1" dataDxfId="24"/>
    <tableColumn id="13" xr3:uid="{4E1C9E6E-098A-450A-9EBB-5ABF7B30532A}" name="t2" dataDxfId="23"/>
    <tableColumn id="14" xr3:uid="{AEBF756B-3458-40EA-BA4F-DF0368F8B7A7}" name="t3" dataDxfId="22"/>
    <tableColumn id="15" xr3:uid="{F6CCF486-1087-42B8-987F-D7CE79844DBB}" name="t4" dataDxfId="21"/>
    <tableColumn id="16" xr3:uid="{0FB52502-01D5-45B5-906E-7C795547AF42}" name="t5" dataDxfId="20"/>
    <tableColumn id="17" xr3:uid="{D7E408D6-ECBC-458F-9BE0-8A59E2855512}" name="t6" dataDxfId="19"/>
    <tableColumn id="18" xr3:uid="{2FC97234-A158-48F6-BE66-B6861C44C4FD}" name="t7" dataDxfId="18"/>
    <tableColumn id="19" xr3:uid="{5DBFA743-F08A-4C14-B736-CC54136B6C8A}" name="t8" dataDxfId="17"/>
    <tableColumn id="35" xr3:uid="{FA1037AC-9112-4B7F-AA63-9640932F33A8}" name="t9" dataDxfId="16"/>
    <tableColumn id="20" xr3:uid="{7F00D56B-C6D6-44E1-9BAC-58838729C12D}" name="ωPt" dataDxfId="15"/>
    <tableColumn id="21" xr3:uid="{34C49B52-1C72-4F42-B4AF-B25B3E084CD3}" name="ωIL" dataDxfId="14"/>
    <tableColumn id="37" xr3:uid="{EC8DF3E6-2C04-4069-8F3E-D64E4E1F23FE}" name="ωRu" dataDxfId="13"/>
    <tableColumn id="22" xr3:uid="{8E7D617B-2EFE-4066-9F0D-24E997A1B71B}" name="GDL batch" dataDxfId="12"/>
    <tableColumn id="23" xr3:uid="{B4C66338-0A5C-49C5-9DAA-9D5A1ACD3BFB}" name="Fab by" dataDxfId="11"/>
    <tableColumn id="24" xr3:uid="{23A23EC5-5337-45A1-892D-3C1711C99617}" name="Faber code" dataDxfId="10"/>
    <tableColumn id="25" xr3:uid="{1B5C0A0D-46FA-46C1-A5F9-A1507C610B38}" name="Claimed by" dataDxfId="9"/>
    <tableColumn id="26" xr3:uid="{20DC3015-2772-4C88-BD8B-1830CCF28C30}" name="To stack" dataDxfId="8"/>
    <tableColumn id="27" xr3:uid="{3A09649C-7F64-42EE-ABE3-6335CEEF1A64}" name="Which cell?" dataDxfId="7"/>
    <tableColumn id="28" xr3:uid="{5F80850B-AE28-4F39-B506-20FCBB88AFBC}" name="Date to Stack" dataDxfId="6"/>
    <tableColumn id="29" xr3:uid="{42B7196F-5265-479B-905B-1C6647B62277}" name="Note" dataDxfId="5"/>
    <tableColumn id="30" xr3:uid="{55BB677C-284B-4325-85DF-F69542C03C3A}" name="ink consumption" dataDxfId="4"/>
    <tableColumn id="31" xr3:uid="{F3DE8906-716F-4B81-8315-ABFA132CB328}" name="Mass in ink" dataDxfId="3"/>
    <tableColumn id="32" xr3:uid="{AF4AFD63-FD01-42C5-821C-266B293C346E}" name="PtRu60/VC" dataDxfId="2"/>
    <tableColumn id="33" xr3:uid="{5CF9A375-0FE0-484A-831C-514C3B4CB4B3}" name="Mass on GDL" dataDxfId="1"/>
    <tableColumn id="34" xr3:uid="{71F938EC-5D1A-4F43-B8F5-1497D8239244}" name="η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10T13:27:24.25" personId="{66D82B31-93A9-4E33-B930-44CAA6CA32C3}" id="{944CF522-90C2-4C5A-A178-FEFCCB7A48AE}">
    <text>22 also been used for one time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53" dT="2023-07-07T15:30:36.39" personId="{5272E9C1-8864-4BA9-80A8-50CDC45CC844}" id="{690039B8-959D-4144-8F84-DA05AEE67521}">
    <text>@Luke Brusse @Shule Yu @Lincoln Pritt where is the mwp002 and mwp003 cathode information? I need the mwp003 thickness and standard dev</text>
    <mentions>
      <mention mentionpersonId="{B75E1A87-4FEE-4AE1-BBA2-0AA3D238CB5D}" mentionId="{EB14E389-5A7F-4142-9083-B82EDEFCDEC8}" startIndex="0" length="12"/>
      <mention mentionpersonId="{69E4D937-5737-4179-94BD-2D54720E7323}" mentionId="{A7007266-4682-49F4-B91C-74E5B5DA3D5D}" startIndex="13" length="9"/>
      <mention mentionpersonId="{3915C049-69D6-4BEE-81A5-C2B3E0FA5746}" mentionId="{BC43FBAA-E7DA-4C87-8F88-9049B32F57D3}" startIndex="23" length="14"/>
    </mentions>
  </threadedComment>
  <threadedComment ref="AB53" dT="2023-07-07T15:47:16.51" personId="{66D82B31-93A9-4E33-B930-44CAA6CA32C3}" id="{F30F533D-3B9D-4EDE-BAB8-027D138AC5DB}" parentId="{690039B8-959D-4144-8F84-DA05AEE67521}">
    <text>The MWP002 was long time ago. That was my first 600 cm2 GDE. We didn't even know how to measure the loading correctly then. Because that was my first 600, I actually memorized its thickness on purpose. That one has a t avg of 190 um. However, I didn't do STD for that.</text>
  </threadedComment>
  <threadedComment ref="AB54" dT="2023-07-07T15:30:36.39" personId="{5272E9C1-8864-4BA9-80A8-50CDC45CC844}" id="{BA465E8C-FBFD-4D78-AE36-29B94F74887F}">
    <text>@Luke Brusse @Shule Yu @Lincoln Pritt where is the mwp002 and mwp003 cathode information? I need the mwp003 thickness and standard dev</text>
    <mentions>
      <mention mentionpersonId="{B75E1A87-4FEE-4AE1-BBA2-0AA3D238CB5D}" mentionId="{321243CD-0167-449D-AF8D-B440CCE2151B}" startIndex="0" length="12"/>
      <mention mentionpersonId="{69E4D937-5737-4179-94BD-2D54720E7323}" mentionId="{BB0C6C1E-DE22-4FBA-B9FE-7DF40BC22035}" startIndex="13" length="9"/>
      <mention mentionpersonId="{3915C049-69D6-4BEE-81A5-C2B3E0FA5746}" mentionId="{1A1AD495-72CF-4FCC-8AF5-0470AFD92CFC}" startIndex="23" length="14"/>
    </mentions>
  </threadedComment>
  <threadedComment ref="AB54" dT="2023-07-07T15:47:16.51" personId="{66D82B31-93A9-4E33-B930-44CAA6CA32C3}" id="{26AC483F-933A-46BA-B39C-54644B472587}" parentId="{BA465E8C-FBFD-4D78-AE36-29B94F74887F}">
    <text>The MWP002 was long time ago. That was my first 600 cm2 GDE. We didn't even know how to measure the loading correctly then. Because that was my first 600, I actually memorized its thickness on purpose. That one has a t avg of 190 um. However, I didn't do STD for that.</text>
  </threadedComment>
  <threadedComment ref="U275" dT="2024-03-19T14:31:08.13" personId="{66D82B31-93A9-4E33-B930-44CAA6CA32C3}" id="{52EE6DF4-411E-4398-8BB2-917D516FA692}">
    <text>+/-0.022</text>
  </threadedComment>
  <threadedComment ref="V275" dT="2024-03-19T14:34:44.50" personId="{66D82B31-93A9-4E33-B930-44CAA6CA32C3}" id="{43F4D353-6F14-488A-ABBC-21BD2280271B}">
    <text>+/- 0.025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51" dT="2024-07-09T20:46:19.11" personId="{66D82B31-93A9-4E33-B930-44CAA6CA32C3}" id="{26DA79C1-12D7-4D9D-B301-82151B17A2EA}">
    <text>Ni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D72-937A-4195-A2F6-6746444F75A6}">
  <sheetPr codeName="Sheet1"/>
  <dimension ref="A1:P8"/>
  <sheetViews>
    <sheetView workbookViewId="0">
      <selection activeCell="B5" sqref="B5"/>
    </sheetView>
  </sheetViews>
  <sheetFormatPr defaultRowHeight="15"/>
  <cols>
    <col min="1" max="1" width="8.5703125" style="8" bestFit="1" customWidth="1"/>
    <col min="2" max="2" width="9.140625" style="8" bestFit="1" customWidth="1"/>
    <col min="3" max="3" width="8.7109375" style="8"/>
    <col min="4" max="4" width="10" style="8" bestFit="1" customWidth="1"/>
    <col min="5" max="6" width="8.7109375" style="8"/>
    <col min="7" max="7" width="9.85546875" style="8" bestFit="1" customWidth="1"/>
    <col min="8" max="16" width="8.7109375" style="8"/>
  </cols>
  <sheetData>
    <row r="1" spans="1:8">
      <c r="A1" s="8" t="s">
        <v>0</v>
      </c>
      <c r="B1" s="8" t="s">
        <v>1</v>
      </c>
      <c r="D1" s="8" t="s">
        <v>2</v>
      </c>
      <c r="E1" s="8" t="s">
        <v>3</v>
      </c>
      <c r="G1" s="8" t="s">
        <v>4</v>
      </c>
      <c r="H1" s="8" t="s">
        <v>5</v>
      </c>
    </row>
    <row r="2" spans="1:8">
      <c r="A2" s="8">
        <v>2</v>
      </c>
      <c r="B2" s="16" t="s">
        <v>6</v>
      </c>
      <c r="D2" s="8" t="s">
        <v>7</v>
      </c>
      <c r="E2" s="8" t="s">
        <v>8</v>
      </c>
      <c r="G2" s="17">
        <v>100</v>
      </c>
      <c r="H2" s="8">
        <v>1</v>
      </c>
    </row>
    <row r="3" spans="1:8">
      <c r="A3" s="8">
        <v>3</v>
      </c>
      <c r="B3" s="16" t="s">
        <v>9</v>
      </c>
      <c r="D3" s="8" t="s">
        <v>10</v>
      </c>
      <c r="E3" s="8" t="s">
        <v>11</v>
      </c>
      <c r="G3" s="17">
        <v>600</v>
      </c>
      <c r="H3" s="8">
        <v>2</v>
      </c>
    </row>
    <row r="4" spans="1:8">
      <c r="A4" s="8">
        <v>4</v>
      </c>
      <c r="B4" s="8" t="s">
        <v>12</v>
      </c>
      <c r="D4" s="8" t="s">
        <v>13</v>
      </c>
      <c r="E4" s="8" t="s">
        <v>14</v>
      </c>
      <c r="G4" s="17">
        <v>5</v>
      </c>
      <c r="H4" s="8">
        <v>5</v>
      </c>
    </row>
    <row r="5" spans="1:8">
      <c r="A5" s="8">
        <v>5</v>
      </c>
      <c r="B5" s="8" t="s">
        <v>15</v>
      </c>
      <c r="D5" s="8" t="s">
        <v>16</v>
      </c>
      <c r="E5" s="8" t="s">
        <v>17</v>
      </c>
      <c r="G5" s="10"/>
      <c r="H5" s="10"/>
    </row>
    <row r="6" spans="1:8">
      <c r="G6" s="10"/>
      <c r="H6" s="10"/>
    </row>
    <row r="7" spans="1:8">
      <c r="G7" s="10"/>
      <c r="H7" s="10"/>
    </row>
    <row r="8" spans="1:8">
      <c r="G8" s="10"/>
      <c r="H8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J1048528"/>
  <sheetViews>
    <sheetView tabSelected="1" zoomScale="70" zoomScaleNormal="70" workbookViewId="0">
      <pane xSplit="3" ySplit="2" topLeftCell="D495" activePane="bottomRight" state="frozen"/>
      <selection pane="bottomRight" activeCell="AB524" sqref="AB524"/>
      <selection pane="bottomLeft" activeCell="A3" sqref="A3"/>
      <selection pane="topRight" activeCell="C1" sqref="C1"/>
    </sheetView>
  </sheetViews>
  <sheetFormatPr defaultRowHeight="15" customHeight="1"/>
  <cols>
    <col min="1" max="1" width="29.85546875" customWidth="1"/>
    <col min="2" max="2" width="7.85546875" bestFit="1" customWidth="1"/>
    <col min="3" max="3" width="10" customWidth="1"/>
    <col min="4" max="4" width="16.85546875" customWidth="1"/>
    <col min="5" max="5" width="11.5703125" bestFit="1" customWidth="1"/>
    <col min="6" max="6" width="6.7109375" style="19" customWidth="1"/>
    <col min="7" max="7" width="20.28515625" customWidth="1"/>
    <col min="8" max="8" width="11.42578125" bestFit="1" customWidth="1"/>
    <col min="9" max="9" width="12.140625" bestFit="1" customWidth="1"/>
    <col min="10" max="20" width="8.85546875" customWidth="1"/>
    <col min="21" max="21" width="9.28515625" bestFit="1" customWidth="1"/>
    <col min="22" max="22" width="8.85546875" bestFit="1" customWidth="1"/>
    <col min="23" max="23" width="8.85546875" customWidth="1"/>
    <col min="24" max="24" width="13.42578125" style="20" customWidth="1"/>
    <col min="25" max="25" width="14.7109375" bestFit="1" customWidth="1"/>
    <col min="26" max="26" width="11.7109375" customWidth="1"/>
    <col min="27" max="27" width="12.140625" bestFit="1" customWidth="1"/>
    <col min="28" max="28" width="11.42578125" customWidth="1"/>
    <col min="29" max="29" width="12.140625" customWidth="1"/>
    <col min="30" max="30" width="14.42578125" bestFit="1" customWidth="1"/>
    <col min="31" max="31" width="71.7109375" bestFit="1" customWidth="1"/>
    <col min="32" max="32" width="16.28515625" customWidth="1"/>
    <col min="33" max="33" width="11.85546875" customWidth="1"/>
    <col min="34" max="34" width="11.5703125" bestFit="1" customWidth="1"/>
    <col min="35" max="35" width="13.140625" customWidth="1"/>
    <col min="36" max="36" width="9.140625" bestFit="1" customWidth="1"/>
  </cols>
  <sheetData>
    <row r="1" spans="1:36" ht="15" customHeight="1">
      <c r="J1" s="122" t="s">
        <v>18</v>
      </c>
      <c r="K1" s="123"/>
      <c r="L1" s="123"/>
      <c r="M1" s="123"/>
      <c r="N1" s="123"/>
      <c r="O1" s="123"/>
      <c r="P1" s="123"/>
      <c r="Q1" s="123"/>
      <c r="R1" s="123"/>
      <c r="S1" s="124"/>
      <c r="T1" s="91"/>
      <c r="U1" s="125" t="s">
        <v>19</v>
      </c>
      <c r="V1" s="126"/>
      <c r="W1" s="89"/>
    </row>
    <row r="2" spans="1:36">
      <c r="A2" s="21" t="s">
        <v>3</v>
      </c>
      <c r="B2" s="21" t="s">
        <v>20</v>
      </c>
      <c r="C2" s="21" t="s">
        <v>21</v>
      </c>
      <c r="D2" s="21" t="s">
        <v>22</v>
      </c>
      <c r="E2" s="21" t="s">
        <v>23</v>
      </c>
      <c r="F2" s="21" t="s">
        <v>24</v>
      </c>
      <c r="G2" s="21" t="s">
        <v>25</v>
      </c>
      <c r="H2" s="21" t="s">
        <v>26</v>
      </c>
      <c r="I2" s="21" t="s">
        <v>27</v>
      </c>
      <c r="J2" s="22" t="s">
        <v>28</v>
      </c>
      <c r="K2" s="21" t="s">
        <v>29</v>
      </c>
      <c r="L2" s="21" t="s">
        <v>30</v>
      </c>
      <c r="M2" s="21" t="s">
        <v>31</v>
      </c>
      <c r="N2" s="21" t="s">
        <v>32</v>
      </c>
      <c r="O2" s="21" t="s">
        <v>33</v>
      </c>
      <c r="P2" s="21" t="s">
        <v>34</v>
      </c>
      <c r="Q2" s="21" t="s">
        <v>35</v>
      </c>
      <c r="R2" s="21" t="s">
        <v>36</v>
      </c>
      <c r="S2" s="21" t="s">
        <v>37</v>
      </c>
      <c r="T2" s="21" t="s">
        <v>38</v>
      </c>
      <c r="U2" s="22" t="s">
        <v>39</v>
      </c>
      <c r="V2" s="21" t="s">
        <v>40</v>
      </c>
      <c r="W2" s="22" t="s">
        <v>41</v>
      </c>
      <c r="X2" s="23" t="s">
        <v>42</v>
      </c>
      <c r="Y2" s="21" t="s">
        <v>43</v>
      </c>
      <c r="Z2" s="21" t="s">
        <v>2</v>
      </c>
      <c r="AA2" s="21" t="s">
        <v>44</v>
      </c>
      <c r="AB2" s="21" t="s">
        <v>45</v>
      </c>
      <c r="AC2" s="21" t="s">
        <v>46</v>
      </c>
      <c r="AD2" s="21" t="s">
        <v>47</v>
      </c>
      <c r="AE2" s="24" t="s">
        <v>48</v>
      </c>
      <c r="AF2" s="21" t="s">
        <v>49</v>
      </c>
      <c r="AG2" s="21" t="s">
        <v>50</v>
      </c>
      <c r="AH2" s="21" t="s">
        <v>51</v>
      </c>
      <c r="AI2" s="21" t="s">
        <v>52</v>
      </c>
      <c r="AJ2" s="21" t="s">
        <v>53</v>
      </c>
    </row>
    <row r="3" spans="1:36" hidden="1">
      <c r="A3" s="25"/>
      <c r="B3" s="26" t="s">
        <v>54</v>
      </c>
      <c r="C3" s="26"/>
      <c r="D3" s="26" t="s">
        <v>55</v>
      </c>
      <c r="E3" s="26"/>
      <c r="F3" s="27"/>
      <c r="G3" s="26" t="s">
        <v>55</v>
      </c>
      <c r="H3" s="26"/>
      <c r="I3" s="26"/>
      <c r="J3" s="26" t="s">
        <v>56</v>
      </c>
      <c r="K3" s="26" t="s">
        <v>56</v>
      </c>
      <c r="L3" s="26" t="s">
        <v>56</v>
      </c>
      <c r="M3" s="26" t="s">
        <v>56</v>
      </c>
      <c r="N3" s="26" t="s">
        <v>56</v>
      </c>
      <c r="O3" s="26" t="s">
        <v>56</v>
      </c>
      <c r="P3" s="26" t="s">
        <v>56</v>
      </c>
      <c r="Q3" s="26" t="s">
        <v>56</v>
      </c>
      <c r="R3" s="26" t="s">
        <v>56</v>
      </c>
      <c r="S3" s="26" t="s">
        <v>56</v>
      </c>
      <c r="T3" s="26"/>
      <c r="U3" s="26" t="s">
        <v>57</v>
      </c>
      <c r="V3" s="26" t="s">
        <v>58</v>
      </c>
      <c r="W3" s="26"/>
      <c r="X3" s="28"/>
      <c r="Y3" s="26"/>
      <c r="Z3" s="26"/>
      <c r="AA3" s="26"/>
      <c r="AB3" s="26"/>
      <c r="AC3" s="26"/>
      <c r="AD3" s="26"/>
      <c r="AE3" s="26"/>
      <c r="AF3" s="26" t="s">
        <v>59</v>
      </c>
      <c r="AG3" s="26" t="s">
        <v>60</v>
      </c>
      <c r="AH3" s="26" t="s">
        <v>60</v>
      </c>
      <c r="AI3" s="26" t="s">
        <v>60</v>
      </c>
      <c r="AJ3" s="26"/>
    </row>
    <row r="4" spans="1:36">
      <c r="A4" s="25" t="str">
        <f t="shared" ref="A4:A35" si="0">"VSG"&amp;TEXT(I4,"00")&amp;"C-23"&amp;TEXT(F4,"000")&amp;Z4&amp;"2."&amp;TEXT(RIGHT(C4),"00")</f>
        <v>VSG01C-23039A2.01</v>
      </c>
      <c r="B4" s="26">
        <v>100</v>
      </c>
      <c r="C4" s="26">
        <v>1</v>
      </c>
      <c r="D4" s="26" t="s">
        <v>61</v>
      </c>
      <c r="E4" s="29">
        <v>44965</v>
      </c>
      <c r="F4" s="30">
        <f t="shared" ref="F4:F35" si="1">E4-DATE(YEAR(E4),1,0)</f>
        <v>39</v>
      </c>
      <c r="G4" s="26" t="s">
        <v>62</v>
      </c>
      <c r="H4" s="26" t="s">
        <v>63</v>
      </c>
      <c r="I4" s="26">
        <f t="shared" ref="I4:I23" si="2">IF(B4=100,1,(IF(B4=600,2,3)))</f>
        <v>1</v>
      </c>
      <c r="J4" s="31"/>
      <c r="K4" s="26"/>
      <c r="L4" s="26"/>
      <c r="M4" s="26"/>
      <c r="N4" s="26"/>
      <c r="O4" s="26"/>
      <c r="P4" s="26"/>
      <c r="Q4" s="26"/>
      <c r="R4" s="26"/>
      <c r="S4" s="26"/>
      <c r="T4" s="26"/>
      <c r="U4" s="32">
        <v>0.42399999999999999</v>
      </c>
      <c r="V4" s="27"/>
      <c r="W4" s="27"/>
      <c r="X4" s="28"/>
      <c r="Y4" s="26" t="s">
        <v>8</v>
      </c>
      <c r="Z4" s="26" t="str">
        <f t="shared" ref="Z4:Z16" si="3">IF(Y4="Shule","A",)</f>
        <v>A</v>
      </c>
      <c r="AA4" s="26" t="s">
        <v>64</v>
      </c>
      <c r="AB4" s="26" t="s">
        <v>65</v>
      </c>
      <c r="AC4" s="26"/>
      <c r="AD4" s="26"/>
      <c r="AE4" s="26" t="s">
        <v>66</v>
      </c>
      <c r="AF4" s="26"/>
      <c r="AG4" s="26"/>
      <c r="AH4" s="26"/>
      <c r="AI4" s="26"/>
      <c r="AJ4" s="26"/>
    </row>
    <row r="5" spans="1:36">
      <c r="A5" s="25" t="str">
        <f t="shared" si="0"/>
        <v>VSG01C-23039A2.02</v>
      </c>
      <c r="B5" s="26">
        <v>100</v>
      </c>
      <c r="C5" s="26">
        <v>2</v>
      </c>
      <c r="D5" s="26" t="s">
        <v>61</v>
      </c>
      <c r="E5" s="29">
        <v>44965</v>
      </c>
      <c r="F5" s="30">
        <f t="shared" si="1"/>
        <v>39</v>
      </c>
      <c r="G5" s="26" t="s">
        <v>62</v>
      </c>
      <c r="H5" s="26" t="s">
        <v>63</v>
      </c>
      <c r="I5" s="26">
        <f t="shared" si="2"/>
        <v>1</v>
      </c>
      <c r="J5" s="31"/>
      <c r="K5" s="26"/>
      <c r="L5" s="26"/>
      <c r="M5" s="26"/>
      <c r="N5" s="26"/>
      <c r="O5" s="26"/>
      <c r="P5" s="26"/>
      <c r="Q5" s="26"/>
      <c r="R5" s="26"/>
      <c r="S5" s="26"/>
      <c r="T5" s="26"/>
      <c r="U5" s="32">
        <v>0.49399999999999999</v>
      </c>
      <c r="V5" s="27"/>
      <c r="W5" s="27"/>
      <c r="X5" s="28"/>
      <c r="Y5" s="26" t="s">
        <v>8</v>
      </c>
      <c r="Z5" s="26" t="str">
        <f t="shared" si="3"/>
        <v>A</v>
      </c>
      <c r="AA5" s="26" t="s">
        <v>67</v>
      </c>
      <c r="AB5" s="26" t="s">
        <v>68</v>
      </c>
      <c r="AC5" s="26"/>
      <c r="AD5" s="26"/>
      <c r="AE5" s="26"/>
      <c r="AF5" s="26"/>
      <c r="AG5" s="26"/>
      <c r="AH5" s="26"/>
      <c r="AI5" s="26"/>
      <c r="AJ5" s="26"/>
    </row>
    <row r="6" spans="1:36">
      <c r="A6" s="25" t="str">
        <f t="shared" si="0"/>
        <v>VSG01C-23044A2.01</v>
      </c>
      <c r="B6" s="26">
        <v>100</v>
      </c>
      <c r="C6" s="26">
        <v>1</v>
      </c>
      <c r="D6" s="26" t="s">
        <v>69</v>
      </c>
      <c r="E6" s="29">
        <v>44970</v>
      </c>
      <c r="F6" s="30">
        <f t="shared" si="1"/>
        <v>44</v>
      </c>
      <c r="G6" s="26" t="s">
        <v>70</v>
      </c>
      <c r="H6" s="26" t="s">
        <v>63</v>
      </c>
      <c r="I6" s="26">
        <f t="shared" si="2"/>
        <v>1</v>
      </c>
      <c r="J6" s="31"/>
      <c r="K6" s="26"/>
      <c r="L6" s="26"/>
      <c r="M6" s="26"/>
      <c r="N6" s="26"/>
      <c r="O6" s="26"/>
      <c r="P6" s="26"/>
      <c r="Q6" s="26"/>
      <c r="R6" s="26"/>
      <c r="S6" s="26"/>
      <c r="T6" s="26"/>
      <c r="U6" s="32"/>
      <c r="V6" s="27"/>
      <c r="W6" s="27"/>
      <c r="X6" s="28"/>
      <c r="Y6" s="26" t="s">
        <v>8</v>
      </c>
      <c r="Z6" s="26" t="str">
        <f t="shared" si="3"/>
        <v>A</v>
      </c>
      <c r="AA6" s="26" t="s">
        <v>67</v>
      </c>
      <c r="AB6" s="26" t="s">
        <v>68</v>
      </c>
      <c r="AC6" s="26"/>
      <c r="AD6" s="26"/>
      <c r="AE6" s="33" t="s">
        <v>71</v>
      </c>
      <c r="AF6" s="26"/>
      <c r="AG6" s="26"/>
      <c r="AH6" s="26"/>
      <c r="AI6" s="26"/>
      <c r="AJ6" s="26"/>
    </row>
    <row r="7" spans="1:36">
      <c r="A7" s="25" t="str">
        <f t="shared" si="0"/>
        <v>VSG01C-23044A2.02</v>
      </c>
      <c r="B7" s="26">
        <v>100</v>
      </c>
      <c r="C7" s="26">
        <v>2</v>
      </c>
      <c r="D7" s="26" t="s">
        <v>69</v>
      </c>
      <c r="E7" s="29">
        <v>44970</v>
      </c>
      <c r="F7" s="30">
        <f t="shared" si="1"/>
        <v>44</v>
      </c>
      <c r="G7" s="26" t="s">
        <v>70</v>
      </c>
      <c r="H7" s="26" t="s">
        <v>63</v>
      </c>
      <c r="I7" s="26">
        <f t="shared" si="2"/>
        <v>1</v>
      </c>
      <c r="J7" s="31"/>
      <c r="K7" s="26"/>
      <c r="L7" s="26"/>
      <c r="M7" s="26"/>
      <c r="N7" s="26"/>
      <c r="O7" s="26"/>
      <c r="P7" s="26"/>
      <c r="Q7" s="26"/>
      <c r="R7" s="26"/>
      <c r="S7" s="26"/>
      <c r="T7" s="26"/>
      <c r="U7" s="32"/>
      <c r="V7" s="27"/>
      <c r="W7" s="27"/>
      <c r="X7" s="28"/>
      <c r="Y7" s="26" t="s">
        <v>8</v>
      </c>
      <c r="Z7" s="26" t="str">
        <f t="shared" si="3"/>
        <v>A</v>
      </c>
      <c r="AA7" s="26" t="s">
        <v>67</v>
      </c>
      <c r="AB7" s="26" t="s">
        <v>68</v>
      </c>
      <c r="AC7" s="26"/>
      <c r="AD7" s="26"/>
      <c r="AE7" s="33"/>
      <c r="AF7" s="26"/>
      <c r="AG7" s="26"/>
      <c r="AH7" s="26"/>
      <c r="AI7" s="26"/>
      <c r="AJ7" s="26"/>
    </row>
    <row r="8" spans="1:36">
      <c r="A8" s="25" t="str">
        <f t="shared" si="0"/>
        <v>VSG01C-23044A2.03</v>
      </c>
      <c r="B8" s="26">
        <v>100</v>
      </c>
      <c r="C8" s="26">
        <v>3</v>
      </c>
      <c r="D8" s="26" t="s">
        <v>69</v>
      </c>
      <c r="E8" s="29">
        <v>44970</v>
      </c>
      <c r="F8" s="30">
        <f t="shared" si="1"/>
        <v>44</v>
      </c>
      <c r="G8" s="26" t="s">
        <v>70</v>
      </c>
      <c r="H8" s="26" t="s">
        <v>63</v>
      </c>
      <c r="I8" s="26">
        <f t="shared" si="2"/>
        <v>1</v>
      </c>
      <c r="J8" s="31"/>
      <c r="K8" s="26"/>
      <c r="L8" s="26"/>
      <c r="M8" s="26"/>
      <c r="N8" s="26"/>
      <c r="O8" s="26"/>
      <c r="P8" s="26"/>
      <c r="Q8" s="26"/>
      <c r="R8" s="26"/>
      <c r="S8" s="26"/>
      <c r="T8" s="26"/>
      <c r="U8" s="32"/>
      <c r="V8" s="27"/>
      <c r="W8" s="27"/>
      <c r="X8" s="28"/>
      <c r="Y8" s="26" t="s">
        <v>8</v>
      </c>
      <c r="Z8" s="26" t="str">
        <f t="shared" si="3"/>
        <v>A</v>
      </c>
      <c r="AA8" s="26" t="s">
        <v>72</v>
      </c>
      <c r="AB8" s="26" t="s">
        <v>73</v>
      </c>
      <c r="AC8" s="26"/>
      <c r="AD8" s="26"/>
      <c r="AE8" s="33"/>
      <c r="AF8" s="26"/>
      <c r="AG8" s="26"/>
      <c r="AH8" s="26"/>
      <c r="AI8" s="26"/>
      <c r="AJ8" s="26"/>
    </row>
    <row r="9" spans="1:36">
      <c r="A9" s="25" t="str">
        <f t="shared" si="0"/>
        <v>VSG01C-23047A2.01</v>
      </c>
      <c r="B9" s="26">
        <v>100</v>
      </c>
      <c r="C9" s="26">
        <v>1</v>
      </c>
      <c r="D9" s="26" t="s">
        <v>74</v>
      </c>
      <c r="E9" s="29">
        <v>44973</v>
      </c>
      <c r="F9" s="30">
        <f t="shared" si="1"/>
        <v>47</v>
      </c>
      <c r="G9" s="26" t="s">
        <v>75</v>
      </c>
      <c r="H9" s="26" t="s">
        <v>63</v>
      </c>
      <c r="I9" s="26">
        <f t="shared" si="2"/>
        <v>1</v>
      </c>
      <c r="J9" s="31"/>
      <c r="K9" s="26"/>
      <c r="L9" s="26"/>
      <c r="M9" s="26"/>
      <c r="N9" s="26"/>
      <c r="O9" s="26"/>
      <c r="P9" s="26"/>
      <c r="Q9" s="26"/>
      <c r="R9" s="26"/>
      <c r="S9" s="26"/>
      <c r="T9" s="26"/>
      <c r="U9" s="32">
        <v>0.20699999999999999</v>
      </c>
      <c r="V9" s="27"/>
      <c r="W9" s="27"/>
      <c r="X9" s="28"/>
      <c r="Y9" s="26" t="s">
        <v>8</v>
      </c>
      <c r="Z9" s="26" t="str">
        <f t="shared" si="3"/>
        <v>A</v>
      </c>
      <c r="AA9" s="26"/>
      <c r="AB9" s="26"/>
      <c r="AC9" s="26"/>
      <c r="AD9" s="26"/>
      <c r="AE9" s="26" t="s">
        <v>76</v>
      </c>
      <c r="AF9" s="26"/>
      <c r="AG9" s="26"/>
      <c r="AH9" s="26"/>
      <c r="AI9" s="26"/>
      <c r="AJ9" s="26"/>
    </row>
    <row r="10" spans="1:36">
      <c r="A10" s="25" t="str">
        <f t="shared" si="0"/>
        <v>VSG01C-23048A2.01</v>
      </c>
      <c r="B10" s="26">
        <v>100</v>
      </c>
      <c r="C10" s="26">
        <v>1</v>
      </c>
      <c r="D10" s="26" t="s">
        <v>77</v>
      </c>
      <c r="E10" s="29">
        <v>44974</v>
      </c>
      <c r="F10" s="30">
        <f t="shared" si="1"/>
        <v>48</v>
      </c>
      <c r="G10" s="26" t="s">
        <v>78</v>
      </c>
      <c r="H10" s="26" t="s">
        <v>63</v>
      </c>
      <c r="I10" s="26">
        <f t="shared" si="2"/>
        <v>1</v>
      </c>
      <c r="J10" s="3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32">
        <v>0.435</v>
      </c>
      <c r="V10" s="27"/>
      <c r="W10" s="27"/>
      <c r="X10" s="34" t="s">
        <v>79</v>
      </c>
      <c r="Y10" s="35" t="s">
        <v>8</v>
      </c>
      <c r="Z10" s="26" t="str">
        <f t="shared" si="3"/>
        <v>A</v>
      </c>
      <c r="AA10" s="35" t="s">
        <v>67</v>
      </c>
      <c r="AB10" s="26" t="s">
        <v>80</v>
      </c>
      <c r="AC10" s="26"/>
      <c r="AD10" s="26"/>
      <c r="AE10" s="26"/>
      <c r="AF10" s="26"/>
      <c r="AG10" s="26"/>
      <c r="AH10" s="26"/>
      <c r="AI10" s="26"/>
      <c r="AJ10" s="36">
        <v>0.31919999999999998</v>
      </c>
    </row>
    <row r="11" spans="1:36">
      <c r="A11" s="25" t="str">
        <f t="shared" si="0"/>
        <v>VSG01C-23048A2.02</v>
      </c>
      <c r="B11" s="26">
        <v>100</v>
      </c>
      <c r="C11" s="26">
        <v>2</v>
      </c>
      <c r="D11" s="26" t="s">
        <v>77</v>
      </c>
      <c r="E11" s="29">
        <v>44974</v>
      </c>
      <c r="F11" s="30">
        <f t="shared" si="1"/>
        <v>48</v>
      </c>
      <c r="G11" s="26" t="s">
        <v>78</v>
      </c>
      <c r="H11" s="26" t="s">
        <v>63</v>
      </c>
      <c r="I11" s="26">
        <f t="shared" si="2"/>
        <v>1</v>
      </c>
      <c r="J11" s="31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32">
        <v>0.38400000000000001</v>
      </c>
      <c r="V11" s="27"/>
      <c r="W11" s="27"/>
      <c r="X11" s="34"/>
      <c r="Y11" s="35" t="s">
        <v>8</v>
      </c>
      <c r="Z11" s="26" t="str">
        <f t="shared" si="3"/>
        <v>A</v>
      </c>
      <c r="AA11" s="35" t="s">
        <v>67</v>
      </c>
      <c r="AB11" s="26" t="s">
        <v>80</v>
      </c>
      <c r="AC11" s="26"/>
      <c r="AD11" s="26"/>
      <c r="AE11" s="26"/>
      <c r="AF11" s="26"/>
      <c r="AG11" s="26"/>
      <c r="AH11" s="26"/>
      <c r="AI11" s="26"/>
      <c r="AJ11" s="36"/>
    </row>
    <row r="12" spans="1:36">
      <c r="A12" s="25" t="str">
        <f t="shared" si="0"/>
        <v>VSG01C-23052A2.01</v>
      </c>
      <c r="B12" s="26">
        <v>100</v>
      </c>
      <c r="C12" s="26">
        <v>1</v>
      </c>
      <c r="D12" s="26" t="s">
        <v>81</v>
      </c>
      <c r="E12" s="29">
        <v>44978</v>
      </c>
      <c r="F12" s="30">
        <f t="shared" si="1"/>
        <v>52</v>
      </c>
      <c r="G12" s="26" t="s">
        <v>75</v>
      </c>
      <c r="H12" s="26" t="s">
        <v>63</v>
      </c>
      <c r="I12" s="26">
        <f t="shared" si="2"/>
        <v>1</v>
      </c>
      <c r="J12" s="31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32">
        <v>0.25</v>
      </c>
      <c r="V12" s="27"/>
      <c r="W12" s="27"/>
      <c r="X12" s="28" t="s">
        <v>82</v>
      </c>
      <c r="Y12" s="35" t="s">
        <v>8</v>
      </c>
      <c r="Z12" s="26" t="str">
        <f t="shared" si="3"/>
        <v>A</v>
      </c>
      <c r="AA12" s="26" t="s">
        <v>67</v>
      </c>
      <c r="AB12" s="26" t="s">
        <v>83</v>
      </c>
      <c r="AC12" s="26"/>
      <c r="AD12" s="26"/>
      <c r="AE12" s="26"/>
      <c r="AF12" s="26"/>
      <c r="AG12" s="26"/>
      <c r="AH12" s="26"/>
      <c r="AI12" s="26"/>
      <c r="AJ12" s="26"/>
    </row>
    <row r="13" spans="1:36">
      <c r="A13" s="25" t="str">
        <f t="shared" si="0"/>
        <v>VSG01C-23053A2.01</v>
      </c>
      <c r="B13" s="26">
        <v>100</v>
      </c>
      <c r="C13" s="26">
        <v>1</v>
      </c>
      <c r="D13" s="26" t="s">
        <v>84</v>
      </c>
      <c r="E13" s="29">
        <v>44979</v>
      </c>
      <c r="F13" s="30">
        <f t="shared" si="1"/>
        <v>53</v>
      </c>
      <c r="G13" s="26" t="s">
        <v>85</v>
      </c>
      <c r="H13" s="26" t="s">
        <v>63</v>
      </c>
      <c r="I13" s="26">
        <f t="shared" si="2"/>
        <v>1</v>
      </c>
      <c r="J13" s="31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32">
        <v>0.214</v>
      </c>
      <c r="V13" s="27"/>
      <c r="W13" s="27"/>
      <c r="X13" s="28" t="s">
        <v>86</v>
      </c>
      <c r="Y13" s="35" t="s">
        <v>8</v>
      </c>
      <c r="Z13" s="26" t="str">
        <f t="shared" si="3"/>
        <v>A</v>
      </c>
      <c r="AA13" s="26" t="s">
        <v>67</v>
      </c>
      <c r="AB13" s="26" t="s">
        <v>83</v>
      </c>
      <c r="AC13" s="26"/>
      <c r="AD13" s="26"/>
      <c r="AE13" s="26"/>
      <c r="AF13" s="26"/>
      <c r="AG13" s="26"/>
      <c r="AH13" s="26"/>
      <c r="AI13" s="26"/>
      <c r="AJ13" s="37">
        <v>0.65</v>
      </c>
    </row>
    <row r="14" spans="1:36">
      <c r="A14" s="25" t="str">
        <f t="shared" si="0"/>
        <v>VSG01C-23055A2.01</v>
      </c>
      <c r="B14" s="26">
        <v>100</v>
      </c>
      <c r="C14" s="26">
        <v>1</v>
      </c>
      <c r="D14" s="26" t="s">
        <v>87</v>
      </c>
      <c r="E14" s="29">
        <v>44981</v>
      </c>
      <c r="F14" s="30">
        <f t="shared" si="1"/>
        <v>55</v>
      </c>
      <c r="G14" s="26" t="s">
        <v>85</v>
      </c>
      <c r="H14" s="26" t="s">
        <v>63</v>
      </c>
      <c r="I14" s="26">
        <f t="shared" si="2"/>
        <v>1</v>
      </c>
      <c r="J14" s="3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32">
        <v>0.40699999999999997</v>
      </c>
      <c r="V14" s="27"/>
      <c r="W14" s="27"/>
      <c r="X14" s="28" t="s">
        <v>88</v>
      </c>
      <c r="Y14" s="35" t="s">
        <v>8</v>
      </c>
      <c r="Z14" s="26" t="str">
        <f t="shared" si="3"/>
        <v>A</v>
      </c>
      <c r="AA14" s="26" t="s">
        <v>67</v>
      </c>
      <c r="AB14" s="26" t="s">
        <v>80</v>
      </c>
      <c r="AC14" s="26"/>
      <c r="AD14" s="26"/>
      <c r="AE14" s="26"/>
      <c r="AF14" s="26"/>
      <c r="AG14" s="26"/>
      <c r="AH14" s="26"/>
      <c r="AI14" s="26"/>
      <c r="AJ14" s="26"/>
    </row>
    <row r="15" spans="1:36">
      <c r="A15" s="25" t="str">
        <f t="shared" si="0"/>
        <v>VSG01C-23055A2.02</v>
      </c>
      <c r="B15" s="26">
        <v>100</v>
      </c>
      <c r="C15" s="26">
        <v>2</v>
      </c>
      <c r="D15" s="26" t="s">
        <v>87</v>
      </c>
      <c r="E15" s="29">
        <v>44981</v>
      </c>
      <c r="F15" s="30">
        <f t="shared" si="1"/>
        <v>55</v>
      </c>
      <c r="G15" s="26" t="s">
        <v>85</v>
      </c>
      <c r="H15" s="26" t="s">
        <v>63</v>
      </c>
      <c r="I15" s="26">
        <f t="shared" si="2"/>
        <v>1</v>
      </c>
      <c r="J15" s="31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38" t="s">
        <v>89</v>
      </c>
      <c r="V15" s="39"/>
      <c r="W15" s="39"/>
      <c r="X15" s="28" t="s">
        <v>90</v>
      </c>
      <c r="Y15" s="35" t="s">
        <v>8</v>
      </c>
      <c r="Z15" s="26" t="str">
        <f t="shared" si="3"/>
        <v>A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spans="1:36">
      <c r="A16" s="25" t="str">
        <f t="shared" si="0"/>
        <v>VSG01C-23059A2.01</v>
      </c>
      <c r="B16" s="26">
        <v>100</v>
      </c>
      <c r="C16" s="26">
        <v>1</v>
      </c>
      <c r="D16" s="26" t="s">
        <v>91</v>
      </c>
      <c r="E16" s="29">
        <v>44985</v>
      </c>
      <c r="F16" s="30">
        <f t="shared" si="1"/>
        <v>59</v>
      </c>
      <c r="G16" s="26" t="s">
        <v>92</v>
      </c>
      <c r="H16" s="26" t="s">
        <v>63</v>
      </c>
      <c r="I16" s="26">
        <f t="shared" si="2"/>
        <v>1</v>
      </c>
      <c r="J16" s="3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32">
        <v>0.4</v>
      </c>
      <c r="V16" s="27"/>
      <c r="W16" s="27"/>
      <c r="X16" s="28" t="s">
        <v>93</v>
      </c>
      <c r="Y16" s="35" t="s">
        <v>8</v>
      </c>
      <c r="Z16" s="26" t="str">
        <f t="shared" si="3"/>
        <v>A</v>
      </c>
      <c r="AA16" s="26" t="s">
        <v>67</v>
      </c>
      <c r="AB16" s="26" t="s">
        <v>83</v>
      </c>
      <c r="AC16" s="26"/>
      <c r="AD16" s="26"/>
      <c r="AE16" s="26"/>
      <c r="AF16" s="27">
        <f>19.7771-18.0006</f>
        <v>1.7765000000000022</v>
      </c>
      <c r="AG16" s="27">
        <f>AF16*0.126*1000</f>
        <v>223.83900000000028</v>
      </c>
      <c r="AH16" s="27">
        <f>AF16*0.126/1.25*1000</f>
        <v>179.07120000000023</v>
      </c>
      <c r="AI16" s="26">
        <v>140.30000000000001</v>
      </c>
      <c r="AJ16" s="37">
        <f>AI16/AG16</f>
        <v>0.62678979087647746</v>
      </c>
    </row>
    <row r="17" spans="1:36" hidden="1">
      <c r="A17" s="25" t="str">
        <f t="shared" si="0"/>
        <v>VSG02C-23072A2.01</v>
      </c>
      <c r="B17" s="26">
        <v>600</v>
      </c>
      <c r="C17" s="26">
        <v>1</v>
      </c>
      <c r="D17" s="26" t="s">
        <v>94</v>
      </c>
      <c r="E17" s="29">
        <v>44998</v>
      </c>
      <c r="F17" s="30">
        <f t="shared" si="1"/>
        <v>72</v>
      </c>
      <c r="G17" s="26" t="s">
        <v>95</v>
      </c>
      <c r="H17" s="26" t="s">
        <v>63</v>
      </c>
      <c r="I17" s="26">
        <f t="shared" si="2"/>
        <v>2</v>
      </c>
      <c r="J17" s="31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32">
        <v>0.28000000000000003</v>
      </c>
      <c r="V17" s="27"/>
      <c r="W17" s="27"/>
      <c r="X17" s="28" t="s">
        <v>96</v>
      </c>
      <c r="Y17" s="35" t="s">
        <v>8</v>
      </c>
      <c r="Z17" s="26" t="s">
        <v>7</v>
      </c>
      <c r="AA17" s="26" t="s">
        <v>67</v>
      </c>
      <c r="AB17" s="26" t="s">
        <v>97</v>
      </c>
      <c r="AC17" s="26"/>
      <c r="AD17" s="29">
        <v>45069</v>
      </c>
      <c r="AE17" s="26" t="s">
        <v>98</v>
      </c>
      <c r="AF17" s="26">
        <v>4.95</v>
      </c>
      <c r="AG17" s="27">
        <f>AF17*(822+208.35)/(822+2409.7+4167)*1000</f>
        <v>689.34170867855175</v>
      </c>
      <c r="AH17" s="27">
        <f>AG17*822/(822+208.35)</f>
        <v>549.94796383148412</v>
      </c>
      <c r="AI17" s="26">
        <f>U17*B17</f>
        <v>168.00000000000003</v>
      </c>
      <c r="AJ17" s="37">
        <f>AI17/AH17</f>
        <v>0.30548344761483442</v>
      </c>
    </row>
    <row r="18" spans="1:36">
      <c r="A18" s="25" t="str">
        <f t="shared" si="0"/>
        <v>VSG01C-23086E2.01</v>
      </c>
      <c r="B18" s="26">
        <v>100</v>
      </c>
      <c r="C18" s="26">
        <v>1</v>
      </c>
      <c r="D18" s="26" t="s">
        <v>99</v>
      </c>
      <c r="E18" s="29">
        <v>45012</v>
      </c>
      <c r="F18" s="30">
        <f t="shared" si="1"/>
        <v>86</v>
      </c>
      <c r="G18" s="26" t="s">
        <v>100</v>
      </c>
      <c r="H18" s="26" t="s">
        <v>63</v>
      </c>
      <c r="I18" s="26">
        <f t="shared" si="2"/>
        <v>1</v>
      </c>
      <c r="J18" s="31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32">
        <v>0.17</v>
      </c>
      <c r="V18" s="27">
        <v>0.16</v>
      </c>
      <c r="W18" s="27"/>
      <c r="X18" s="28" t="s">
        <v>101</v>
      </c>
      <c r="Y18" s="35" t="s">
        <v>14</v>
      </c>
      <c r="Z18" s="26" t="s">
        <v>13</v>
      </c>
      <c r="AA18" s="26" t="s">
        <v>67</v>
      </c>
      <c r="AB18" s="26" t="s">
        <v>102</v>
      </c>
      <c r="AC18" s="26"/>
      <c r="AD18" s="26"/>
      <c r="AE18" s="26" t="s">
        <v>98</v>
      </c>
      <c r="AF18" s="26"/>
      <c r="AG18" s="27"/>
      <c r="AH18" s="27"/>
      <c r="AI18" s="26"/>
      <c r="AJ18" s="37"/>
    </row>
    <row r="19" spans="1:36">
      <c r="A19" s="25" t="str">
        <f t="shared" si="0"/>
        <v>VSG01C-23086E2.02</v>
      </c>
      <c r="B19" s="26">
        <v>100</v>
      </c>
      <c r="C19" s="26">
        <v>2</v>
      </c>
      <c r="D19" s="26" t="s">
        <v>99</v>
      </c>
      <c r="E19" s="29">
        <v>45012</v>
      </c>
      <c r="F19" s="30">
        <f t="shared" si="1"/>
        <v>86</v>
      </c>
      <c r="G19" s="26" t="s">
        <v>100</v>
      </c>
      <c r="H19" s="26" t="s">
        <v>63</v>
      </c>
      <c r="I19" s="26">
        <f t="shared" si="2"/>
        <v>1</v>
      </c>
      <c r="J19" s="31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32">
        <v>0.17</v>
      </c>
      <c r="V19" s="27">
        <v>0.16</v>
      </c>
      <c r="W19" s="27"/>
      <c r="X19" s="28" t="s">
        <v>101</v>
      </c>
      <c r="Y19" s="35" t="s">
        <v>14</v>
      </c>
      <c r="Z19" s="26" t="s">
        <v>13</v>
      </c>
      <c r="AA19" s="26" t="s">
        <v>67</v>
      </c>
      <c r="AB19" s="26" t="s">
        <v>102</v>
      </c>
      <c r="AC19" s="26"/>
      <c r="AD19" s="26"/>
      <c r="AE19" s="26"/>
      <c r="AF19" s="26"/>
      <c r="AG19" s="27"/>
      <c r="AH19" s="27"/>
      <c r="AI19" s="26"/>
      <c r="AJ19" s="37"/>
    </row>
    <row r="20" spans="1:36">
      <c r="A20" s="25" t="str">
        <f t="shared" si="0"/>
        <v>VSG01C-23086E2.03</v>
      </c>
      <c r="B20" s="26">
        <v>100</v>
      </c>
      <c r="C20" s="26">
        <v>3</v>
      </c>
      <c r="D20" s="26" t="s">
        <v>99</v>
      </c>
      <c r="E20" s="29">
        <v>45012</v>
      </c>
      <c r="F20" s="30">
        <f t="shared" si="1"/>
        <v>86</v>
      </c>
      <c r="G20" s="26" t="s">
        <v>100</v>
      </c>
      <c r="H20" s="26" t="s">
        <v>63</v>
      </c>
      <c r="I20" s="26">
        <f t="shared" si="2"/>
        <v>1</v>
      </c>
      <c r="J20" s="31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32">
        <v>0.17</v>
      </c>
      <c r="V20" s="27">
        <v>0.16</v>
      </c>
      <c r="W20" s="27"/>
      <c r="X20" s="28" t="s">
        <v>101</v>
      </c>
      <c r="Y20" s="35" t="s">
        <v>14</v>
      </c>
      <c r="Z20" s="26" t="s">
        <v>13</v>
      </c>
      <c r="AA20" s="26" t="s">
        <v>67</v>
      </c>
      <c r="AB20" s="26" t="s">
        <v>102</v>
      </c>
      <c r="AC20" s="26"/>
      <c r="AD20" s="26"/>
      <c r="AE20" s="26"/>
      <c r="AF20" s="26"/>
      <c r="AG20" s="27"/>
      <c r="AH20" s="27"/>
      <c r="AI20" s="26"/>
      <c r="AJ20" s="37"/>
    </row>
    <row r="21" spans="1:36">
      <c r="A21" s="25" t="str">
        <f t="shared" si="0"/>
        <v>VSG01C-23086E2.04</v>
      </c>
      <c r="B21" s="26">
        <v>100</v>
      </c>
      <c r="C21" s="26">
        <v>4</v>
      </c>
      <c r="D21" s="26" t="s">
        <v>99</v>
      </c>
      <c r="E21" s="29">
        <v>45012</v>
      </c>
      <c r="F21" s="30">
        <f t="shared" si="1"/>
        <v>86</v>
      </c>
      <c r="G21" s="26" t="s">
        <v>100</v>
      </c>
      <c r="H21" s="26" t="s">
        <v>63</v>
      </c>
      <c r="I21" s="26">
        <f t="shared" si="2"/>
        <v>1</v>
      </c>
      <c r="J21" s="40">
        <f>AVERAGE(L21:S21)</f>
        <v>181.75</v>
      </c>
      <c r="K21" s="41">
        <f>STDEV(L21:S21)</f>
        <v>6.181770435262516</v>
      </c>
      <c r="L21" s="26">
        <v>175</v>
      </c>
      <c r="M21" s="26">
        <v>178</v>
      </c>
      <c r="N21" s="26">
        <v>179</v>
      </c>
      <c r="O21" s="26">
        <v>175</v>
      </c>
      <c r="P21" s="26">
        <v>192</v>
      </c>
      <c r="Q21" s="26">
        <v>188</v>
      </c>
      <c r="R21" s="26">
        <v>185</v>
      </c>
      <c r="S21" s="26">
        <v>182</v>
      </c>
      <c r="T21" s="26"/>
      <c r="U21" s="32">
        <v>0.17</v>
      </c>
      <c r="V21" s="27">
        <v>0.16</v>
      </c>
      <c r="W21" s="27"/>
      <c r="X21" s="28" t="s">
        <v>101</v>
      </c>
      <c r="Y21" s="35" t="s">
        <v>14</v>
      </c>
      <c r="Z21" s="26" t="s">
        <v>13</v>
      </c>
      <c r="AA21" s="26" t="s">
        <v>103</v>
      </c>
      <c r="AB21" s="26" t="s">
        <v>104</v>
      </c>
      <c r="AC21" s="26" t="s">
        <v>105</v>
      </c>
      <c r="AD21" s="26"/>
      <c r="AE21" s="26"/>
      <c r="AF21" s="26"/>
      <c r="AG21" s="27"/>
      <c r="AH21" s="27"/>
      <c r="AI21" s="26"/>
      <c r="AJ21" s="37"/>
    </row>
    <row r="22" spans="1:36">
      <c r="A22" s="25" t="str">
        <f t="shared" si="0"/>
        <v>VSG01C-23086E2.05</v>
      </c>
      <c r="B22" s="26">
        <v>100</v>
      </c>
      <c r="C22" s="26">
        <v>5</v>
      </c>
      <c r="D22" s="26" t="s">
        <v>99</v>
      </c>
      <c r="E22" s="29">
        <v>45012</v>
      </c>
      <c r="F22" s="30">
        <f t="shared" si="1"/>
        <v>86</v>
      </c>
      <c r="G22" s="26" t="s">
        <v>100</v>
      </c>
      <c r="H22" s="26" t="s">
        <v>63</v>
      </c>
      <c r="I22" s="26">
        <f t="shared" si="2"/>
        <v>1</v>
      </c>
      <c r="J22" s="40">
        <f>AVERAGE(L22:S22)</f>
        <v>178.375</v>
      </c>
      <c r="K22" s="41">
        <f>STDEV(L22:S22)</f>
        <v>5.6045262320480118</v>
      </c>
      <c r="L22" s="26">
        <v>185</v>
      </c>
      <c r="M22" s="26">
        <v>179</v>
      </c>
      <c r="N22" s="26">
        <v>175</v>
      </c>
      <c r="O22" s="26">
        <v>170</v>
      </c>
      <c r="P22" s="26">
        <v>172</v>
      </c>
      <c r="Q22" s="26">
        <v>183</v>
      </c>
      <c r="R22" s="26">
        <v>184</v>
      </c>
      <c r="S22" s="26">
        <v>179</v>
      </c>
      <c r="T22" s="26"/>
      <c r="U22" s="32">
        <v>0.17</v>
      </c>
      <c r="V22" s="27">
        <v>0.16</v>
      </c>
      <c r="W22" s="27"/>
      <c r="X22" s="28" t="s">
        <v>101</v>
      </c>
      <c r="Y22" s="35" t="s">
        <v>14</v>
      </c>
      <c r="Z22" s="26" t="s">
        <v>13</v>
      </c>
      <c r="AA22" s="26" t="s">
        <v>103</v>
      </c>
      <c r="AB22" s="26" t="s">
        <v>104</v>
      </c>
      <c r="AC22" s="26" t="s">
        <v>106</v>
      </c>
      <c r="AD22" s="26"/>
      <c r="AE22" s="26"/>
      <c r="AF22" s="26"/>
      <c r="AG22" s="27"/>
      <c r="AH22" s="27"/>
      <c r="AI22" s="26"/>
      <c r="AJ22" s="37"/>
    </row>
    <row r="23" spans="1:36">
      <c r="A23" s="25" t="str">
        <f t="shared" si="0"/>
        <v>VSG01C-23090E2.01</v>
      </c>
      <c r="B23" s="26">
        <v>100</v>
      </c>
      <c r="C23" s="26">
        <v>1</v>
      </c>
      <c r="D23" s="26" t="s">
        <v>107</v>
      </c>
      <c r="E23" s="29">
        <v>45016</v>
      </c>
      <c r="F23" s="30">
        <f t="shared" si="1"/>
        <v>90</v>
      </c>
      <c r="G23" s="26" t="s">
        <v>95</v>
      </c>
      <c r="H23" s="26" t="s">
        <v>63</v>
      </c>
      <c r="I23" s="26">
        <f t="shared" si="2"/>
        <v>1</v>
      </c>
      <c r="J23" s="40">
        <v>179</v>
      </c>
      <c r="K23" s="41"/>
      <c r="L23" s="26"/>
      <c r="M23" s="26"/>
      <c r="N23" s="26"/>
      <c r="O23" s="26"/>
      <c r="P23" s="26"/>
      <c r="Q23" s="26"/>
      <c r="R23" s="26"/>
      <c r="S23" s="26"/>
      <c r="T23" s="26"/>
      <c r="U23" s="32">
        <v>0.23400000000000001</v>
      </c>
      <c r="V23" s="27">
        <v>0.156</v>
      </c>
      <c r="W23" s="27"/>
      <c r="X23" s="28" t="s">
        <v>108</v>
      </c>
      <c r="Y23" s="35" t="s">
        <v>14</v>
      </c>
      <c r="Z23" s="26" t="s">
        <v>13</v>
      </c>
      <c r="AA23" s="26" t="s">
        <v>67</v>
      </c>
      <c r="AB23" s="26" t="s">
        <v>109</v>
      </c>
      <c r="AC23" s="26"/>
      <c r="AD23" s="26"/>
      <c r="AE23" s="26" t="s">
        <v>98</v>
      </c>
      <c r="AF23" s="26"/>
      <c r="AG23" s="27"/>
      <c r="AH23" s="27"/>
      <c r="AI23" s="26"/>
      <c r="AJ23" s="37"/>
    </row>
    <row r="24" spans="1:36">
      <c r="A24" s="25" t="str">
        <f t="shared" si="0"/>
        <v>VSG01C-23090E2.02</v>
      </c>
      <c r="B24" s="26">
        <v>100</v>
      </c>
      <c r="C24" s="26">
        <v>2</v>
      </c>
      <c r="D24" s="26" t="s">
        <v>107</v>
      </c>
      <c r="E24" s="29">
        <v>45016</v>
      </c>
      <c r="F24" s="30">
        <f t="shared" si="1"/>
        <v>90</v>
      </c>
      <c r="G24" s="26" t="s">
        <v>95</v>
      </c>
      <c r="H24" s="26" t="s">
        <v>63</v>
      </c>
      <c r="I24" s="26">
        <f>IF(B24=100,1,2)</f>
        <v>1</v>
      </c>
      <c r="J24" s="40">
        <v>177</v>
      </c>
      <c r="K24" s="41"/>
      <c r="L24" s="26"/>
      <c r="M24" s="26"/>
      <c r="N24" s="26"/>
      <c r="O24" s="26"/>
      <c r="P24" s="26"/>
      <c r="Q24" s="26"/>
      <c r="R24" s="26"/>
      <c r="S24" s="26"/>
      <c r="T24" s="26"/>
      <c r="U24" s="32">
        <v>0.23400000000000001</v>
      </c>
      <c r="V24" s="27">
        <v>0.156</v>
      </c>
      <c r="W24" s="27"/>
      <c r="X24" s="28" t="s">
        <v>108</v>
      </c>
      <c r="Y24" s="35" t="s">
        <v>14</v>
      </c>
      <c r="Z24" s="26" t="s">
        <v>13</v>
      </c>
      <c r="AA24" s="26" t="s">
        <v>67</v>
      </c>
      <c r="AB24" s="26" t="s">
        <v>109</v>
      </c>
      <c r="AC24" s="26"/>
      <c r="AD24" s="26"/>
      <c r="AE24" s="26"/>
      <c r="AF24" s="26"/>
      <c r="AG24" s="27"/>
      <c r="AH24" s="27"/>
      <c r="AI24" s="26"/>
      <c r="AJ24" s="37"/>
    </row>
    <row r="25" spans="1:36">
      <c r="A25" s="25" t="str">
        <f t="shared" si="0"/>
        <v>VSG01C-23090E2.03</v>
      </c>
      <c r="B25" s="26">
        <v>100</v>
      </c>
      <c r="C25" s="26">
        <v>3</v>
      </c>
      <c r="D25" s="26" t="s">
        <v>107</v>
      </c>
      <c r="E25" s="29">
        <v>45016</v>
      </c>
      <c r="F25" s="30">
        <f t="shared" si="1"/>
        <v>90</v>
      </c>
      <c r="G25" s="26" t="s">
        <v>95</v>
      </c>
      <c r="H25" s="26" t="s">
        <v>63</v>
      </c>
      <c r="I25" s="26">
        <f>IF(B25=100,1,2)</f>
        <v>1</v>
      </c>
      <c r="J25" s="40">
        <v>180</v>
      </c>
      <c r="K25" s="41"/>
      <c r="L25" s="26"/>
      <c r="M25" s="26"/>
      <c r="N25" s="26"/>
      <c r="O25" s="26"/>
      <c r="P25" s="26"/>
      <c r="Q25" s="26"/>
      <c r="R25" s="26"/>
      <c r="S25" s="26"/>
      <c r="T25" s="26"/>
      <c r="U25" s="32">
        <v>0.23400000000000001</v>
      </c>
      <c r="V25" s="27">
        <v>0.156</v>
      </c>
      <c r="W25" s="27"/>
      <c r="X25" s="28" t="s">
        <v>108</v>
      </c>
      <c r="Y25" s="35" t="s">
        <v>14</v>
      </c>
      <c r="Z25" s="26" t="s">
        <v>13</v>
      </c>
      <c r="AA25" s="26" t="s">
        <v>67</v>
      </c>
      <c r="AB25" s="26" t="s">
        <v>109</v>
      </c>
      <c r="AC25" s="26"/>
      <c r="AD25" s="26"/>
      <c r="AE25" s="26"/>
      <c r="AF25" s="26"/>
      <c r="AG25" s="27"/>
      <c r="AH25" s="27"/>
      <c r="AI25" s="26"/>
      <c r="AJ25" s="37"/>
    </row>
    <row r="26" spans="1:36">
      <c r="A26" s="25" t="str">
        <f t="shared" si="0"/>
        <v>VSG01C-23090E2.04</v>
      </c>
      <c r="B26" s="26">
        <v>100</v>
      </c>
      <c r="C26" s="26">
        <v>4</v>
      </c>
      <c r="D26" s="26" t="s">
        <v>107</v>
      </c>
      <c r="E26" s="29">
        <v>45016</v>
      </c>
      <c r="F26" s="30">
        <f t="shared" si="1"/>
        <v>90</v>
      </c>
      <c r="G26" s="26" t="s">
        <v>95</v>
      </c>
      <c r="H26" s="26" t="s">
        <v>63</v>
      </c>
      <c r="I26" s="26">
        <f>IF(B26=100,1,2)</f>
        <v>1</v>
      </c>
      <c r="J26" s="40">
        <v>181</v>
      </c>
      <c r="K26" s="41"/>
      <c r="L26" s="26"/>
      <c r="M26" s="26"/>
      <c r="N26" s="26"/>
      <c r="O26" s="26"/>
      <c r="P26" s="26"/>
      <c r="Q26" s="26"/>
      <c r="R26" s="26"/>
      <c r="S26" s="26"/>
      <c r="T26" s="26"/>
      <c r="U26" s="32">
        <v>0.23400000000000001</v>
      </c>
      <c r="V26" s="27">
        <v>0.156</v>
      </c>
      <c r="W26" s="27"/>
      <c r="X26" s="28" t="s">
        <v>108</v>
      </c>
      <c r="Y26" s="35" t="s">
        <v>14</v>
      </c>
      <c r="Z26" s="26" t="s">
        <v>13</v>
      </c>
      <c r="AA26" s="26" t="s">
        <v>103</v>
      </c>
      <c r="AB26" s="26" t="s">
        <v>110</v>
      </c>
      <c r="AC26" s="26" t="s">
        <v>111</v>
      </c>
      <c r="AD26" s="26"/>
      <c r="AE26" s="26"/>
      <c r="AF26" s="26"/>
      <c r="AG26" s="27"/>
      <c r="AH26" s="27"/>
      <c r="AI26" s="26"/>
      <c r="AJ26" s="37"/>
    </row>
    <row r="27" spans="1:36">
      <c r="A27" s="25" t="str">
        <f t="shared" si="0"/>
        <v>VSG01C-23090E2.05</v>
      </c>
      <c r="B27" s="26">
        <v>100</v>
      </c>
      <c r="C27" s="26">
        <v>5</v>
      </c>
      <c r="D27" s="26" t="s">
        <v>107</v>
      </c>
      <c r="E27" s="29">
        <v>45016</v>
      </c>
      <c r="F27" s="30">
        <f t="shared" si="1"/>
        <v>90</v>
      </c>
      <c r="G27" s="26" t="s">
        <v>95</v>
      </c>
      <c r="H27" s="26" t="s">
        <v>63</v>
      </c>
      <c r="I27" s="26">
        <f>IF(B27=100,1,2)</f>
        <v>1</v>
      </c>
      <c r="J27" s="40">
        <v>179</v>
      </c>
      <c r="K27" s="41"/>
      <c r="L27" s="26"/>
      <c r="M27" s="26"/>
      <c r="N27" s="26"/>
      <c r="O27" s="26"/>
      <c r="P27" s="26"/>
      <c r="Q27" s="26"/>
      <c r="R27" s="26"/>
      <c r="S27" s="26"/>
      <c r="T27" s="26"/>
      <c r="U27" s="32">
        <v>0.23400000000000001</v>
      </c>
      <c r="V27" s="27">
        <v>0.156</v>
      </c>
      <c r="W27" s="27"/>
      <c r="X27" s="28" t="s">
        <v>108</v>
      </c>
      <c r="Y27" s="35" t="s">
        <v>14</v>
      </c>
      <c r="Z27" s="26" t="s">
        <v>13</v>
      </c>
      <c r="AA27" s="26" t="s">
        <v>103</v>
      </c>
      <c r="AB27" s="26" t="s">
        <v>110</v>
      </c>
      <c r="AC27" s="26" t="s">
        <v>105</v>
      </c>
      <c r="AD27" s="26"/>
      <c r="AE27" s="26"/>
      <c r="AF27" s="26"/>
      <c r="AG27" s="27"/>
      <c r="AH27" s="27"/>
      <c r="AI27" s="26"/>
      <c r="AJ27" s="37"/>
    </row>
    <row r="28" spans="1:36">
      <c r="A28" s="25" t="str">
        <f t="shared" si="0"/>
        <v>VSG01C-23090E2.06</v>
      </c>
      <c r="B28" s="26">
        <v>100</v>
      </c>
      <c r="C28" s="26">
        <v>6</v>
      </c>
      <c r="D28" s="26" t="s">
        <v>107</v>
      </c>
      <c r="E28" s="29">
        <v>45016</v>
      </c>
      <c r="F28" s="30">
        <f t="shared" si="1"/>
        <v>90</v>
      </c>
      <c r="G28" s="26" t="s">
        <v>95</v>
      </c>
      <c r="H28" s="26" t="s">
        <v>63</v>
      </c>
      <c r="I28" s="26">
        <f>IF(B28=100,1,2)</f>
        <v>1</v>
      </c>
      <c r="J28" s="40">
        <f>AVERAGE(L28:S28)</f>
        <v>187</v>
      </c>
      <c r="K28" s="41">
        <f>STDEV(L28:S28)</f>
        <v>2.3299294900428702</v>
      </c>
      <c r="L28" s="26">
        <v>184</v>
      </c>
      <c r="M28" s="26">
        <v>186</v>
      </c>
      <c r="N28" s="26">
        <v>186</v>
      </c>
      <c r="O28" s="26">
        <v>186</v>
      </c>
      <c r="P28" s="26">
        <v>188</v>
      </c>
      <c r="Q28" s="26">
        <v>192</v>
      </c>
      <c r="R28" s="26">
        <v>187</v>
      </c>
      <c r="S28" s="26">
        <v>187</v>
      </c>
      <c r="T28" s="26"/>
      <c r="U28" s="32">
        <v>0.23400000000000001</v>
      </c>
      <c r="V28" s="27">
        <v>0.157</v>
      </c>
      <c r="W28" s="27"/>
      <c r="X28" s="28" t="s">
        <v>108</v>
      </c>
      <c r="Y28" s="35" t="s">
        <v>14</v>
      </c>
      <c r="Z28" s="26" t="s">
        <v>13</v>
      </c>
      <c r="AA28" s="26" t="s">
        <v>72</v>
      </c>
      <c r="AB28" s="26" t="s">
        <v>73</v>
      </c>
      <c r="AC28" s="26"/>
      <c r="AD28" s="26"/>
      <c r="AE28" s="26"/>
      <c r="AF28" s="26"/>
      <c r="AG28" s="27"/>
      <c r="AH28" s="27"/>
      <c r="AI28" s="26"/>
      <c r="AJ28" s="37"/>
    </row>
    <row r="29" spans="1:36">
      <c r="A29" s="25" t="str">
        <f t="shared" si="0"/>
        <v>VSG01C-23095E2.01</v>
      </c>
      <c r="B29" s="26">
        <v>100</v>
      </c>
      <c r="C29" s="26">
        <v>1</v>
      </c>
      <c r="D29" s="26" t="s">
        <v>112</v>
      </c>
      <c r="E29" s="29">
        <v>45021</v>
      </c>
      <c r="F29" s="30">
        <f t="shared" si="1"/>
        <v>95</v>
      </c>
      <c r="G29" s="26" t="s">
        <v>113</v>
      </c>
      <c r="H29" s="26" t="s">
        <v>63</v>
      </c>
      <c r="I29" s="26">
        <f t="shared" ref="I29:I34" si="4">IF(B29=100,1,(IF(B29=600,2,3)))</f>
        <v>1</v>
      </c>
      <c r="J29" s="40">
        <f>AVERAGE(L29:S29)</f>
        <v>175.375</v>
      </c>
      <c r="K29" s="41">
        <f>STDEV(L29:S29)</f>
        <v>3.0207614933986431</v>
      </c>
      <c r="L29" s="26">
        <v>176</v>
      </c>
      <c r="M29" s="26">
        <v>172</v>
      </c>
      <c r="N29" s="26">
        <v>175</v>
      </c>
      <c r="O29" s="26">
        <v>182</v>
      </c>
      <c r="P29" s="26">
        <v>176</v>
      </c>
      <c r="Q29" s="26">
        <v>174</v>
      </c>
      <c r="R29" s="26">
        <v>173</v>
      </c>
      <c r="S29" s="26">
        <v>175</v>
      </c>
      <c r="T29" s="26"/>
      <c r="U29" s="32">
        <v>0.19800000000000001</v>
      </c>
      <c r="V29" s="27">
        <v>0.24199999999999999</v>
      </c>
      <c r="W29" s="27"/>
      <c r="X29" s="28" t="s">
        <v>114</v>
      </c>
      <c r="Y29" s="35" t="s">
        <v>14</v>
      </c>
      <c r="Z29" s="26" t="s">
        <v>13</v>
      </c>
      <c r="AA29" s="26" t="s">
        <v>103</v>
      </c>
      <c r="AB29" s="26" t="s">
        <v>115</v>
      </c>
      <c r="AC29" s="26" t="s">
        <v>106</v>
      </c>
      <c r="AD29" s="26"/>
      <c r="AE29" s="26" t="s">
        <v>98</v>
      </c>
      <c r="AF29" s="26"/>
      <c r="AG29" s="27"/>
      <c r="AH29" s="27"/>
      <c r="AI29" s="26"/>
      <c r="AJ29" s="37"/>
    </row>
    <row r="30" spans="1:36" ht="15" customHeight="1">
      <c r="A30" s="25" t="str">
        <f t="shared" si="0"/>
        <v>VSG01C-23095E2.02</v>
      </c>
      <c r="B30" s="26">
        <v>100</v>
      </c>
      <c r="C30" s="26">
        <v>2</v>
      </c>
      <c r="D30" s="26" t="s">
        <v>112</v>
      </c>
      <c r="E30" s="29">
        <v>45021</v>
      </c>
      <c r="F30" s="30">
        <f t="shared" si="1"/>
        <v>95</v>
      </c>
      <c r="G30" s="26" t="s">
        <v>113</v>
      </c>
      <c r="H30" s="26" t="s">
        <v>63</v>
      </c>
      <c r="I30" s="26">
        <f t="shared" si="4"/>
        <v>1</v>
      </c>
      <c r="J30" s="40">
        <v>175</v>
      </c>
      <c r="K30" s="41"/>
      <c r="L30" s="26"/>
      <c r="M30" s="26"/>
      <c r="N30" s="26"/>
      <c r="O30" s="26"/>
      <c r="P30" s="26"/>
      <c r="Q30" s="26"/>
      <c r="R30" s="26"/>
      <c r="S30" s="26"/>
      <c r="T30" s="26"/>
      <c r="U30" s="32">
        <v>0.23200000000000001</v>
      </c>
      <c r="V30" s="27">
        <v>0.25800000000000001</v>
      </c>
      <c r="W30" s="27"/>
      <c r="X30" s="28" t="s">
        <v>114</v>
      </c>
      <c r="Y30" s="35" t="s">
        <v>14</v>
      </c>
      <c r="Z30" s="26" t="s">
        <v>13</v>
      </c>
      <c r="AA30" s="26" t="s">
        <v>103</v>
      </c>
      <c r="AB30" s="26" t="s">
        <v>110</v>
      </c>
      <c r="AC30" s="26" t="s">
        <v>106</v>
      </c>
      <c r="AD30" s="26"/>
      <c r="AE30" s="26"/>
      <c r="AF30" s="26"/>
      <c r="AG30" s="27"/>
      <c r="AH30" s="27"/>
      <c r="AI30" s="26"/>
      <c r="AJ30" s="37"/>
    </row>
    <row r="31" spans="1:36" ht="15" customHeight="1">
      <c r="A31" s="25" t="str">
        <f t="shared" si="0"/>
        <v>VSG01C-23095E2.03</v>
      </c>
      <c r="B31" s="26">
        <v>100</v>
      </c>
      <c r="C31" s="26">
        <v>3</v>
      </c>
      <c r="D31" s="26" t="s">
        <v>112</v>
      </c>
      <c r="E31" s="29">
        <v>45021</v>
      </c>
      <c r="F31" s="30">
        <f t="shared" si="1"/>
        <v>95</v>
      </c>
      <c r="G31" s="26" t="s">
        <v>113</v>
      </c>
      <c r="H31" s="26" t="s">
        <v>63</v>
      </c>
      <c r="I31" s="26">
        <f t="shared" si="4"/>
        <v>1</v>
      </c>
      <c r="J31" s="40"/>
      <c r="K31" s="41"/>
      <c r="L31" s="26"/>
      <c r="M31" s="26"/>
      <c r="N31" s="26"/>
      <c r="O31" s="26"/>
      <c r="P31" s="26"/>
      <c r="Q31" s="26"/>
      <c r="R31" s="26"/>
      <c r="S31" s="26"/>
      <c r="T31" s="26"/>
      <c r="U31" s="32">
        <v>0.23200000000000001</v>
      </c>
      <c r="V31" s="27">
        <v>0.245</v>
      </c>
      <c r="W31" s="27"/>
      <c r="X31" s="28" t="s">
        <v>114</v>
      </c>
      <c r="Y31" s="35" t="s">
        <v>14</v>
      </c>
      <c r="Z31" s="26" t="s">
        <v>13</v>
      </c>
      <c r="AA31" s="26" t="s">
        <v>116</v>
      </c>
      <c r="AB31" s="26"/>
      <c r="AC31" s="26"/>
      <c r="AD31" s="26"/>
      <c r="AE31" s="26" t="s">
        <v>117</v>
      </c>
      <c r="AF31" s="26"/>
      <c r="AG31" s="27"/>
      <c r="AH31" s="27"/>
      <c r="AI31" s="26"/>
      <c r="AJ31" s="37"/>
    </row>
    <row r="32" spans="1:36" ht="15" customHeight="1">
      <c r="A32" s="25" t="str">
        <f t="shared" si="0"/>
        <v>VSG01C-23095E2.04</v>
      </c>
      <c r="B32" s="26">
        <v>100</v>
      </c>
      <c r="C32" s="26">
        <v>4</v>
      </c>
      <c r="D32" s="26" t="s">
        <v>112</v>
      </c>
      <c r="E32" s="29">
        <v>45021</v>
      </c>
      <c r="F32" s="30">
        <f t="shared" si="1"/>
        <v>95</v>
      </c>
      <c r="G32" s="26" t="s">
        <v>113</v>
      </c>
      <c r="H32" s="26" t="s">
        <v>63</v>
      </c>
      <c r="I32" s="26">
        <f t="shared" si="4"/>
        <v>1</v>
      </c>
      <c r="J32" s="40">
        <f>AVERAGE(L32:S32)</f>
        <v>176.375</v>
      </c>
      <c r="K32" s="41">
        <f>STDEV(L32:S32)</f>
        <v>6.4128776691903298</v>
      </c>
      <c r="L32" s="26">
        <v>174</v>
      </c>
      <c r="M32" s="26">
        <v>181</v>
      </c>
      <c r="N32" s="26">
        <v>185</v>
      </c>
      <c r="O32" s="26">
        <v>184</v>
      </c>
      <c r="P32" s="26">
        <v>176</v>
      </c>
      <c r="Q32" s="26">
        <v>173</v>
      </c>
      <c r="R32" s="26">
        <v>167</v>
      </c>
      <c r="S32" s="26">
        <v>171</v>
      </c>
      <c r="T32" s="26"/>
      <c r="U32" s="32">
        <v>0.14000000000000001</v>
      </c>
      <c r="V32" s="27">
        <v>0.24510000000000001</v>
      </c>
      <c r="W32" s="27"/>
      <c r="X32" s="28" t="s">
        <v>114</v>
      </c>
      <c r="Y32" s="35" t="s">
        <v>14</v>
      </c>
      <c r="Z32" s="26" t="s">
        <v>13</v>
      </c>
      <c r="AA32" s="26" t="s">
        <v>103</v>
      </c>
      <c r="AB32" s="26" t="s">
        <v>104</v>
      </c>
      <c r="AC32" s="26" t="s">
        <v>111</v>
      </c>
      <c r="AD32" s="26"/>
      <c r="AE32" s="26"/>
      <c r="AF32" s="26"/>
      <c r="AG32" s="27"/>
      <c r="AH32" s="27"/>
      <c r="AI32" s="26"/>
      <c r="AJ32" s="37"/>
    </row>
    <row r="33" spans="1:36" ht="15" customHeight="1">
      <c r="A33" s="25" t="str">
        <f t="shared" si="0"/>
        <v>VSG01C-23095E2.05</v>
      </c>
      <c r="B33" s="26">
        <v>100</v>
      </c>
      <c r="C33" s="26">
        <v>5</v>
      </c>
      <c r="D33" s="26" t="s">
        <v>112</v>
      </c>
      <c r="E33" s="29">
        <v>45021</v>
      </c>
      <c r="F33" s="30">
        <f t="shared" si="1"/>
        <v>95</v>
      </c>
      <c r="G33" s="26" t="s">
        <v>113</v>
      </c>
      <c r="H33" s="26" t="s">
        <v>63</v>
      </c>
      <c r="I33" s="26">
        <f t="shared" si="4"/>
        <v>1</v>
      </c>
      <c r="J33" s="40">
        <f>AVERAGE(L33:S33)</f>
        <v>173.125</v>
      </c>
      <c r="K33" s="41">
        <f t="shared" ref="K33:K60" si="5">STDEV(L33:S33)</f>
        <v>3.3567628964311944</v>
      </c>
      <c r="L33" s="26">
        <v>169</v>
      </c>
      <c r="M33" s="26">
        <v>177</v>
      </c>
      <c r="N33" s="26">
        <v>175</v>
      </c>
      <c r="O33" s="26">
        <v>174</v>
      </c>
      <c r="P33" s="26">
        <v>167</v>
      </c>
      <c r="Q33" s="26">
        <v>175</v>
      </c>
      <c r="R33" s="26">
        <v>174</v>
      </c>
      <c r="S33" s="26">
        <v>174</v>
      </c>
      <c r="T33" s="26"/>
      <c r="U33" s="32">
        <v>0.22700000000000001</v>
      </c>
      <c r="V33" s="27">
        <v>0.2175</v>
      </c>
      <c r="W33" s="27"/>
      <c r="X33" s="28" t="s">
        <v>114</v>
      </c>
      <c r="Y33" s="35" t="s">
        <v>14</v>
      </c>
      <c r="Z33" s="26" t="s">
        <v>13</v>
      </c>
      <c r="AA33" s="26" t="s">
        <v>103</v>
      </c>
      <c r="AB33" s="26" t="s">
        <v>115</v>
      </c>
      <c r="AC33" s="26" t="s">
        <v>111</v>
      </c>
      <c r="AD33" s="26"/>
      <c r="AE33" s="26"/>
      <c r="AF33" s="26"/>
      <c r="AG33" s="27"/>
      <c r="AH33" s="27"/>
      <c r="AI33" s="26"/>
      <c r="AJ33" s="37"/>
    </row>
    <row r="34" spans="1:36" ht="15" customHeight="1">
      <c r="A34" s="25" t="str">
        <f t="shared" si="0"/>
        <v>VSG01C-23095E2.06</v>
      </c>
      <c r="B34" s="26">
        <v>100</v>
      </c>
      <c r="C34" s="26">
        <v>6</v>
      </c>
      <c r="D34" s="26" t="s">
        <v>112</v>
      </c>
      <c r="E34" s="29">
        <v>45021</v>
      </c>
      <c r="F34" s="30">
        <f t="shared" si="1"/>
        <v>95</v>
      </c>
      <c r="G34" s="26" t="s">
        <v>113</v>
      </c>
      <c r="H34" s="26" t="s">
        <v>63</v>
      </c>
      <c r="I34" s="26">
        <f t="shared" si="4"/>
        <v>1</v>
      </c>
      <c r="J34" s="40">
        <f t="shared" ref="J34:J60" si="6">AVERAGE(L34:S34)</f>
        <v>169.75</v>
      </c>
      <c r="K34" s="41">
        <f t="shared" si="5"/>
        <v>6.1586176556571059</v>
      </c>
      <c r="L34" s="26">
        <v>173</v>
      </c>
      <c r="M34" s="26">
        <v>164</v>
      </c>
      <c r="N34" s="26">
        <v>174</v>
      </c>
      <c r="O34" s="26">
        <v>160</v>
      </c>
      <c r="P34" s="26">
        <v>164</v>
      </c>
      <c r="Q34" s="26">
        <v>172</v>
      </c>
      <c r="R34" s="26">
        <v>174</v>
      </c>
      <c r="S34" s="26">
        <v>177</v>
      </c>
      <c r="T34" s="26"/>
      <c r="U34" s="32">
        <v>0.14000000000000001</v>
      </c>
      <c r="V34" s="27">
        <v>0.254</v>
      </c>
      <c r="W34" s="27"/>
      <c r="X34" s="28" t="s">
        <v>114</v>
      </c>
      <c r="Y34" s="35" t="s">
        <v>14</v>
      </c>
      <c r="Z34" s="26" t="s">
        <v>13</v>
      </c>
      <c r="AA34" s="26" t="s">
        <v>103</v>
      </c>
      <c r="AB34" s="26" t="s">
        <v>115</v>
      </c>
      <c r="AC34" s="26" t="s">
        <v>105</v>
      </c>
      <c r="AD34" s="26"/>
      <c r="AE34" s="26"/>
      <c r="AF34" s="26"/>
      <c r="AG34" s="27"/>
      <c r="AH34" s="27"/>
      <c r="AI34" s="26"/>
      <c r="AJ34" s="37"/>
    </row>
    <row r="35" spans="1:36" ht="15" customHeight="1">
      <c r="A35" s="25" t="str">
        <f t="shared" si="0"/>
        <v>VSG01C-23097A2.01</v>
      </c>
      <c r="B35" s="26">
        <v>100</v>
      </c>
      <c r="C35" s="26">
        <v>1</v>
      </c>
      <c r="D35" s="26" t="s">
        <v>118</v>
      </c>
      <c r="E35" s="29">
        <v>45023</v>
      </c>
      <c r="F35" s="30">
        <f t="shared" si="1"/>
        <v>97</v>
      </c>
      <c r="G35" s="26" t="s">
        <v>113</v>
      </c>
      <c r="H35" s="26" t="s">
        <v>63</v>
      </c>
      <c r="I35" s="26">
        <v>1</v>
      </c>
      <c r="J35" s="40">
        <f t="shared" si="6"/>
        <v>176.875</v>
      </c>
      <c r="K35" s="41">
        <f t="shared" si="5"/>
        <v>4.3568501072613062</v>
      </c>
      <c r="L35" s="26">
        <v>173</v>
      </c>
      <c r="M35" s="26">
        <v>179</v>
      </c>
      <c r="N35" s="26">
        <v>171</v>
      </c>
      <c r="O35" s="26">
        <v>180</v>
      </c>
      <c r="P35" s="26">
        <v>174</v>
      </c>
      <c r="Q35" s="26">
        <v>174</v>
      </c>
      <c r="R35" s="26">
        <v>182</v>
      </c>
      <c r="S35" s="26">
        <v>182</v>
      </c>
      <c r="T35" s="26"/>
      <c r="U35" s="32" t="s">
        <v>119</v>
      </c>
      <c r="V35" s="27"/>
      <c r="W35" s="27"/>
      <c r="X35" s="28" t="s">
        <v>96</v>
      </c>
      <c r="Y35" s="35" t="s">
        <v>8</v>
      </c>
      <c r="Z35" s="26" t="s">
        <v>7</v>
      </c>
      <c r="AA35" s="26" t="s">
        <v>67</v>
      </c>
      <c r="AB35" s="26" t="s">
        <v>120</v>
      </c>
      <c r="AC35" s="26"/>
      <c r="AD35" s="29">
        <v>45044</v>
      </c>
      <c r="AE35" s="26" t="s">
        <v>121</v>
      </c>
      <c r="AF35" s="26">
        <v>4.95</v>
      </c>
      <c r="AG35" s="27">
        <f>AF35*(822+208.35)/(822+2409.7+4167)*1000</f>
        <v>689.34170867855175</v>
      </c>
      <c r="AH35" s="27">
        <f>AG35*822/(822+208.35)</f>
        <v>549.94796383148412</v>
      </c>
      <c r="AI35" s="26"/>
      <c r="AJ35" s="37">
        <f>AI35/AH35</f>
        <v>0</v>
      </c>
    </row>
    <row r="36" spans="1:36">
      <c r="A36" s="25" t="str">
        <f t="shared" ref="A36:A67" si="7">"VSG"&amp;TEXT(I36,"00")&amp;"C-23"&amp;TEXT(F36,"000")&amp;Z36&amp;"2."&amp;TEXT(RIGHT(C36),"00")</f>
        <v>VSG01C-23129E2.01</v>
      </c>
      <c r="B36" s="26">
        <v>100</v>
      </c>
      <c r="C36" s="26">
        <v>1</v>
      </c>
      <c r="D36" s="26" t="s">
        <v>122</v>
      </c>
      <c r="E36" s="29">
        <v>45056</v>
      </c>
      <c r="F36" s="30">
        <v>129</v>
      </c>
      <c r="G36" s="26" t="s">
        <v>123</v>
      </c>
      <c r="H36" s="26" t="s">
        <v>63</v>
      </c>
      <c r="I36" s="26">
        <f t="shared" ref="I36:I41" si="8">IF(B36=100,1,(IF(B36=600,2,3)))</f>
        <v>1</v>
      </c>
      <c r="J36" s="40">
        <f t="shared" si="6"/>
        <v>178.625</v>
      </c>
      <c r="K36" s="41">
        <f t="shared" si="5"/>
        <v>9.2726556528937731</v>
      </c>
      <c r="L36" s="26">
        <v>170</v>
      </c>
      <c r="M36" s="26">
        <v>180</v>
      </c>
      <c r="N36" s="26">
        <v>168</v>
      </c>
      <c r="O36" s="26">
        <v>169</v>
      </c>
      <c r="P36" s="26">
        <v>177</v>
      </c>
      <c r="Q36" s="26">
        <v>187</v>
      </c>
      <c r="R36" s="26">
        <v>185</v>
      </c>
      <c r="S36" s="26">
        <v>193</v>
      </c>
      <c r="T36" s="26"/>
      <c r="U36" s="32">
        <v>0.35</v>
      </c>
      <c r="V36" s="27">
        <v>0.15</v>
      </c>
      <c r="W36" s="27"/>
      <c r="X36" s="28" t="s">
        <v>114</v>
      </c>
      <c r="Y36" s="35" t="s">
        <v>14</v>
      </c>
      <c r="Z36" s="26" t="s">
        <v>13</v>
      </c>
      <c r="AA36" s="26" t="s">
        <v>103</v>
      </c>
      <c r="AB36" s="26" t="s">
        <v>124</v>
      </c>
      <c r="AC36" s="26" t="s">
        <v>106</v>
      </c>
      <c r="AD36" s="26"/>
      <c r="AE36" s="26"/>
      <c r="AF36" s="26"/>
      <c r="AG36" s="26"/>
      <c r="AH36" s="26"/>
      <c r="AI36" s="26"/>
      <c r="AJ36" s="26"/>
    </row>
    <row r="37" spans="1:36" ht="15" customHeight="1">
      <c r="A37" s="25" t="str">
        <f t="shared" si="7"/>
        <v>VSG01C-23129E2.02</v>
      </c>
      <c r="B37" s="26">
        <v>100</v>
      </c>
      <c r="C37" s="26">
        <v>2</v>
      </c>
      <c r="D37" s="26" t="s">
        <v>122</v>
      </c>
      <c r="E37" s="29">
        <v>45056</v>
      </c>
      <c r="F37" s="30">
        <v>129</v>
      </c>
      <c r="G37" s="26" t="s">
        <v>123</v>
      </c>
      <c r="H37" s="26" t="s">
        <v>63</v>
      </c>
      <c r="I37" s="26">
        <f t="shared" si="8"/>
        <v>1</v>
      </c>
      <c r="J37" s="40">
        <f t="shared" si="6"/>
        <v>190.5</v>
      </c>
      <c r="K37" s="41">
        <f t="shared" si="5"/>
        <v>4.2761798705987903</v>
      </c>
      <c r="L37" s="26">
        <v>188</v>
      </c>
      <c r="M37" s="26">
        <v>183</v>
      </c>
      <c r="N37" s="26">
        <v>192</v>
      </c>
      <c r="O37" s="26">
        <v>194</v>
      </c>
      <c r="P37" s="26">
        <v>194</v>
      </c>
      <c r="Q37" s="26">
        <v>196</v>
      </c>
      <c r="R37" s="26">
        <v>189</v>
      </c>
      <c r="S37" s="26">
        <v>188</v>
      </c>
      <c r="T37" s="26"/>
      <c r="U37" s="32">
        <v>0.35</v>
      </c>
      <c r="V37" s="27">
        <v>0.15</v>
      </c>
      <c r="W37" s="27"/>
      <c r="X37" s="28" t="s">
        <v>114</v>
      </c>
      <c r="Y37" s="35" t="s">
        <v>14</v>
      </c>
      <c r="Z37" s="35" t="s">
        <v>13</v>
      </c>
      <c r="AA37" s="26" t="s">
        <v>103</v>
      </c>
      <c r="AB37" s="26" t="s">
        <v>125</v>
      </c>
      <c r="AC37" s="26" t="s">
        <v>111</v>
      </c>
      <c r="AD37" s="26"/>
      <c r="AE37" s="26"/>
      <c r="AF37" s="26"/>
      <c r="AG37" s="26"/>
      <c r="AH37" s="26"/>
      <c r="AI37" s="26"/>
      <c r="AJ37" s="26"/>
    </row>
    <row r="38" spans="1:36" ht="15" customHeight="1">
      <c r="A38" s="25" t="str">
        <f t="shared" si="7"/>
        <v>VSG01C-23129E2.03</v>
      </c>
      <c r="B38" s="26">
        <v>100</v>
      </c>
      <c r="C38" s="26">
        <v>3</v>
      </c>
      <c r="D38" s="26" t="s">
        <v>122</v>
      </c>
      <c r="E38" s="29">
        <v>45056</v>
      </c>
      <c r="F38" s="30">
        <v>129</v>
      </c>
      <c r="G38" s="26" t="s">
        <v>123</v>
      </c>
      <c r="H38" s="26" t="s">
        <v>63</v>
      </c>
      <c r="I38" s="26">
        <f t="shared" si="8"/>
        <v>1</v>
      </c>
      <c r="J38" s="40">
        <f t="shared" si="6"/>
        <v>184.5</v>
      </c>
      <c r="K38" s="41">
        <f t="shared" si="5"/>
        <v>9.3503246696877547</v>
      </c>
      <c r="L38" s="26">
        <v>199</v>
      </c>
      <c r="M38" s="26">
        <v>192</v>
      </c>
      <c r="N38" s="26">
        <v>178</v>
      </c>
      <c r="O38" s="26">
        <v>194</v>
      </c>
      <c r="P38" s="26">
        <v>184</v>
      </c>
      <c r="Q38" s="26">
        <v>176</v>
      </c>
      <c r="R38" s="26">
        <v>179</v>
      </c>
      <c r="S38" s="26">
        <v>174</v>
      </c>
      <c r="T38" s="26"/>
      <c r="U38" s="32">
        <v>0.35</v>
      </c>
      <c r="V38" s="27">
        <v>0.15</v>
      </c>
      <c r="W38" s="27"/>
      <c r="X38" s="28" t="s">
        <v>114</v>
      </c>
      <c r="Y38" s="35" t="s">
        <v>14</v>
      </c>
      <c r="Z38" s="35" t="s">
        <v>13</v>
      </c>
      <c r="AA38" s="26" t="s">
        <v>103</v>
      </c>
      <c r="AB38" s="26" t="s">
        <v>126</v>
      </c>
      <c r="AC38" s="26" t="s">
        <v>111</v>
      </c>
      <c r="AD38" s="26"/>
      <c r="AE38" s="26"/>
      <c r="AF38" s="26"/>
      <c r="AG38" s="26"/>
      <c r="AH38" s="26"/>
      <c r="AI38" s="26"/>
      <c r="AJ38" s="26"/>
    </row>
    <row r="39" spans="1:36" ht="15" hidden="1" customHeight="1">
      <c r="A39" s="25" t="str">
        <f t="shared" si="7"/>
        <v>VSG02C-23139E2.01</v>
      </c>
      <c r="B39" s="26">
        <v>600</v>
      </c>
      <c r="C39" s="26">
        <v>1</v>
      </c>
      <c r="D39" s="26" t="s">
        <v>127</v>
      </c>
      <c r="E39" s="29">
        <v>45065</v>
      </c>
      <c r="F39" s="30">
        <f>E39-DATE(YEAR(E39),1,0)</f>
        <v>139</v>
      </c>
      <c r="G39" s="26" t="s">
        <v>123</v>
      </c>
      <c r="H39" s="26" t="s">
        <v>63</v>
      </c>
      <c r="I39" s="26">
        <f t="shared" si="8"/>
        <v>2</v>
      </c>
      <c r="J39" s="40">
        <f t="shared" si="6"/>
        <v>176.125</v>
      </c>
      <c r="K39" s="41">
        <f t="shared" si="5"/>
        <v>7.9899490432846765</v>
      </c>
      <c r="L39" s="26">
        <v>177</v>
      </c>
      <c r="M39" s="26">
        <v>170</v>
      </c>
      <c r="N39" s="26">
        <v>167</v>
      </c>
      <c r="O39" s="26">
        <v>182</v>
      </c>
      <c r="P39" s="26">
        <v>167</v>
      </c>
      <c r="Q39" s="26">
        <v>174</v>
      </c>
      <c r="R39" s="26">
        <v>188</v>
      </c>
      <c r="S39" s="26">
        <v>184</v>
      </c>
      <c r="T39" s="26"/>
      <c r="U39" s="32">
        <f>AVERAGE(0.318,0.286,0.345,0.263,0.232,0.38,0.238,0.189,0.323)</f>
        <v>0.28599999999999998</v>
      </c>
      <c r="V39" s="27">
        <v>0.15</v>
      </c>
      <c r="W39" s="27"/>
      <c r="X39" s="28" t="s">
        <v>114</v>
      </c>
      <c r="Y39" s="35" t="s">
        <v>14</v>
      </c>
      <c r="Z39" s="26" t="s">
        <v>13</v>
      </c>
      <c r="AA39" s="26" t="s">
        <v>103</v>
      </c>
      <c r="AB39" s="26" t="s">
        <v>128</v>
      </c>
      <c r="AC39" s="26" t="s">
        <v>111</v>
      </c>
      <c r="AD39" s="26"/>
      <c r="AE39" s="26"/>
      <c r="AF39" s="27">
        <v>6.1050000000000004</v>
      </c>
      <c r="AG39" s="27">
        <f>AF39*0.126*1000</f>
        <v>769.23000000000013</v>
      </c>
      <c r="AH39" s="27">
        <f>AF39*0.126/1.25*1000</f>
        <v>615.38400000000001</v>
      </c>
      <c r="AI39" s="26"/>
      <c r="AJ39" s="37">
        <f>AI39/AG39</f>
        <v>0</v>
      </c>
    </row>
    <row r="40" spans="1:36" ht="15" customHeight="1">
      <c r="A40" s="25" t="str">
        <f t="shared" si="7"/>
        <v>VSG01C-23143E2.01</v>
      </c>
      <c r="B40" s="26">
        <v>100</v>
      </c>
      <c r="C40" s="26">
        <v>1</v>
      </c>
      <c r="D40" s="26" t="s">
        <v>129</v>
      </c>
      <c r="E40" s="29">
        <v>45071</v>
      </c>
      <c r="F40" s="30">
        <v>143</v>
      </c>
      <c r="G40" s="26" t="s">
        <v>130</v>
      </c>
      <c r="H40" s="26" t="s">
        <v>63</v>
      </c>
      <c r="I40" s="26">
        <f t="shared" si="8"/>
        <v>1</v>
      </c>
      <c r="J40" s="40">
        <f t="shared" si="6"/>
        <v>184.25</v>
      </c>
      <c r="K40" s="41">
        <f t="shared" si="5"/>
        <v>6.2278177787820903</v>
      </c>
      <c r="L40" s="26">
        <v>179</v>
      </c>
      <c r="M40" s="26">
        <v>183</v>
      </c>
      <c r="N40" s="26">
        <v>194</v>
      </c>
      <c r="O40" s="26">
        <v>191</v>
      </c>
      <c r="P40" s="26">
        <v>183</v>
      </c>
      <c r="Q40" s="26">
        <v>180</v>
      </c>
      <c r="R40" s="26">
        <v>188</v>
      </c>
      <c r="S40" s="26">
        <v>176</v>
      </c>
      <c r="T40" s="26"/>
      <c r="U40" s="32">
        <v>0.32</v>
      </c>
      <c r="V40" s="27">
        <v>0.4</v>
      </c>
      <c r="W40" s="27"/>
      <c r="X40" s="28" t="s">
        <v>114</v>
      </c>
      <c r="Y40" s="35" t="s">
        <v>14</v>
      </c>
      <c r="Z40" s="26" t="s">
        <v>13</v>
      </c>
      <c r="AA40" s="26" t="s">
        <v>103</v>
      </c>
      <c r="AB40" s="26" t="s">
        <v>126</v>
      </c>
      <c r="AC40" s="26" t="s">
        <v>105</v>
      </c>
      <c r="AD40" s="26"/>
      <c r="AE40" s="26"/>
      <c r="AF40" s="26" t="s">
        <v>119</v>
      </c>
      <c r="AG40" s="26"/>
      <c r="AH40" s="26"/>
      <c r="AI40" s="26"/>
      <c r="AJ40" s="26"/>
    </row>
    <row r="41" spans="1:36" ht="15" customHeight="1">
      <c r="A41" s="25" t="str">
        <f t="shared" si="7"/>
        <v>VSG01C-23143E2.02</v>
      </c>
      <c r="B41" s="26">
        <v>100</v>
      </c>
      <c r="C41" s="26">
        <v>2</v>
      </c>
      <c r="D41" s="26" t="s">
        <v>129</v>
      </c>
      <c r="E41" s="29">
        <v>45071</v>
      </c>
      <c r="F41" s="30">
        <v>143</v>
      </c>
      <c r="G41" s="26" t="s">
        <v>130</v>
      </c>
      <c r="H41" s="26" t="s">
        <v>63</v>
      </c>
      <c r="I41" s="26">
        <f t="shared" si="8"/>
        <v>1</v>
      </c>
      <c r="J41" s="40">
        <f t="shared" si="6"/>
        <v>204.625</v>
      </c>
      <c r="K41" s="41">
        <f t="shared" si="5"/>
        <v>6.5233098522583939</v>
      </c>
      <c r="L41" s="26">
        <v>201</v>
      </c>
      <c r="M41" s="26">
        <v>213</v>
      </c>
      <c r="N41" s="26">
        <v>209</v>
      </c>
      <c r="O41" s="26">
        <v>195</v>
      </c>
      <c r="P41" s="26">
        <v>208</v>
      </c>
      <c r="Q41" s="26">
        <v>208</v>
      </c>
      <c r="R41" s="26">
        <v>207</v>
      </c>
      <c r="S41" s="26">
        <v>196</v>
      </c>
      <c r="T41" s="26"/>
      <c r="U41" s="32">
        <v>0.32</v>
      </c>
      <c r="V41" s="27">
        <v>0.4</v>
      </c>
      <c r="W41" s="27"/>
      <c r="X41" s="28" t="s">
        <v>114</v>
      </c>
      <c r="Y41" s="35" t="s">
        <v>14</v>
      </c>
      <c r="Z41" s="26" t="s">
        <v>13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ht="15" hidden="1" customHeight="1">
      <c r="A42" s="25" t="str">
        <f t="shared" si="7"/>
        <v>VSG02C-23148E2.01</v>
      </c>
      <c r="B42" s="26">
        <v>600</v>
      </c>
      <c r="C42" s="26">
        <v>1</v>
      </c>
      <c r="D42" s="26" t="s">
        <v>131</v>
      </c>
      <c r="E42" s="29">
        <v>45076</v>
      </c>
      <c r="F42" s="30">
        <v>148</v>
      </c>
      <c r="G42" s="26" t="s">
        <v>132</v>
      </c>
      <c r="H42" s="26" t="s">
        <v>63</v>
      </c>
      <c r="I42" s="26">
        <v>2</v>
      </c>
      <c r="J42" s="40">
        <f t="shared" si="6"/>
        <v>181.75</v>
      </c>
      <c r="K42" s="41">
        <f t="shared" si="5"/>
        <v>5.5226805085936306</v>
      </c>
      <c r="L42" s="26">
        <v>187</v>
      </c>
      <c r="M42" s="26">
        <v>181</v>
      </c>
      <c r="N42" s="26">
        <v>185</v>
      </c>
      <c r="O42" s="26">
        <v>173</v>
      </c>
      <c r="P42" s="26">
        <v>182</v>
      </c>
      <c r="Q42" s="26">
        <v>190</v>
      </c>
      <c r="R42" s="26">
        <v>177</v>
      </c>
      <c r="S42" s="26">
        <v>179</v>
      </c>
      <c r="T42" s="26"/>
      <c r="U42" s="32">
        <v>0.24</v>
      </c>
      <c r="V42" s="27">
        <v>0.11899999999999999</v>
      </c>
      <c r="W42" s="27"/>
      <c r="X42" s="28" t="s">
        <v>114</v>
      </c>
      <c r="Y42" s="35" t="s">
        <v>14</v>
      </c>
      <c r="Z42" s="26" t="s">
        <v>13</v>
      </c>
      <c r="AA42" s="26" t="s">
        <v>133</v>
      </c>
      <c r="AB42" s="26" t="s">
        <v>134</v>
      </c>
      <c r="AC42" s="26" t="s">
        <v>106</v>
      </c>
      <c r="AD42" s="26"/>
      <c r="AE42" s="26"/>
      <c r="AF42" s="26">
        <f>40.9541-34.395</f>
        <v>6.5590999999999937</v>
      </c>
      <c r="AG42" s="26"/>
      <c r="AH42" s="26"/>
      <c r="AI42" s="26"/>
      <c r="AJ42" s="26"/>
    </row>
    <row r="43" spans="1:36" ht="15" customHeight="1">
      <c r="A43" s="25" t="str">
        <f t="shared" si="7"/>
        <v>VSG01C-23148E2.01</v>
      </c>
      <c r="B43" s="26">
        <v>100</v>
      </c>
      <c r="C43" s="26">
        <v>1</v>
      </c>
      <c r="D43" s="26" t="s">
        <v>135</v>
      </c>
      <c r="E43" s="29">
        <v>45076</v>
      </c>
      <c r="F43" s="30">
        <v>148</v>
      </c>
      <c r="G43" s="26" t="s">
        <v>136</v>
      </c>
      <c r="H43" s="26" t="s">
        <v>63</v>
      </c>
      <c r="I43" s="26">
        <v>1</v>
      </c>
      <c r="J43" s="40">
        <f t="shared" si="6"/>
        <v>177.875</v>
      </c>
      <c r="K43" s="41">
        <f t="shared" si="5"/>
        <v>5.6426310985466444</v>
      </c>
      <c r="L43" s="26">
        <v>174</v>
      </c>
      <c r="M43" s="26">
        <v>175</v>
      </c>
      <c r="N43" s="26">
        <v>182</v>
      </c>
      <c r="O43" s="26">
        <v>177</v>
      </c>
      <c r="P43" s="26">
        <v>171</v>
      </c>
      <c r="Q43" s="26">
        <v>174</v>
      </c>
      <c r="R43" s="26">
        <v>182</v>
      </c>
      <c r="S43" s="26">
        <v>188</v>
      </c>
      <c r="T43" s="26"/>
      <c r="U43" s="32">
        <v>0.254</v>
      </c>
      <c r="V43" s="27">
        <v>0.24</v>
      </c>
      <c r="W43" s="27"/>
      <c r="X43" s="28" t="s">
        <v>114</v>
      </c>
      <c r="Y43" s="35" t="s">
        <v>14</v>
      </c>
      <c r="Z43" s="26" t="s">
        <v>13</v>
      </c>
      <c r="AA43" s="26" t="s">
        <v>103</v>
      </c>
      <c r="AB43" s="26" t="s">
        <v>126</v>
      </c>
      <c r="AC43" s="26" t="s">
        <v>106</v>
      </c>
      <c r="AD43" s="26"/>
      <c r="AE43" s="26"/>
      <c r="AF43" s="26"/>
      <c r="AG43" s="26"/>
      <c r="AH43" s="26"/>
      <c r="AI43" s="26"/>
      <c r="AJ43" s="26"/>
    </row>
    <row r="44" spans="1:36" ht="15" customHeight="1">
      <c r="A44" s="25" t="str">
        <f t="shared" si="7"/>
        <v>VSG01C-23148E2.02</v>
      </c>
      <c r="B44" s="26">
        <v>100</v>
      </c>
      <c r="C44" s="26">
        <v>2</v>
      </c>
      <c r="D44" s="26" t="s">
        <v>135</v>
      </c>
      <c r="E44" s="29">
        <v>45076</v>
      </c>
      <c r="F44" s="30">
        <v>148</v>
      </c>
      <c r="G44" s="26" t="s">
        <v>136</v>
      </c>
      <c r="H44" s="26" t="s">
        <v>63</v>
      </c>
      <c r="I44" s="26">
        <v>1</v>
      </c>
      <c r="J44" s="40">
        <f t="shared" si="6"/>
        <v>178.125</v>
      </c>
      <c r="K44" s="41">
        <f t="shared" si="5"/>
        <v>6.5778307323050766</v>
      </c>
      <c r="L44" s="26">
        <v>177</v>
      </c>
      <c r="M44" s="26">
        <v>174</v>
      </c>
      <c r="N44" s="26">
        <v>178</v>
      </c>
      <c r="O44" s="26">
        <v>170</v>
      </c>
      <c r="P44" s="26">
        <v>177</v>
      </c>
      <c r="Q44" s="26">
        <v>191</v>
      </c>
      <c r="R44" s="26">
        <v>184</v>
      </c>
      <c r="S44" s="26">
        <v>174</v>
      </c>
      <c r="T44" s="26"/>
      <c r="U44" s="32">
        <v>0.254</v>
      </c>
      <c r="V44" s="27">
        <v>0.24</v>
      </c>
      <c r="W44" s="27"/>
      <c r="X44" s="28" t="s">
        <v>114</v>
      </c>
      <c r="Y44" s="35" t="s">
        <v>14</v>
      </c>
      <c r="Z44" s="26" t="s">
        <v>13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ht="15" customHeight="1">
      <c r="A45" s="25" t="str">
        <f t="shared" si="7"/>
        <v>VSG01C-23148E2.03</v>
      </c>
      <c r="B45" s="26">
        <v>100</v>
      </c>
      <c r="C45" s="26">
        <v>3</v>
      </c>
      <c r="D45" s="26" t="s">
        <v>135</v>
      </c>
      <c r="E45" s="29">
        <v>45076</v>
      </c>
      <c r="F45" s="30">
        <v>148</v>
      </c>
      <c r="G45" s="26" t="s">
        <v>136</v>
      </c>
      <c r="H45" s="26" t="s">
        <v>63</v>
      </c>
      <c r="I45" s="26">
        <v>1</v>
      </c>
      <c r="J45" s="40">
        <f t="shared" si="6"/>
        <v>178.875</v>
      </c>
      <c r="K45" s="41">
        <f t="shared" si="5"/>
        <v>7.3180305703496096</v>
      </c>
      <c r="L45" s="26">
        <v>185</v>
      </c>
      <c r="M45" s="26">
        <v>186</v>
      </c>
      <c r="N45" s="26">
        <v>177</v>
      </c>
      <c r="O45" s="26">
        <v>180</v>
      </c>
      <c r="P45" s="26">
        <v>173</v>
      </c>
      <c r="Q45" s="26">
        <v>189</v>
      </c>
      <c r="R45" s="26">
        <v>169</v>
      </c>
      <c r="S45" s="26">
        <v>172</v>
      </c>
      <c r="T45" s="26"/>
      <c r="U45" s="32">
        <v>0.254</v>
      </c>
      <c r="V45" s="27">
        <v>0.24</v>
      </c>
      <c r="W45" s="27"/>
      <c r="X45" s="28" t="s">
        <v>114</v>
      </c>
      <c r="Y45" s="35" t="s">
        <v>14</v>
      </c>
      <c r="Z45" s="26" t="s">
        <v>13</v>
      </c>
      <c r="AA45" s="26" t="s">
        <v>103</v>
      </c>
      <c r="AB45" s="26" t="s">
        <v>124</v>
      </c>
      <c r="AC45" s="26" t="s">
        <v>105</v>
      </c>
      <c r="AD45" s="26"/>
      <c r="AE45" s="26"/>
      <c r="AF45" s="26"/>
      <c r="AG45" s="26"/>
      <c r="AH45" s="26"/>
      <c r="AI45" s="26"/>
      <c r="AJ45" s="26"/>
    </row>
    <row r="46" spans="1:36" ht="15" customHeight="1">
      <c r="A46" s="25" t="str">
        <f t="shared" si="7"/>
        <v>VSG01C-23148E2.04</v>
      </c>
      <c r="B46" s="26">
        <v>100</v>
      </c>
      <c r="C46" s="26">
        <v>4</v>
      </c>
      <c r="D46" s="26" t="s">
        <v>135</v>
      </c>
      <c r="E46" s="29">
        <v>45076</v>
      </c>
      <c r="F46" s="30">
        <v>148</v>
      </c>
      <c r="G46" s="26" t="s">
        <v>136</v>
      </c>
      <c r="H46" s="26" t="s">
        <v>63</v>
      </c>
      <c r="I46" s="26">
        <v>1</v>
      </c>
      <c r="J46" s="40">
        <f t="shared" si="6"/>
        <v>182.875</v>
      </c>
      <c r="K46" s="41">
        <f t="shared" si="5"/>
        <v>5.8416607227739616</v>
      </c>
      <c r="L46" s="26">
        <v>183</v>
      </c>
      <c r="M46" s="26">
        <v>183</v>
      </c>
      <c r="N46" s="26">
        <v>188</v>
      </c>
      <c r="O46" s="26">
        <v>181</v>
      </c>
      <c r="P46" s="26">
        <v>176</v>
      </c>
      <c r="Q46" s="26">
        <v>174</v>
      </c>
      <c r="R46" s="26">
        <v>187</v>
      </c>
      <c r="S46" s="26">
        <v>191</v>
      </c>
      <c r="T46" s="26"/>
      <c r="U46" s="32">
        <v>0.254</v>
      </c>
      <c r="V46" s="27">
        <v>0.24</v>
      </c>
      <c r="W46" s="27"/>
      <c r="X46" s="28" t="s">
        <v>114</v>
      </c>
      <c r="Y46" s="35" t="s">
        <v>14</v>
      </c>
      <c r="Z46" s="26" t="s">
        <v>13</v>
      </c>
      <c r="AA46" s="26" t="s">
        <v>103</v>
      </c>
      <c r="AB46" s="26" t="s">
        <v>124</v>
      </c>
      <c r="AC46" s="26" t="s">
        <v>111</v>
      </c>
      <c r="AD46" s="26"/>
      <c r="AE46" s="26"/>
      <c r="AF46" s="26"/>
      <c r="AG46" s="26"/>
      <c r="AH46" s="26"/>
      <c r="AI46" s="26"/>
      <c r="AJ46" s="26"/>
    </row>
    <row r="47" spans="1:36" ht="15" customHeight="1">
      <c r="A47" s="25" t="str">
        <f t="shared" si="7"/>
        <v>VSG01C-23160E2.01</v>
      </c>
      <c r="B47" s="26">
        <v>100</v>
      </c>
      <c r="C47" s="26">
        <v>1</v>
      </c>
      <c r="D47" s="26" t="s">
        <v>137</v>
      </c>
      <c r="E47" s="29">
        <v>45086</v>
      </c>
      <c r="F47" s="30">
        <f>E47-DATE(YEAR(E47),1,0)</f>
        <v>160</v>
      </c>
      <c r="G47" s="26" t="s">
        <v>138</v>
      </c>
      <c r="H47" s="26" t="s">
        <v>63</v>
      </c>
      <c r="I47" s="26">
        <v>1</v>
      </c>
      <c r="J47" s="40">
        <f t="shared" si="6"/>
        <v>179.125</v>
      </c>
      <c r="K47" s="41">
        <f t="shared" si="5"/>
        <v>4.5493327611231704</v>
      </c>
      <c r="L47" s="26">
        <v>178</v>
      </c>
      <c r="M47" s="26">
        <v>176</v>
      </c>
      <c r="N47" s="26">
        <v>172</v>
      </c>
      <c r="O47" s="26">
        <v>179</v>
      </c>
      <c r="P47" s="26">
        <v>182</v>
      </c>
      <c r="Q47" s="26">
        <v>187</v>
      </c>
      <c r="R47" s="26">
        <v>182</v>
      </c>
      <c r="S47" s="26">
        <v>177</v>
      </c>
      <c r="T47" s="26"/>
      <c r="U47" s="32">
        <v>0.15</v>
      </c>
      <c r="V47" s="27">
        <v>0.28999999999999998</v>
      </c>
      <c r="W47" s="27"/>
      <c r="X47" s="28" t="s">
        <v>114</v>
      </c>
      <c r="Y47" s="26" t="s">
        <v>139</v>
      </c>
      <c r="Z47" s="26" t="s">
        <v>13</v>
      </c>
      <c r="AA47" s="26" t="s">
        <v>103</v>
      </c>
      <c r="AB47" s="26" t="s">
        <v>140</v>
      </c>
      <c r="AC47" s="26"/>
      <c r="AD47" s="26"/>
      <c r="AE47" s="26"/>
      <c r="AF47" s="26"/>
      <c r="AG47" s="26"/>
      <c r="AH47" s="26"/>
      <c r="AI47" s="26"/>
      <c r="AJ47" s="26"/>
    </row>
    <row r="48" spans="1:36" ht="15" customHeight="1">
      <c r="A48" s="25" t="str">
        <f t="shared" si="7"/>
        <v>VSG01C-23160E2.02</v>
      </c>
      <c r="B48" s="26">
        <v>100</v>
      </c>
      <c r="C48" s="26">
        <v>2</v>
      </c>
      <c r="D48" s="26" t="s">
        <v>137</v>
      </c>
      <c r="E48" s="29">
        <v>45086</v>
      </c>
      <c r="F48" s="30">
        <v>160</v>
      </c>
      <c r="G48" s="26" t="s">
        <v>138</v>
      </c>
      <c r="H48" s="26" t="s">
        <v>63</v>
      </c>
      <c r="I48" s="26">
        <v>1</v>
      </c>
      <c r="J48" s="40">
        <f t="shared" si="6"/>
        <v>186.75</v>
      </c>
      <c r="K48" s="41">
        <f t="shared" si="5"/>
        <v>8.2764726786234242</v>
      </c>
      <c r="L48" s="26">
        <v>196</v>
      </c>
      <c r="M48" s="26">
        <v>194</v>
      </c>
      <c r="N48" s="26">
        <v>186</v>
      </c>
      <c r="O48" s="26">
        <v>180</v>
      </c>
      <c r="P48" s="26">
        <v>196</v>
      </c>
      <c r="Q48" s="26">
        <v>188</v>
      </c>
      <c r="R48" s="26">
        <v>174</v>
      </c>
      <c r="S48" s="26">
        <v>180</v>
      </c>
      <c r="T48" s="26"/>
      <c r="U48" s="32">
        <v>0.15</v>
      </c>
      <c r="V48" s="27">
        <v>0.28999999999999998</v>
      </c>
      <c r="W48" s="27"/>
      <c r="X48" s="28" t="s">
        <v>114</v>
      </c>
      <c r="Y48" s="26" t="s">
        <v>139</v>
      </c>
      <c r="Z48" s="26" t="s">
        <v>13</v>
      </c>
      <c r="AA48" s="26" t="s">
        <v>103</v>
      </c>
      <c r="AB48" s="26" t="s">
        <v>125</v>
      </c>
      <c r="AC48" s="26" t="s">
        <v>105</v>
      </c>
      <c r="AD48" s="26"/>
      <c r="AE48" s="26"/>
      <c r="AF48" s="26"/>
      <c r="AG48" s="26"/>
      <c r="AH48" s="26"/>
      <c r="AI48" s="26"/>
      <c r="AJ48" s="26"/>
    </row>
    <row r="49" spans="1:36" ht="15" customHeight="1">
      <c r="A49" s="25" t="str">
        <f t="shared" si="7"/>
        <v>VSG01C-23160E2.03</v>
      </c>
      <c r="B49" s="26">
        <v>100</v>
      </c>
      <c r="C49" s="26">
        <v>3</v>
      </c>
      <c r="D49" s="26" t="s">
        <v>137</v>
      </c>
      <c r="E49" s="29">
        <v>45086</v>
      </c>
      <c r="F49" s="30">
        <f>E49-DATE(YEAR(E49),1,0)</f>
        <v>160</v>
      </c>
      <c r="G49" s="26" t="s">
        <v>138</v>
      </c>
      <c r="H49" s="26" t="s">
        <v>63</v>
      </c>
      <c r="I49" s="26">
        <v>1</v>
      </c>
      <c r="J49" s="40">
        <f t="shared" si="6"/>
        <v>174.125</v>
      </c>
      <c r="K49" s="41">
        <f t="shared" si="5"/>
        <v>5.4625347334626362</v>
      </c>
      <c r="L49" s="26">
        <v>184</v>
      </c>
      <c r="M49" s="26">
        <v>172</v>
      </c>
      <c r="N49" s="26">
        <v>176</v>
      </c>
      <c r="O49" s="26">
        <v>179</v>
      </c>
      <c r="P49" s="26">
        <v>172</v>
      </c>
      <c r="Q49" s="26">
        <v>172</v>
      </c>
      <c r="R49" s="26">
        <v>166</v>
      </c>
      <c r="S49" s="26">
        <v>172</v>
      </c>
      <c r="T49" s="26"/>
      <c r="U49" s="32">
        <v>0.15</v>
      </c>
      <c r="V49" s="27">
        <v>0.28999999999999998</v>
      </c>
      <c r="W49" s="27"/>
      <c r="X49" s="28" t="s">
        <v>114</v>
      </c>
      <c r="Y49" s="26" t="s">
        <v>139</v>
      </c>
      <c r="Z49" s="26" t="s">
        <v>13</v>
      </c>
      <c r="AA49" s="26" t="s">
        <v>103</v>
      </c>
      <c r="AB49" s="26" t="s">
        <v>125</v>
      </c>
      <c r="AC49" s="26" t="s">
        <v>106</v>
      </c>
      <c r="AD49" s="26"/>
      <c r="AE49" s="26"/>
      <c r="AF49" s="26"/>
      <c r="AG49" s="26"/>
      <c r="AH49" s="26"/>
      <c r="AI49" s="26"/>
      <c r="AJ49" s="26"/>
    </row>
    <row r="50" spans="1:36" ht="15" customHeight="1">
      <c r="A50" s="25" t="str">
        <f t="shared" si="7"/>
        <v>VSG01C-23160E2.04</v>
      </c>
      <c r="B50" s="26">
        <v>100</v>
      </c>
      <c r="C50" s="26">
        <v>4</v>
      </c>
      <c r="D50" s="26" t="s">
        <v>137</v>
      </c>
      <c r="E50" s="29">
        <v>45086</v>
      </c>
      <c r="F50" s="30">
        <v>160</v>
      </c>
      <c r="G50" s="26" t="s">
        <v>138</v>
      </c>
      <c r="H50" s="26" t="s">
        <v>63</v>
      </c>
      <c r="I50" s="26">
        <v>1</v>
      </c>
      <c r="J50" s="40">
        <f t="shared" si="6"/>
        <v>180.125</v>
      </c>
      <c r="K50" s="41">
        <f t="shared" si="5"/>
        <v>5.4886246000250374</v>
      </c>
      <c r="L50" s="26">
        <v>176</v>
      </c>
      <c r="M50" s="26">
        <v>182</v>
      </c>
      <c r="N50" s="26">
        <v>174</v>
      </c>
      <c r="O50" s="26">
        <v>180</v>
      </c>
      <c r="P50" s="26">
        <v>177</v>
      </c>
      <c r="Q50" s="26">
        <v>177</v>
      </c>
      <c r="R50" s="26">
        <v>184</v>
      </c>
      <c r="S50" s="26">
        <v>191</v>
      </c>
      <c r="T50" s="26"/>
      <c r="U50" s="32">
        <v>0.15</v>
      </c>
      <c r="V50" s="27">
        <v>0.28999999999999998</v>
      </c>
      <c r="W50" s="27"/>
      <c r="X50" s="28" t="s">
        <v>114</v>
      </c>
      <c r="Y50" s="26" t="s">
        <v>139</v>
      </c>
      <c r="Z50" s="26" t="s">
        <v>13</v>
      </c>
      <c r="AA50" s="26" t="s">
        <v>103</v>
      </c>
      <c r="AB50" s="26" t="s">
        <v>141</v>
      </c>
      <c r="AC50" s="26" t="s">
        <v>111</v>
      </c>
      <c r="AD50" s="29">
        <v>45113</v>
      </c>
      <c r="AE50" s="26"/>
      <c r="AF50" s="26"/>
      <c r="AG50" s="26"/>
      <c r="AH50" s="26"/>
      <c r="AI50" s="26"/>
      <c r="AJ50" s="26"/>
    </row>
    <row r="51" spans="1:36" ht="15" customHeight="1">
      <c r="A51" s="25" t="str">
        <f t="shared" si="7"/>
        <v>VSG01C-23160E2.05</v>
      </c>
      <c r="B51" s="26">
        <v>100</v>
      </c>
      <c r="C51" s="26">
        <v>5</v>
      </c>
      <c r="D51" s="26" t="s">
        <v>137</v>
      </c>
      <c r="E51" s="29">
        <v>45086</v>
      </c>
      <c r="F51" s="30">
        <f>E51-DATE(YEAR(E51),1,0)</f>
        <v>160</v>
      </c>
      <c r="G51" s="26" t="s">
        <v>138</v>
      </c>
      <c r="H51" s="26" t="s">
        <v>63</v>
      </c>
      <c r="I51" s="26">
        <v>1</v>
      </c>
      <c r="J51" s="40">
        <f t="shared" si="6"/>
        <v>182.25</v>
      </c>
      <c r="K51" s="41">
        <f t="shared" si="5"/>
        <v>8.1020279648281353</v>
      </c>
      <c r="L51" s="26">
        <v>196</v>
      </c>
      <c r="M51" s="26">
        <v>184</v>
      </c>
      <c r="N51" s="26">
        <v>181</v>
      </c>
      <c r="O51" s="26">
        <v>176</v>
      </c>
      <c r="P51" s="26">
        <v>183</v>
      </c>
      <c r="Q51" s="26">
        <v>183</v>
      </c>
      <c r="R51" s="26">
        <v>168</v>
      </c>
      <c r="S51" s="26">
        <v>187</v>
      </c>
      <c r="T51" s="26"/>
      <c r="U51" s="32">
        <v>0.15</v>
      </c>
      <c r="V51" s="27">
        <v>0.28999999999999998</v>
      </c>
      <c r="W51" s="27"/>
      <c r="X51" s="28" t="s">
        <v>114</v>
      </c>
      <c r="Y51" s="26" t="s">
        <v>139</v>
      </c>
      <c r="Z51" s="26" t="s">
        <v>13</v>
      </c>
      <c r="AA51" s="26" t="s">
        <v>103</v>
      </c>
      <c r="AB51" s="26" t="s">
        <v>141</v>
      </c>
      <c r="AC51" s="26" t="s">
        <v>105</v>
      </c>
      <c r="AD51" s="29">
        <v>45113</v>
      </c>
      <c r="AE51" s="26"/>
      <c r="AF51" s="26"/>
      <c r="AG51" s="26"/>
      <c r="AH51" s="26"/>
      <c r="AI51" s="26"/>
      <c r="AJ51" s="26"/>
    </row>
    <row r="52" spans="1:36" ht="15" customHeight="1">
      <c r="A52" s="25" t="str">
        <f t="shared" si="7"/>
        <v>VSG01C-23160E2.06</v>
      </c>
      <c r="B52" s="26">
        <v>100</v>
      </c>
      <c r="C52" s="26">
        <v>6</v>
      </c>
      <c r="D52" s="26" t="s">
        <v>137</v>
      </c>
      <c r="E52" s="29">
        <v>45086</v>
      </c>
      <c r="F52" s="30">
        <v>160</v>
      </c>
      <c r="G52" s="26" t="s">
        <v>138</v>
      </c>
      <c r="H52" s="26" t="s">
        <v>63</v>
      </c>
      <c r="I52" s="26">
        <v>1</v>
      </c>
      <c r="J52" s="40">
        <f t="shared" si="6"/>
        <v>182.375</v>
      </c>
      <c r="K52" s="41">
        <f t="shared" si="5"/>
        <v>9.2572365515540636</v>
      </c>
      <c r="L52" s="26">
        <v>179</v>
      </c>
      <c r="M52" s="26">
        <v>162</v>
      </c>
      <c r="N52" s="26">
        <v>184</v>
      </c>
      <c r="O52" s="26">
        <v>185</v>
      </c>
      <c r="P52" s="26">
        <v>191</v>
      </c>
      <c r="Q52" s="26">
        <v>191</v>
      </c>
      <c r="R52" s="26">
        <v>181</v>
      </c>
      <c r="S52" s="26">
        <v>186</v>
      </c>
      <c r="T52" s="26"/>
      <c r="U52" s="32">
        <v>0.15</v>
      </c>
      <c r="V52" s="27">
        <v>0.28999999999999998</v>
      </c>
      <c r="W52" s="27"/>
      <c r="X52" s="28" t="s">
        <v>114</v>
      </c>
      <c r="Y52" s="26" t="s">
        <v>139</v>
      </c>
      <c r="Z52" s="26" t="s">
        <v>13</v>
      </c>
      <c r="AA52" s="26" t="s">
        <v>103</v>
      </c>
      <c r="AB52" s="26" t="s">
        <v>141</v>
      </c>
      <c r="AC52" s="26" t="s">
        <v>106</v>
      </c>
      <c r="AD52" s="29">
        <v>45113</v>
      </c>
      <c r="AE52" s="26"/>
      <c r="AF52" s="26"/>
      <c r="AG52" s="26"/>
      <c r="AH52" s="26"/>
      <c r="AI52" s="26"/>
      <c r="AJ52" s="26"/>
    </row>
    <row r="53" spans="1:36" ht="15" customHeight="1">
      <c r="A53" s="25" t="str">
        <f t="shared" si="7"/>
        <v>VSG01C-23171E2.01</v>
      </c>
      <c r="B53" s="26">
        <v>100</v>
      </c>
      <c r="C53" s="26">
        <v>1</v>
      </c>
      <c r="D53" s="26" t="s">
        <v>142</v>
      </c>
      <c r="E53" s="29">
        <v>45097</v>
      </c>
      <c r="F53" s="30">
        <f t="shared" ref="F53:F84" si="9">E53-DATE(YEAR(E53),1,0)</f>
        <v>171</v>
      </c>
      <c r="G53" s="26" t="s">
        <v>143</v>
      </c>
      <c r="H53" s="26" t="s">
        <v>63</v>
      </c>
      <c r="I53" s="26">
        <f t="shared" ref="I53:I61" si="10">IF(B53=100,1,(IF(B53=600,2,3)))</f>
        <v>1</v>
      </c>
      <c r="J53" s="40">
        <f t="shared" si="6"/>
        <v>176.875</v>
      </c>
      <c r="K53" s="41">
        <f t="shared" si="5"/>
        <v>5.2218633784174342</v>
      </c>
      <c r="L53" s="26">
        <v>186</v>
      </c>
      <c r="M53" s="26">
        <v>180</v>
      </c>
      <c r="N53" s="26">
        <v>181</v>
      </c>
      <c r="O53" s="26">
        <v>175</v>
      </c>
      <c r="P53" s="26">
        <v>175</v>
      </c>
      <c r="Q53" s="26">
        <v>175</v>
      </c>
      <c r="R53" s="26">
        <v>169</v>
      </c>
      <c r="S53" s="26">
        <v>174</v>
      </c>
      <c r="T53" s="26"/>
      <c r="U53" s="32">
        <v>0.115</v>
      </c>
      <c r="V53" s="27">
        <v>0.17399999999999999</v>
      </c>
      <c r="W53" s="27"/>
      <c r="X53" s="28" t="s">
        <v>114</v>
      </c>
      <c r="Y53" s="26" t="s">
        <v>139</v>
      </c>
      <c r="Z53" s="26" t="s">
        <v>13</v>
      </c>
      <c r="AA53" s="26" t="s">
        <v>144</v>
      </c>
      <c r="AB53" s="26" t="s">
        <v>145</v>
      </c>
      <c r="AC53" s="26" t="s">
        <v>105</v>
      </c>
      <c r="AD53" s="26"/>
      <c r="AE53" s="26"/>
      <c r="AF53" s="26"/>
      <c r="AG53" s="26"/>
      <c r="AH53" s="26"/>
      <c r="AI53" s="26"/>
      <c r="AJ53" s="26"/>
    </row>
    <row r="54" spans="1:36" ht="15" customHeight="1">
      <c r="A54" s="25" t="str">
        <f t="shared" si="7"/>
        <v>VSG01C-23171E2.02</v>
      </c>
      <c r="B54" s="26">
        <v>100</v>
      </c>
      <c r="C54" s="26">
        <v>2</v>
      </c>
      <c r="D54" s="26" t="s">
        <v>142</v>
      </c>
      <c r="E54" s="29">
        <v>45097</v>
      </c>
      <c r="F54" s="30">
        <f t="shared" si="9"/>
        <v>171</v>
      </c>
      <c r="G54" s="26" t="s">
        <v>143</v>
      </c>
      <c r="H54" s="26" t="s">
        <v>63</v>
      </c>
      <c r="I54" s="26">
        <f t="shared" si="10"/>
        <v>1</v>
      </c>
      <c r="J54" s="40">
        <f t="shared" si="6"/>
        <v>183.125</v>
      </c>
      <c r="K54" s="41">
        <f t="shared" si="5"/>
        <v>5.8171544344538173</v>
      </c>
      <c r="L54" s="26">
        <v>184</v>
      </c>
      <c r="M54" s="26">
        <v>183</v>
      </c>
      <c r="N54" s="26">
        <v>179</v>
      </c>
      <c r="O54" s="26">
        <v>188</v>
      </c>
      <c r="P54" s="26">
        <v>191</v>
      </c>
      <c r="Q54" s="26">
        <v>172</v>
      </c>
      <c r="R54" s="26">
        <v>186</v>
      </c>
      <c r="S54" s="26">
        <v>182</v>
      </c>
      <c r="T54" s="26"/>
      <c r="U54" s="32">
        <v>0.115</v>
      </c>
      <c r="V54" s="27">
        <v>0.17399999999999999</v>
      </c>
      <c r="W54" s="27"/>
      <c r="X54" s="28" t="s">
        <v>114</v>
      </c>
      <c r="Y54" s="26" t="s">
        <v>139</v>
      </c>
      <c r="Z54" s="26" t="s">
        <v>13</v>
      </c>
      <c r="AA54" s="26" t="s">
        <v>144</v>
      </c>
      <c r="AB54" s="26" t="s">
        <v>145</v>
      </c>
      <c r="AC54" s="26" t="s">
        <v>106</v>
      </c>
      <c r="AD54" s="26"/>
      <c r="AE54" s="26"/>
      <c r="AF54" s="26"/>
      <c r="AG54" s="26"/>
      <c r="AH54" s="26"/>
      <c r="AI54" s="26"/>
      <c r="AJ54" s="26"/>
    </row>
    <row r="55" spans="1:36" ht="15" customHeight="1">
      <c r="A55" s="25" t="str">
        <f t="shared" si="7"/>
        <v>VSG01C-23171E2.03</v>
      </c>
      <c r="B55" s="26">
        <v>100</v>
      </c>
      <c r="C55" s="26">
        <v>3</v>
      </c>
      <c r="D55" s="26" t="s">
        <v>142</v>
      </c>
      <c r="E55" s="29">
        <v>45097</v>
      </c>
      <c r="F55" s="30">
        <f t="shared" si="9"/>
        <v>171</v>
      </c>
      <c r="G55" s="26" t="s">
        <v>143</v>
      </c>
      <c r="H55" s="26" t="s">
        <v>63</v>
      </c>
      <c r="I55" s="26">
        <f t="shared" si="10"/>
        <v>1</v>
      </c>
      <c r="J55" s="40">
        <f t="shared" si="6"/>
        <v>177.125</v>
      </c>
      <c r="K55" s="41">
        <f t="shared" si="5"/>
        <v>3.090885217631258</v>
      </c>
      <c r="L55" s="26">
        <v>183</v>
      </c>
      <c r="M55" s="26">
        <v>178</v>
      </c>
      <c r="N55" s="26">
        <v>176</v>
      </c>
      <c r="O55" s="26">
        <v>173</v>
      </c>
      <c r="P55" s="26">
        <v>177</v>
      </c>
      <c r="Q55" s="26">
        <v>174</v>
      </c>
      <c r="R55" s="26">
        <v>179</v>
      </c>
      <c r="S55" s="26">
        <v>177</v>
      </c>
      <c r="T55" s="26"/>
      <c r="U55" s="32">
        <v>0.115</v>
      </c>
      <c r="V55" s="27">
        <v>0.17399999999999999</v>
      </c>
      <c r="W55" s="27"/>
      <c r="X55" s="28" t="s">
        <v>114</v>
      </c>
      <c r="Y55" s="26" t="s">
        <v>139</v>
      </c>
      <c r="Z55" s="26" t="s">
        <v>13</v>
      </c>
      <c r="AA55" s="26" t="s">
        <v>144</v>
      </c>
      <c r="AB55" s="26" t="s">
        <v>145</v>
      </c>
      <c r="AC55" s="26" t="s">
        <v>111</v>
      </c>
      <c r="AD55" s="26"/>
      <c r="AE55" s="26"/>
      <c r="AF55" s="26"/>
      <c r="AG55" s="26"/>
      <c r="AH55" s="26"/>
      <c r="AI55" s="26"/>
      <c r="AJ55" s="26"/>
    </row>
    <row r="56" spans="1:36" ht="15" customHeight="1">
      <c r="A56" s="25" t="str">
        <f t="shared" si="7"/>
        <v>VSG01C-23171E2.04</v>
      </c>
      <c r="B56" s="26">
        <v>100</v>
      </c>
      <c r="C56" s="26">
        <v>4</v>
      </c>
      <c r="D56" s="26" t="s">
        <v>142</v>
      </c>
      <c r="E56" s="29">
        <v>45097</v>
      </c>
      <c r="F56" s="30">
        <f t="shared" si="9"/>
        <v>171</v>
      </c>
      <c r="G56" s="26" t="s">
        <v>143</v>
      </c>
      <c r="H56" s="26" t="s">
        <v>63</v>
      </c>
      <c r="I56" s="26">
        <f t="shared" si="10"/>
        <v>1</v>
      </c>
      <c r="J56" s="40">
        <f t="shared" si="6"/>
        <v>179</v>
      </c>
      <c r="K56" s="41">
        <f t="shared" si="5"/>
        <v>5.4510811509539749</v>
      </c>
      <c r="L56" s="26">
        <v>183</v>
      </c>
      <c r="M56" s="26">
        <v>184</v>
      </c>
      <c r="N56" s="26">
        <v>186</v>
      </c>
      <c r="O56" s="26">
        <v>176</v>
      </c>
      <c r="P56" s="26">
        <v>179</v>
      </c>
      <c r="Q56" s="26">
        <v>176</v>
      </c>
      <c r="R56" s="26">
        <v>179</v>
      </c>
      <c r="S56" s="26">
        <v>169</v>
      </c>
      <c r="T56" s="26"/>
      <c r="U56" s="32">
        <v>0.115</v>
      </c>
      <c r="V56" s="27">
        <v>0.17399999999999999</v>
      </c>
      <c r="W56" s="27"/>
      <c r="X56" s="28" t="s">
        <v>114</v>
      </c>
      <c r="Y56" s="26" t="s">
        <v>139</v>
      </c>
      <c r="Z56" s="26" t="s">
        <v>13</v>
      </c>
      <c r="AA56" s="26" t="s">
        <v>144</v>
      </c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 ht="15" hidden="1" customHeight="1">
      <c r="A57" s="25" t="str">
        <f t="shared" si="7"/>
        <v>VSG02C-23177E2.01</v>
      </c>
      <c r="B57" s="26">
        <v>600</v>
      </c>
      <c r="C57" s="26">
        <v>1</v>
      </c>
      <c r="D57" s="26" t="s">
        <v>146</v>
      </c>
      <c r="E57" s="29">
        <v>45103</v>
      </c>
      <c r="F57" s="30">
        <f t="shared" si="9"/>
        <v>177</v>
      </c>
      <c r="G57" s="26" t="s">
        <v>147</v>
      </c>
      <c r="H57" s="26" t="s">
        <v>63</v>
      </c>
      <c r="I57" s="26">
        <f t="shared" si="10"/>
        <v>2</v>
      </c>
      <c r="J57" s="40">
        <f t="shared" si="6"/>
        <v>181.5</v>
      </c>
      <c r="K57" s="41">
        <f t="shared" si="5"/>
        <v>8.9761588985171468</v>
      </c>
      <c r="L57" s="26">
        <v>190</v>
      </c>
      <c r="M57" s="26">
        <v>191</v>
      </c>
      <c r="N57" s="26">
        <v>179</v>
      </c>
      <c r="O57" s="26">
        <v>180</v>
      </c>
      <c r="P57" s="26">
        <v>168</v>
      </c>
      <c r="Q57" s="26">
        <v>170</v>
      </c>
      <c r="R57" s="26">
        <v>184</v>
      </c>
      <c r="S57" s="26">
        <v>190</v>
      </c>
      <c r="T57" s="26"/>
      <c r="U57" s="31">
        <v>0.15</v>
      </c>
      <c r="V57" s="26">
        <v>0.15</v>
      </c>
      <c r="W57" s="26"/>
      <c r="X57" s="28" t="s">
        <v>114</v>
      </c>
      <c r="Y57" s="26" t="s">
        <v>139</v>
      </c>
      <c r="Z57" s="26" t="s">
        <v>13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 ht="15" hidden="1" customHeight="1">
      <c r="A58" s="25" t="str">
        <f t="shared" si="7"/>
        <v>VSG02C-23178E2.01</v>
      </c>
      <c r="B58" s="26">
        <v>600</v>
      </c>
      <c r="C58" s="26">
        <v>1</v>
      </c>
      <c r="D58" s="26" t="s">
        <v>148</v>
      </c>
      <c r="E58" s="29">
        <v>45104</v>
      </c>
      <c r="F58" s="30">
        <f t="shared" si="9"/>
        <v>178</v>
      </c>
      <c r="G58" s="26" t="s">
        <v>149</v>
      </c>
      <c r="H58" s="26" t="s">
        <v>63</v>
      </c>
      <c r="I58" s="26">
        <f t="shared" si="10"/>
        <v>2</v>
      </c>
      <c r="J58" s="40">
        <f t="shared" si="6"/>
        <v>184</v>
      </c>
      <c r="K58" s="41">
        <f t="shared" si="5"/>
        <v>8.0711125096145917</v>
      </c>
      <c r="L58" s="26">
        <v>189</v>
      </c>
      <c r="M58" s="26">
        <v>192</v>
      </c>
      <c r="N58" s="26">
        <v>187</v>
      </c>
      <c r="O58" s="26">
        <v>193</v>
      </c>
      <c r="P58" s="26">
        <v>184</v>
      </c>
      <c r="Q58" s="26">
        <v>178</v>
      </c>
      <c r="R58" s="26">
        <v>169</v>
      </c>
      <c r="S58" s="26">
        <v>180</v>
      </c>
      <c r="T58" s="26"/>
      <c r="U58" s="42">
        <v>0.13</v>
      </c>
      <c r="V58" s="26">
        <v>0.10100000000000001</v>
      </c>
      <c r="W58" s="26"/>
      <c r="X58" s="28" t="s">
        <v>114</v>
      </c>
      <c r="Y58" s="26" t="s">
        <v>139</v>
      </c>
      <c r="Z58" s="26" t="s">
        <v>13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 ht="15" hidden="1" customHeight="1">
      <c r="A59" s="25" t="str">
        <f t="shared" si="7"/>
        <v>VSG02C-23178E2.02</v>
      </c>
      <c r="B59" s="26">
        <v>600</v>
      </c>
      <c r="C59" s="26">
        <v>2</v>
      </c>
      <c r="D59" s="26" t="s">
        <v>150</v>
      </c>
      <c r="E59" s="29">
        <v>45104</v>
      </c>
      <c r="F59" s="30">
        <f t="shared" si="9"/>
        <v>178</v>
      </c>
      <c r="G59" s="26" t="s">
        <v>149</v>
      </c>
      <c r="H59" s="26" t="s">
        <v>63</v>
      </c>
      <c r="I59" s="26">
        <f t="shared" si="10"/>
        <v>2</v>
      </c>
      <c r="J59" s="40"/>
      <c r="K59" s="41"/>
      <c r="L59" s="26"/>
      <c r="M59" s="26"/>
      <c r="N59" s="26"/>
      <c r="O59" s="26"/>
      <c r="P59" s="26"/>
      <c r="Q59" s="26"/>
      <c r="R59" s="26"/>
      <c r="S59" s="26"/>
      <c r="T59" s="26"/>
      <c r="U59" s="42"/>
      <c r="V59" s="26" t="s">
        <v>119</v>
      </c>
      <c r="W59" s="26"/>
      <c r="X59" s="28" t="s">
        <v>114</v>
      </c>
      <c r="Y59" s="26" t="s">
        <v>139</v>
      </c>
      <c r="Z59" s="26" t="s">
        <v>13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 ht="15" hidden="1" customHeight="1">
      <c r="A60" s="25" t="str">
        <f t="shared" si="7"/>
        <v>VSG02C-23179E2.01</v>
      </c>
      <c r="B60" s="26">
        <v>600</v>
      </c>
      <c r="C60" s="26">
        <v>1</v>
      </c>
      <c r="D60" s="26" t="s">
        <v>151</v>
      </c>
      <c r="E60" s="29">
        <v>45105</v>
      </c>
      <c r="F60" s="30">
        <f t="shared" si="9"/>
        <v>179</v>
      </c>
      <c r="G60" s="26" t="s">
        <v>152</v>
      </c>
      <c r="H60" s="26" t="s">
        <v>63</v>
      </c>
      <c r="I60" s="26">
        <f t="shared" si="10"/>
        <v>2</v>
      </c>
      <c r="J60" s="40">
        <f t="shared" si="6"/>
        <v>176.25</v>
      </c>
      <c r="K60" s="41">
        <f t="shared" si="5"/>
        <v>6.9846771067612199</v>
      </c>
      <c r="L60" s="26">
        <v>175</v>
      </c>
      <c r="M60" s="26">
        <v>188</v>
      </c>
      <c r="N60" s="26">
        <v>171</v>
      </c>
      <c r="O60" s="26">
        <v>169</v>
      </c>
      <c r="P60" s="26">
        <v>168</v>
      </c>
      <c r="Q60" s="26">
        <v>177</v>
      </c>
      <c r="R60" s="26">
        <v>183</v>
      </c>
      <c r="S60" s="26">
        <v>179</v>
      </c>
      <c r="T60" s="26"/>
      <c r="U60" s="43">
        <v>0.189</v>
      </c>
      <c r="V60" s="26">
        <v>0.10299999999999999</v>
      </c>
      <c r="W60" s="26"/>
      <c r="X60" s="28" t="s">
        <v>114</v>
      </c>
      <c r="Y60" s="26" t="s">
        <v>139</v>
      </c>
      <c r="Z60" s="26" t="s">
        <v>13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 ht="15" hidden="1" customHeight="1">
      <c r="A61" s="25" t="str">
        <f t="shared" si="7"/>
        <v>VSG02C-23180E2.01</v>
      </c>
      <c r="B61" s="26">
        <v>600</v>
      </c>
      <c r="C61" s="26">
        <v>1</v>
      </c>
      <c r="D61" s="26" t="s">
        <v>153</v>
      </c>
      <c r="E61" s="29">
        <v>45106</v>
      </c>
      <c r="F61" s="30">
        <f t="shared" si="9"/>
        <v>180</v>
      </c>
      <c r="G61" s="26" t="s">
        <v>154</v>
      </c>
      <c r="H61" s="26" t="s">
        <v>63</v>
      </c>
      <c r="I61" s="26">
        <f t="shared" si="10"/>
        <v>2</v>
      </c>
      <c r="J61" s="31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7">
        <f>AVERAGE(0.35,0.17,0.29,0.37,0.2,0.3,0.2,0.09,0.39)</f>
        <v>0.26222222222222225</v>
      </c>
      <c r="V61" s="26">
        <v>0.23</v>
      </c>
      <c r="W61" s="26"/>
      <c r="X61" s="28" t="s">
        <v>114</v>
      </c>
      <c r="Y61" s="26" t="s">
        <v>139</v>
      </c>
      <c r="Z61" s="26" t="s">
        <v>13</v>
      </c>
      <c r="AA61" s="26" t="s">
        <v>103</v>
      </c>
      <c r="AB61" s="26" t="s">
        <v>128</v>
      </c>
      <c r="AC61" s="26" t="s">
        <v>106</v>
      </c>
      <c r="AD61" s="26"/>
      <c r="AE61" s="26"/>
      <c r="AF61" s="26"/>
      <c r="AG61" s="26"/>
      <c r="AH61" s="26"/>
      <c r="AI61" s="26"/>
      <c r="AJ61" s="26"/>
    </row>
    <row r="62" spans="1:36" ht="15" customHeight="1">
      <c r="A62" s="25" t="str">
        <f t="shared" si="7"/>
        <v>VSG01C-23194E2.01</v>
      </c>
      <c r="B62" s="26">
        <v>100</v>
      </c>
      <c r="C62" s="26">
        <v>1</v>
      </c>
      <c r="D62" s="26" t="s">
        <v>155</v>
      </c>
      <c r="E62" s="29">
        <v>45120</v>
      </c>
      <c r="F62" s="30">
        <f t="shared" si="9"/>
        <v>194</v>
      </c>
      <c r="G62" s="26" t="s">
        <v>156</v>
      </c>
      <c r="H62" s="26" t="s">
        <v>63</v>
      </c>
      <c r="I62" s="26">
        <v>1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>
        <v>0.41</v>
      </c>
      <c r="V62" s="26"/>
      <c r="W62" s="26"/>
      <c r="X62" s="28" t="s">
        <v>114</v>
      </c>
      <c r="Y62" s="26" t="s">
        <v>139</v>
      </c>
      <c r="Z62" s="26" t="s">
        <v>13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 ht="15" customHeight="1">
      <c r="A63" s="25" t="str">
        <f t="shared" si="7"/>
        <v>VSG01C-23194E2.02</v>
      </c>
      <c r="B63" s="26">
        <v>100</v>
      </c>
      <c r="C63" s="26">
        <v>2</v>
      </c>
      <c r="D63" s="26" t="s">
        <v>155</v>
      </c>
      <c r="E63" s="29">
        <v>45120</v>
      </c>
      <c r="F63" s="30">
        <f t="shared" si="9"/>
        <v>194</v>
      </c>
      <c r="G63" s="26" t="s">
        <v>156</v>
      </c>
      <c r="H63" s="26" t="s">
        <v>63</v>
      </c>
      <c r="I63" s="26">
        <v>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>
        <v>0.41</v>
      </c>
      <c r="V63" s="26"/>
      <c r="W63" s="26"/>
      <c r="X63" s="28" t="s">
        <v>114</v>
      </c>
      <c r="Y63" s="26" t="s">
        <v>139</v>
      </c>
      <c r="Z63" s="26" t="s">
        <v>13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 ht="15" hidden="1" customHeight="1">
      <c r="A64" s="25" t="str">
        <f t="shared" si="7"/>
        <v>VSG02C-23198E2.01</v>
      </c>
      <c r="B64" s="26">
        <v>600</v>
      </c>
      <c r="C64" s="26">
        <v>1</v>
      </c>
      <c r="D64" s="26" t="s">
        <v>157</v>
      </c>
      <c r="E64" s="29">
        <v>45124</v>
      </c>
      <c r="F64" s="30">
        <f t="shared" si="9"/>
        <v>198</v>
      </c>
      <c r="G64" s="26" t="s">
        <v>158</v>
      </c>
      <c r="H64" s="26" t="s">
        <v>63</v>
      </c>
      <c r="I64" s="26">
        <v>2</v>
      </c>
      <c r="J64" s="44">
        <f t="shared" ref="J64:J87" si="11">AVERAGE(L64:S64)</f>
        <v>176.25</v>
      </c>
      <c r="K64" s="41">
        <f t="shared" ref="K64:K87" si="12">STDEV(L64:S64)</f>
        <v>6.4531277023515621</v>
      </c>
      <c r="L64" s="26">
        <v>170</v>
      </c>
      <c r="M64" s="26">
        <v>176</v>
      </c>
      <c r="N64" s="26">
        <v>181</v>
      </c>
      <c r="O64" s="26">
        <v>184</v>
      </c>
      <c r="P64" s="26">
        <v>185</v>
      </c>
      <c r="Q64" s="26">
        <v>170</v>
      </c>
      <c r="R64" s="26">
        <v>169</v>
      </c>
      <c r="S64" s="26">
        <v>175</v>
      </c>
      <c r="T64" s="26"/>
      <c r="U64" s="26">
        <v>0.18</v>
      </c>
      <c r="V64" s="26">
        <v>0.41</v>
      </c>
      <c r="W64" s="26"/>
      <c r="X64" s="28" t="s">
        <v>114</v>
      </c>
      <c r="Y64" s="26" t="s">
        <v>139</v>
      </c>
      <c r="Z64" s="26" t="s">
        <v>13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ht="15" customHeight="1">
      <c r="A65" s="25" t="str">
        <f t="shared" si="7"/>
        <v>VSG01C-23198E2.02</v>
      </c>
      <c r="B65" s="26">
        <v>100</v>
      </c>
      <c r="C65" s="26">
        <v>2</v>
      </c>
      <c r="D65" s="26" t="s">
        <v>159</v>
      </c>
      <c r="E65" s="29">
        <v>45124</v>
      </c>
      <c r="F65" s="30">
        <f t="shared" si="9"/>
        <v>198</v>
      </c>
      <c r="G65" s="26" t="s">
        <v>158</v>
      </c>
      <c r="H65" s="26" t="s">
        <v>63</v>
      </c>
      <c r="I65" s="26">
        <f t="shared" ref="I65:I70" si="13">IF(B65=100,1,2)</f>
        <v>1</v>
      </c>
      <c r="J65" s="40">
        <f t="shared" si="11"/>
        <v>165.125</v>
      </c>
      <c r="K65" s="41">
        <f t="shared" si="12"/>
        <v>2.4748737341529163</v>
      </c>
      <c r="L65" s="26">
        <v>162</v>
      </c>
      <c r="M65" s="26">
        <v>164</v>
      </c>
      <c r="N65" s="26">
        <v>164</v>
      </c>
      <c r="O65" s="26">
        <v>166</v>
      </c>
      <c r="P65" s="26">
        <v>167</v>
      </c>
      <c r="Q65" s="26">
        <v>162</v>
      </c>
      <c r="R65" s="26">
        <v>168</v>
      </c>
      <c r="S65" s="26">
        <v>168</v>
      </c>
      <c r="T65" s="26"/>
      <c r="U65" s="26">
        <v>0.18</v>
      </c>
      <c r="V65" s="26">
        <v>0.34</v>
      </c>
      <c r="W65" s="26"/>
      <c r="X65" s="28" t="s">
        <v>114</v>
      </c>
      <c r="Y65" s="26" t="s">
        <v>139</v>
      </c>
      <c r="Z65" s="26" t="s">
        <v>13</v>
      </c>
      <c r="AA65" s="26" t="s">
        <v>133</v>
      </c>
      <c r="AB65" s="26" t="s">
        <v>160</v>
      </c>
      <c r="AC65" s="26"/>
      <c r="AD65" s="26"/>
      <c r="AE65" s="26"/>
      <c r="AF65" s="26"/>
      <c r="AG65" s="26"/>
      <c r="AH65" s="26"/>
      <c r="AI65" s="26"/>
      <c r="AJ65" s="26"/>
    </row>
    <row r="66" spans="1:36" ht="15" customHeight="1">
      <c r="A66" s="25" t="str">
        <f t="shared" si="7"/>
        <v>VSG01C-23198E2.03</v>
      </c>
      <c r="B66" s="26">
        <v>100</v>
      </c>
      <c r="C66" s="26">
        <v>3</v>
      </c>
      <c r="D66" s="26" t="s">
        <v>161</v>
      </c>
      <c r="E66" s="29">
        <v>45124</v>
      </c>
      <c r="F66" s="30">
        <f t="shared" si="9"/>
        <v>198</v>
      </c>
      <c r="G66" s="26" t="s">
        <v>158</v>
      </c>
      <c r="H66" s="26" t="s">
        <v>63</v>
      </c>
      <c r="I66" s="26">
        <f t="shared" si="13"/>
        <v>1</v>
      </c>
      <c r="J66" s="40">
        <f t="shared" si="11"/>
        <v>183.625</v>
      </c>
      <c r="K66" s="41">
        <f t="shared" si="12"/>
        <v>4.8678977568791</v>
      </c>
      <c r="L66" s="26">
        <v>188</v>
      </c>
      <c r="M66" s="26">
        <v>188</v>
      </c>
      <c r="N66" s="26">
        <v>189</v>
      </c>
      <c r="O66" s="26">
        <v>185</v>
      </c>
      <c r="P66" s="26">
        <v>176</v>
      </c>
      <c r="Q66" s="26">
        <v>181</v>
      </c>
      <c r="R66" s="26">
        <v>184</v>
      </c>
      <c r="S66" s="26">
        <v>178</v>
      </c>
      <c r="T66" s="26"/>
      <c r="U66" s="26">
        <v>0.18</v>
      </c>
      <c r="V66" s="26">
        <v>0.34</v>
      </c>
      <c r="W66" s="26"/>
      <c r="X66" s="28" t="s">
        <v>114</v>
      </c>
      <c r="Y66" s="26" t="s">
        <v>139</v>
      </c>
      <c r="Z66" s="26" t="s">
        <v>13</v>
      </c>
      <c r="AA66" s="26" t="s">
        <v>133</v>
      </c>
      <c r="AB66" s="26" t="s">
        <v>160</v>
      </c>
      <c r="AC66" s="26"/>
      <c r="AD66" s="26"/>
      <c r="AE66" s="26"/>
      <c r="AF66" s="26"/>
      <c r="AG66" s="26"/>
      <c r="AH66" s="26"/>
      <c r="AI66" s="26"/>
      <c r="AJ66" s="26"/>
    </row>
    <row r="67" spans="1:36" ht="15" customHeight="1">
      <c r="A67" s="25" t="str">
        <f t="shared" si="7"/>
        <v>VSG01C-23198E2.04</v>
      </c>
      <c r="B67" s="26">
        <v>100</v>
      </c>
      <c r="C67" s="26">
        <v>4</v>
      </c>
      <c r="D67" s="26" t="s">
        <v>162</v>
      </c>
      <c r="E67" s="29">
        <v>45124</v>
      </c>
      <c r="F67" s="30">
        <f t="shared" si="9"/>
        <v>198</v>
      </c>
      <c r="G67" s="26" t="s">
        <v>158</v>
      </c>
      <c r="H67" s="26" t="s">
        <v>63</v>
      </c>
      <c r="I67" s="26">
        <f t="shared" si="13"/>
        <v>1</v>
      </c>
      <c r="J67" s="40">
        <f t="shared" si="11"/>
        <v>176</v>
      </c>
      <c r="K67" s="41">
        <f t="shared" si="12"/>
        <v>4.1747540560578447</v>
      </c>
      <c r="L67" s="26">
        <v>181</v>
      </c>
      <c r="M67" s="26">
        <v>178</v>
      </c>
      <c r="N67" s="26">
        <v>179</v>
      </c>
      <c r="O67" s="26">
        <v>175</v>
      </c>
      <c r="P67" s="26">
        <v>179</v>
      </c>
      <c r="Q67" s="26">
        <v>168</v>
      </c>
      <c r="R67" s="26">
        <v>175</v>
      </c>
      <c r="S67" s="26">
        <v>173</v>
      </c>
      <c r="T67" s="26"/>
      <c r="U67" s="26">
        <v>0.18</v>
      </c>
      <c r="V67" s="26">
        <v>0.34</v>
      </c>
      <c r="W67" s="26"/>
      <c r="X67" s="28" t="s">
        <v>114</v>
      </c>
      <c r="Y67" s="26" t="s">
        <v>139</v>
      </c>
      <c r="Z67" s="26" t="s">
        <v>13</v>
      </c>
      <c r="AA67" s="26" t="s">
        <v>133</v>
      </c>
      <c r="AB67" s="26" t="s">
        <v>160</v>
      </c>
      <c r="AC67" s="26"/>
      <c r="AD67" s="26"/>
      <c r="AE67" s="26"/>
      <c r="AF67" s="26"/>
      <c r="AG67" s="26"/>
      <c r="AH67" s="26"/>
      <c r="AI67" s="26"/>
      <c r="AJ67" s="26"/>
    </row>
    <row r="68" spans="1:36" ht="15" customHeight="1">
      <c r="A68" s="25" t="str">
        <f t="shared" ref="A68:A99" si="14">"VSG"&amp;TEXT(I68,"00")&amp;"C-23"&amp;TEXT(F68,"000")&amp;Z68&amp;"2."&amp;TEXT(RIGHT(C68),"00")</f>
        <v>VSG01C-23198E2.05</v>
      </c>
      <c r="B68" s="26">
        <v>100</v>
      </c>
      <c r="C68" s="26">
        <v>5</v>
      </c>
      <c r="D68" s="26" t="s">
        <v>163</v>
      </c>
      <c r="E68" s="29">
        <v>45124</v>
      </c>
      <c r="F68" s="30">
        <f t="shared" si="9"/>
        <v>198</v>
      </c>
      <c r="G68" s="26" t="s">
        <v>158</v>
      </c>
      <c r="H68" s="26" t="s">
        <v>63</v>
      </c>
      <c r="I68" s="26">
        <f t="shared" si="13"/>
        <v>1</v>
      </c>
      <c r="J68" s="40">
        <f t="shared" si="11"/>
        <v>177</v>
      </c>
      <c r="K68" s="41">
        <f t="shared" si="12"/>
        <v>6</v>
      </c>
      <c r="L68" s="26">
        <v>177</v>
      </c>
      <c r="M68" s="26">
        <v>185</v>
      </c>
      <c r="N68" s="26">
        <v>178</v>
      </c>
      <c r="O68" s="26">
        <v>166</v>
      </c>
      <c r="P68" s="26">
        <v>174</v>
      </c>
      <c r="Q68" s="26">
        <v>173</v>
      </c>
      <c r="R68" s="26">
        <v>182</v>
      </c>
      <c r="S68" s="26">
        <v>181</v>
      </c>
      <c r="T68" s="26"/>
      <c r="U68" s="26">
        <v>0.18</v>
      </c>
      <c r="V68" s="26">
        <v>0.34</v>
      </c>
      <c r="W68" s="26"/>
      <c r="X68" s="28" t="s">
        <v>114</v>
      </c>
      <c r="Y68" s="26" t="s">
        <v>139</v>
      </c>
      <c r="Z68" s="26" t="s">
        <v>13</v>
      </c>
      <c r="AA68" s="26" t="s">
        <v>133</v>
      </c>
      <c r="AB68" s="26" t="s">
        <v>164</v>
      </c>
      <c r="AC68" s="26"/>
      <c r="AD68" s="26"/>
      <c r="AE68" s="26"/>
      <c r="AF68" s="26"/>
      <c r="AG68" s="26"/>
      <c r="AH68" s="26"/>
      <c r="AI68" s="26"/>
      <c r="AJ68" s="26"/>
    </row>
    <row r="69" spans="1:36" ht="15" customHeight="1">
      <c r="A69" s="25" t="str">
        <f t="shared" si="14"/>
        <v>VSG01C-23198E2.06</v>
      </c>
      <c r="B69" s="26">
        <v>100</v>
      </c>
      <c r="C69" s="26">
        <v>6</v>
      </c>
      <c r="D69" s="26" t="s">
        <v>165</v>
      </c>
      <c r="E69" s="29">
        <v>45124</v>
      </c>
      <c r="F69" s="30">
        <f t="shared" si="9"/>
        <v>198</v>
      </c>
      <c r="G69" s="26" t="s">
        <v>158</v>
      </c>
      <c r="H69" s="26" t="s">
        <v>63</v>
      </c>
      <c r="I69" s="26">
        <f t="shared" si="13"/>
        <v>1</v>
      </c>
      <c r="J69" s="40">
        <f t="shared" si="11"/>
        <v>173.625</v>
      </c>
      <c r="K69" s="41">
        <f t="shared" si="12"/>
        <v>3.3354160160315836</v>
      </c>
      <c r="L69" s="26">
        <v>172</v>
      </c>
      <c r="M69" s="26">
        <v>178</v>
      </c>
      <c r="N69" s="26">
        <v>175</v>
      </c>
      <c r="O69" s="26">
        <v>178</v>
      </c>
      <c r="P69" s="26">
        <v>173</v>
      </c>
      <c r="Q69" s="26">
        <v>173</v>
      </c>
      <c r="R69" s="26">
        <v>168</v>
      </c>
      <c r="S69" s="26">
        <v>172</v>
      </c>
      <c r="T69" s="26"/>
      <c r="U69" s="26">
        <v>0.18</v>
      </c>
      <c r="V69" s="26">
        <v>0.34</v>
      </c>
      <c r="W69" s="26"/>
      <c r="X69" s="28" t="s">
        <v>114</v>
      </c>
      <c r="Y69" s="26" t="s">
        <v>139</v>
      </c>
      <c r="Z69" s="26" t="s">
        <v>13</v>
      </c>
      <c r="AA69" s="26" t="s">
        <v>133</v>
      </c>
      <c r="AB69" s="26" t="s">
        <v>164</v>
      </c>
      <c r="AC69" s="26"/>
      <c r="AD69" s="26"/>
      <c r="AE69" s="26"/>
      <c r="AF69" s="26"/>
      <c r="AG69" s="26"/>
      <c r="AH69" s="26"/>
      <c r="AI69" s="26"/>
      <c r="AJ69" s="26"/>
    </row>
    <row r="70" spans="1:36" ht="15" customHeight="1">
      <c r="A70" s="25" t="str">
        <f t="shared" si="14"/>
        <v>VSG01C-23198E2.07</v>
      </c>
      <c r="B70" s="26">
        <v>100</v>
      </c>
      <c r="C70" s="26">
        <v>7</v>
      </c>
      <c r="D70" s="26" t="s">
        <v>166</v>
      </c>
      <c r="E70" s="29">
        <v>45124</v>
      </c>
      <c r="F70" s="30">
        <f t="shared" si="9"/>
        <v>198</v>
      </c>
      <c r="G70" s="26" t="s">
        <v>158</v>
      </c>
      <c r="H70" s="26" t="s">
        <v>63</v>
      </c>
      <c r="I70" s="26">
        <f t="shared" si="13"/>
        <v>1</v>
      </c>
      <c r="J70" s="40">
        <f t="shared" si="11"/>
        <v>176.75</v>
      </c>
      <c r="K70" s="41">
        <f t="shared" si="12"/>
        <v>3.955105199973465</v>
      </c>
      <c r="L70" s="26">
        <v>174</v>
      </c>
      <c r="M70" s="26">
        <v>180</v>
      </c>
      <c r="N70" s="26">
        <v>176</v>
      </c>
      <c r="O70" s="26">
        <v>175</v>
      </c>
      <c r="P70" s="26">
        <v>174</v>
      </c>
      <c r="Q70" s="26">
        <v>184</v>
      </c>
      <c r="R70" s="26">
        <v>172</v>
      </c>
      <c r="S70" s="26">
        <v>179</v>
      </c>
      <c r="T70" s="26"/>
      <c r="U70" s="26">
        <v>0.18</v>
      </c>
      <c r="V70" s="26">
        <v>0.34</v>
      </c>
      <c r="W70" s="26"/>
      <c r="X70" s="28" t="s">
        <v>114</v>
      </c>
      <c r="Y70" s="26" t="s">
        <v>139</v>
      </c>
      <c r="Z70" s="26" t="s">
        <v>13</v>
      </c>
      <c r="AA70" s="26" t="s">
        <v>133</v>
      </c>
      <c r="AB70" s="26" t="s">
        <v>164</v>
      </c>
      <c r="AC70" s="26"/>
      <c r="AD70" s="26"/>
      <c r="AE70" s="26"/>
      <c r="AF70" s="26"/>
      <c r="AG70" s="26"/>
      <c r="AH70" s="26"/>
      <c r="AI70" s="26"/>
      <c r="AJ70" s="26"/>
    </row>
    <row r="71" spans="1:36" ht="15" hidden="1" customHeight="1">
      <c r="A71" s="25" t="str">
        <f t="shared" si="14"/>
        <v>VSG02C-23199E2.01</v>
      </c>
      <c r="B71" s="26">
        <v>600</v>
      </c>
      <c r="C71" s="26">
        <v>1</v>
      </c>
      <c r="D71" s="26" t="s">
        <v>167</v>
      </c>
      <c r="E71" s="29">
        <v>45125</v>
      </c>
      <c r="F71" s="30">
        <f t="shared" si="9"/>
        <v>199</v>
      </c>
      <c r="G71" s="26" t="s">
        <v>158</v>
      </c>
      <c r="H71" s="26" t="s">
        <v>63</v>
      </c>
      <c r="I71" s="26">
        <v>2</v>
      </c>
      <c r="J71" s="40">
        <f t="shared" si="11"/>
        <v>181</v>
      </c>
      <c r="K71" s="41">
        <f t="shared" si="12"/>
        <v>4.8989794855663558</v>
      </c>
      <c r="L71" s="26">
        <v>174</v>
      </c>
      <c r="M71" s="26">
        <v>173</v>
      </c>
      <c r="N71" s="26">
        <v>184</v>
      </c>
      <c r="O71" s="26">
        <v>185</v>
      </c>
      <c r="P71" s="26">
        <v>181</v>
      </c>
      <c r="Q71" s="26">
        <v>182</v>
      </c>
      <c r="R71" s="26">
        <v>186</v>
      </c>
      <c r="S71" s="26">
        <v>183</v>
      </c>
      <c r="T71" s="26"/>
      <c r="U71" s="26">
        <v>0.22</v>
      </c>
      <c r="V71" s="26">
        <v>7.0000000000000007E-2</v>
      </c>
      <c r="W71" s="26"/>
      <c r="X71" s="28" t="s">
        <v>114</v>
      </c>
      <c r="Y71" s="26" t="s">
        <v>139</v>
      </c>
      <c r="Z71" s="26" t="s">
        <v>13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ht="15" hidden="1" customHeight="1">
      <c r="A72" s="25" t="str">
        <f t="shared" si="14"/>
        <v>VSG02C-23199E2.02</v>
      </c>
      <c r="B72" s="26">
        <v>600</v>
      </c>
      <c r="C72" s="26">
        <v>2</v>
      </c>
      <c r="D72" s="26" t="s">
        <v>168</v>
      </c>
      <c r="E72" s="29">
        <v>45125</v>
      </c>
      <c r="F72" s="30">
        <f t="shared" si="9"/>
        <v>199</v>
      </c>
      <c r="G72" s="26" t="s">
        <v>158</v>
      </c>
      <c r="H72" s="26" t="s">
        <v>63</v>
      </c>
      <c r="I72" s="26">
        <v>2</v>
      </c>
      <c r="J72" s="40">
        <f t="shared" si="11"/>
        <v>179</v>
      </c>
      <c r="K72" s="41">
        <f t="shared" si="12"/>
        <v>5.7817446699565895</v>
      </c>
      <c r="L72" s="26">
        <v>184</v>
      </c>
      <c r="M72" s="26">
        <v>180</v>
      </c>
      <c r="N72" s="26">
        <v>172</v>
      </c>
      <c r="O72" s="26">
        <v>176</v>
      </c>
      <c r="P72" s="26">
        <v>174</v>
      </c>
      <c r="Q72" s="26">
        <v>174</v>
      </c>
      <c r="R72" s="26">
        <v>185</v>
      </c>
      <c r="S72" s="26">
        <v>187</v>
      </c>
      <c r="T72" s="26"/>
      <c r="U72" s="26">
        <v>0.22</v>
      </c>
      <c r="V72" s="26">
        <v>0.1</v>
      </c>
      <c r="W72" s="26"/>
      <c r="X72" s="28" t="s">
        <v>114</v>
      </c>
      <c r="Y72" s="26" t="s">
        <v>139</v>
      </c>
      <c r="Z72" s="26" t="s">
        <v>13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 ht="15" customHeight="1">
      <c r="A73" s="25" t="str">
        <f t="shared" si="14"/>
        <v>VSG01C-23200E2.01</v>
      </c>
      <c r="B73" s="26">
        <v>100</v>
      </c>
      <c r="C73" s="26">
        <v>1</v>
      </c>
      <c r="D73" s="26" t="s">
        <v>169</v>
      </c>
      <c r="E73" s="29">
        <v>45126</v>
      </c>
      <c r="F73" s="30">
        <f t="shared" si="9"/>
        <v>200</v>
      </c>
      <c r="G73" s="26" t="s">
        <v>158</v>
      </c>
      <c r="H73" s="26" t="s">
        <v>63</v>
      </c>
      <c r="I73" s="26">
        <v>1</v>
      </c>
      <c r="J73" s="40">
        <f t="shared" si="11"/>
        <v>185.42857142857142</v>
      </c>
      <c r="K73" s="41">
        <f t="shared" si="12"/>
        <v>9.6065453876882447</v>
      </c>
      <c r="L73" s="26">
        <v>195</v>
      </c>
      <c r="M73" s="26">
        <v>195</v>
      </c>
      <c r="N73" s="26">
        <v>190</v>
      </c>
      <c r="O73" s="26">
        <v>187</v>
      </c>
      <c r="P73" s="26">
        <v>175</v>
      </c>
      <c r="Q73" s="26">
        <v>186</v>
      </c>
      <c r="R73" s="26">
        <v>170</v>
      </c>
      <c r="S73" s="26"/>
      <c r="T73" s="26"/>
      <c r="U73" s="26">
        <v>0.26</v>
      </c>
      <c r="V73" s="26">
        <v>0.36</v>
      </c>
      <c r="W73" s="26"/>
      <c r="X73" s="28" t="s">
        <v>114</v>
      </c>
      <c r="Y73" s="26" t="s">
        <v>139</v>
      </c>
      <c r="Z73" s="26" t="s">
        <v>13</v>
      </c>
      <c r="AA73" s="26" t="s">
        <v>103</v>
      </c>
      <c r="AB73" s="26" t="s">
        <v>170</v>
      </c>
      <c r="AC73" s="26" t="s">
        <v>106</v>
      </c>
      <c r="AD73" s="26"/>
      <c r="AE73" s="26"/>
      <c r="AF73" s="26"/>
      <c r="AG73" s="26"/>
      <c r="AH73" s="26"/>
      <c r="AI73" s="26"/>
      <c r="AJ73" s="26"/>
    </row>
    <row r="74" spans="1:36" ht="15" customHeight="1">
      <c r="A74" s="25" t="str">
        <f t="shared" si="14"/>
        <v>VSG01C-23200E2.02</v>
      </c>
      <c r="B74" s="26">
        <v>100</v>
      </c>
      <c r="C74" s="26">
        <v>2</v>
      </c>
      <c r="D74" s="26" t="s">
        <v>169</v>
      </c>
      <c r="E74" s="29">
        <v>45126</v>
      </c>
      <c r="F74" s="30">
        <f t="shared" si="9"/>
        <v>200</v>
      </c>
      <c r="G74" s="26" t="s">
        <v>158</v>
      </c>
      <c r="H74" s="26" t="s">
        <v>63</v>
      </c>
      <c r="I74" s="26">
        <v>1</v>
      </c>
      <c r="J74" s="40">
        <f t="shared" si="11"/>
        <v>180.125</v>
      </c>
      <c r="K74" s="41">
        <f t="shared" si="12"/>
        <v>16.573968401424825</v>
      </c>
      <c r="L74" s="26">
        <v>188</v>
      </c>
      <c r="M74" s="26">
        <v>215</v>
      </c>
      <c r="N74" s="26">
        <v>183</v>
      </c>
      <c r="O74" s="26">
        <v>166</v>
      </c>
      <c r="P74" s="26">
        <v>164</v>
      </c>
      <c r="Q74" s="26">
        <v>167</v>
      </c>
      <c r="R74" s="26">
        <v>178</v>
      </c>
      <c r="S74" s="26">
        <v>180</v>
      </c>
      <c r="T74" s="26"/>
      <c r="U74" s="26">
        <v>0.26</v>
      </c>
      <c r="V74" s="26">
        <v>0.36</v>
      </c>
      <c r="W74" s="26"/>
      <c r="X74" s="28" t="s">
        <v>114</v>
      </c>
      <c r="Y74" s="26" t="s">
        <v>139</v>
      </c>
      <c r="Z74" s="26" t="s">
        <v>13</v>
      </c>
      <c r="AA74" s="26" t="s">
        <v>103</v>
      </c>
      <c r="AB74" s="26" t="s">
        <v>170</v>
      </c>
      <c r="AC74" s="26" t="s">
        <v>105</v>
      </c>
      <c r="AD74" s="26"/>
      <c r="AE74" s="26"/>
      <c r="AF74" s="26"/>
      <c r="AG74" s="26"/>
      <c r="AH74" s="26"/>
      <c r="AI74" s="26"/>
      <c r="AJ74" s="26"/>
    </row>
    <row r="75" spans="1:36" ht="15" customHeight="1">
      <c r="A75" s="25" t="str">
        <f t="shared" si="14"/>
        <v>VSG01C-23206E2.01</v>
      </c>
      <c r="B75" s="26">
        <v>100</v>
      </c>
      <c r="C75" s="26">
        <v>1</v>
      </c>
      <c r="D75" s="26" t="s">
        <v>171</v>
      </c>
      <c r="E75" s="29">
        <v>45132</v>
      </c>
      <c r="F75" s="30">
        <f t="shared" si="9"/>
        <v>206</v>
      </c>
      <c r="G75" s="26" t="s">
        <v>172</v>
      </c>
      <c r="H75" s="26" t="s">
        <v>63</v>
      </c>
      <c r="I75" s="26">
        <v>1</v>
      </c>
      <c r="J75" s="40">
        <f t="shared" si="11"/>
        <v>196</v>
      </c>
      <c r="K75" s="41">
        <f t="shared" si="12"/>
        <v>8.4515425472851664</v>
      </c>
      <c r="L75" s="26">
        <v>199</v>
      </c>
      <c r="M75" s="26">
        <v>196</v>
      </c>
      <c r="N75" s="26">
        <v>196</v>
      </c>
      <c r="O75" s="26">
        <v>195</v>
      </c>
      <c r="P75" s="26">
        <v>193</v>
      </c>
      <c r="Q75" s="26">
        <v>181</v>
      </c>
      <c r="R75" s="26">
        <v>212</v>
      </c>
      <c r="S75" s="26">
        <v>196</v>
      </c>
      <c r="T75" s="26"/>
      <c r="U75" s="26">
        <v>0.35</v>
      </c>
      <c r="V75" s="26">
        <v>0.33</v>
      </c>
      <c r="W75" s="26"/>
      <c r="X75" s="28" t="s">
        <v>114</v>
      </c>
      <c r="Y75" s="26" t="s">
        <v>139</v>
      </c>
      <c r="Z75" s="26" t="s">
        <v>13</v>
      </c>
      <c r="AA75" s="26" t="s">
        <v>133</v>
      </c>
      <c r="AB75" s="26" t="s">
        <v>173</v>
      </c>
      <c r="AC75" s="26" t="s">
        <v>174</v>
      </c>
      <c r="AD75" s="26"/>
      <c r="AE75" s="26"/>
      <c r="AF75" s="26"/>
      <c r="AG75" s="26"/>
      <c r="AH75" s="26"/>
      <c r="AI75" s="26"/>
      <c r="AJ75" s="26"/>
    </row>
    <row r="76" spans="1:36" ht="15" customHeight="1">
      <c r="A76" s="25" t="str">
        <f t="shared" si="14"/>
        <v>VSG01C-23206E2.02</v>
      </c>
      <c r="B76" s="26">
        <v>100</v>
      </c>
      <c r="C76" s="26">
        <v>2</v>
      </c>
      <c r="D76" s="26" t="s">
        <v>171</v>
      </c>
      <c r="E76" s="29">
        <v>45132</v>
      </c>
      <c r="F76" s="30">
        <f t="shared" si="9"/>
        <v>206</v>
      </c>
      <c r="G76" s="26" t="s">
        <v>172</v>
      </c>
      <c r="H76" s="26" t="s">
        <v>63</v>
      </c>
      <c r="I76" s="26">
        <v>1</v>
      </c>
      <c r="J76" s="40">
        <f t="shared" si="11"/>
        <v>195.375</v>
      </c>
      <c r="K76" s="41">
        <f t="shared" si="12"/>
        <v>15.296474850668792</v>
      </c>
      <c r="L76" s="26">
        <v>182</v>
      </c>
      <c r="M76" s="26">
        <v>191</v>
      </c>
      <c r="N76" s="26">
        <v>197</v>
      </c>
      <c r="O76" s="26">
        <v>188</v>
      </c>
      <c r="P76" s="26">
        <v>199</v>
      </c>
      <c r="Q76" s="26">
        <v>180</v>
      </c>
      <c r="R76" s="26">
        <v>229</v>
      </c>
      <c r="S76" s="26">
        <v>197</v>
      </c>
      <c r="T76" s="26"/>
      <c r="U76" s="26">
        <v>0.35</v>
      </c>
      <c r="V76" s="26">
        <v>0.33</v>
      </c>
      <c r="W76" s="26"/>
      <c r="X76" s="28" t="s">
        <v>114</v>
      </c>
      <c r="Y76" s="26" t="s">
        <v>139</v>
      </c>
      <c r="Z76" s="26" t="s">
        <v>13</v>
      </c>
      <c r="AA76" s="26" t="s">
        <v>144</v>
      </c>
      <c r="AB76" s="26" t="s">
        <v>175</v>
      </c>
      <c r="AC76" s="26" t="s">
        <v>174</v>
      </c>
      <c r="AD76" s="26"/>
      <c r="AE76" s="26"/>
      <c r="AF76" s="26"/>
      <c r="AG76" s="26"/>
      <c r="AH76" s="26"/>
      <c r="AI76" s="26"/>
      <c r="AJ76" s="26"/>
    </row>
    <row r="77" spans="1:36" ht="15" customHeight="1">
      <c r="A77" s="25" t="str">
        <f t="shared" si="14"/>
        <v>VSG01C-23206E2.03</v>
      </c>
      <c r="B77" s="26">
        <v>100</v>
      </c>
      <c r="C77" s="26">
        <v>3</v>
      </c>
      <c r="D77" s="26" t="s">
        <v>171</v>
      </c>
      <c r="E77" s="29">
        <v>45132</v>
      </c>
      <c r="F77" s="30">
        <f t="shared" si="9"/>
        <v>206</v>
      </c>
      <c r="G77" s="26" t="s">
        <v>172</v>
      </c>
      <c r="H77" s="26" t="s">
        <v>63</v>
      </c>
      <c r="I77" s="26">
        <v>1</v>
      </c>
      <c r="J77" s="40">
        <f t="shared" si="11"/>
        <v>189.875</v>
      </c>
      <c r="K77" s="41">
        <f t="shared" si="12"/>
        <v>10.615857411035087</v>
      </c>
      <c r="L77" s="26">
        <v>178</v>
      </c>
      <c r="M77" s="26">
        <v>178</v>
      </c>
      <c r="N77" s="26">
        <v>178</v>
      </c>
      <c r="O77" s="26">
        <v>202</v>
      </c>
      <c r="P77" s="26">
        <v>203</v>
      </c>
      <c r="Q77" s="26">
        <v>196</v>
      </c>
      <c r="R77" s="26">
        <v>192</v>
      </c>
      <c r="S77" s="26">
        <v>192</v>
      </c>
      <c r="T77" s="26"/>
      <c r="U77" s="26">
        <v>0.35</v>
      </c>
      <c r="V77" s="26">
        <v>0.33</v>
      </c>
      <c r="W77" s="26"/>
      <c r="X77" s="28" t="s">
        <v>114</v>
      </c>
      <c r="Y77" s="26" t="s">
        <v>139</v>
      </c>
      <c r="Z77" s="26" t="s">
        <v>13</v>
      </c>
      <c r="AA77" s="26" t="s">
        <v>144</v>
      </c>
      <c r="AB77" s="26" t="s">
        <v>175</v>
      </c>
      <c r="AC77" s="26" t="s">
        <v>176</v>
      </c>
      <c r="AD77" s="26"/>
      <c r="AE77" s="26"/>
      <c r="AF77" s="26"/>
      <c r="AG77" s="26"/>
      <c r="AH77" s="26"/>
      <c r="AI77" s="26"/>
      <c r="AJ77" s="26"/>
    </row>
    <row r="78" spans="1:36" ht="15" customHeight="1">
      <c r="A78" s="25" t="str">
        <f t="shared" si="14"/>
        <v>VSG01C-23206E2.04</v>
      </c>
      <c r="B78" s="26">
        <v>100</v>
      </c>
      <c r="C78" s="26">
        <v>4</v>
      </c>
      <c r="D78" s="26" t="s">
        <v>171</v>
      </c>
      <c r="E78" s="29">
        <v>45132</v>
      </c>
      <c r="F78" s="30">
        <f t="shared" si="9"/>
        <v>206</v>
      </c>
      <c r="G78" s="26" t="s">
        <v>172</v>
      </c>
      <c r="H78" s="26" t="s">
        <v>63</v>
      </c>
      <c r="I78" s="26">
        <v>1</v>
      </c>
      <c r="J78" s="40">
        <f t="shared" si="11"/>
        <v>190.5</v>
      </c>
      <c r="K78" s="41">
        <f t="shared" si="12"/>
        <v>2.8284271247461903</v>
      </c>
      <c r="L78" s="26">
        <v>188</v>
      </c>
      <c r="M78" s="26">
        <v>189</v>
      </c>
      <c r="N78" s="26">
        <v>192</v>
      </c>
      <c r="O78" s="26">
        <v>194</v>
      </c>
      <c r="P78" s="26">
        <v>194</v>
      </c>
      <c r="Q78" s="26">
        <v>187</v>
      </c>
      <c r="R78" s="26">
        <v>188</v>
      </c>
      <c r="S78" s="26">
        <v>192</v>
      </c>
      <c r="T78" s="26"/>
      <c r="U78" s="26">
        <v>0.35</v>
      </c>
      <c r="V78" s="26">
        <v>0.33</v>
      </c>
      <c r="W78" s="26"/>
      <c r="X78" s="28" t="s">
        <v>114</v>
      </c>
      <c r="Y78" s="26" t="s">
        <v>139</v>
      </c>
      <c r="Z78" s="26" t="s">
        <v>13</v>
      </c>
      <c r="AA78" s="26" t="s">
        <v>144</v>
      </c>
      <c r="AB78" s="26" t="s">
        <v>175</v>
      </c>
      <c r="AC78" s="26" t="s">
        <v>177</v>
      </c>
      <c r="AD78" s="26"/>
      <c r="AE78" s="26"/>
      <c r="AF78" s="26"/>
      <c r="AG78" s="26"/>
      <c r="AH78" s="26"/>
      <c r="AI78" s="26"/>
      <c r="AJ78" s="26"/>
    </row>
    <row r="79" spans="1:36" ht="15" customHeight="1">
      <c r="A79" s="25" t="str">
        <f t="shared" si="14"/>
        <v>VSG01C-23208E2.01</v>
      </c>
      <c r="B79" s="26">
        <v>100</v>
      </c>
      <c r="C79" s="26">
        <v>1</v>
      </c>
      <c r="D79" s="26" t="s">
        <v>178</v>
      </c>
      <c r="E79" s="29">
        <v>45134</v>
      </c>
      <c r="F79" s="30">
        <f t="shared" si="9"/>
        <v>208</v>
      </c>
      <c r="G79" s="26" t="s">
        <v>172</v>
      </c>
      <c r="H79" s="26" t="s">
        <v>63</v>
      </c>
      <c r="I79" s="26">
        <v>1</v>
      </c>
      <c r="J79" s="40">
        <f t="shared" si="11"/>
        <v>192.25</v>
      </c>
      <c r="K79" s="41">
        <f t="shared" si="12"/>
        <v>7.1663898063908622</v>
      </c>
      <c r="L79" s="26">
        <v>199</v>
      </c>
      <c r="M79" s="26">
        <v>192</v>
      </c>
      <c r="N79" s="26">
        <v>203</v>
      </c>
      <c r="O79" s="26">
        <v>182</v>
      </c>
      <c r="P79" s="26">
        <v>196</v>
      </c>
      <c r="Q79" s="26">
        <v>184</v>
      </c>
      <c r="R79" s="26">
        <v>189</v>
      </c>
      <c r="S79" s="26">
        <v>193</v>
      </c>
      <c r="T79" s="26"/>
      <c r="U79" s="26">
        <v>0.27</v>
      </c>
      <c r="V79" s="26">
        <v>0.28999999999999998</v>
      </c>
      <c r="W79" s="26"/>
      <c r="X79" s="28" t="s">
        <v>114</v>
      </c>
      <c r="Y79" s="26" t="s">
        <v>139</v>
      </c>
      <c r="Z79" s="26" t="s">
        <v>13</v>
      </c>
      <c r="AA79" s="26" t="s">
        <v>133</v>
      </c>
      <c r="AB79" s="26" t="s">
        <v>179</v>
      </c>
      <c r="AC79" s="26" t="s">
        <v>174</v>
      </c>
      <c r="AD79" s="26"/>
      <c r="AE79" s="26"/>
      <c r="AF79" s="26"/>
      <c r="AG79" s="26"/>
      <c r="AH79" s="26"/>
      <c r="AI79" s="26"/>
      <c r="AJ79" s="26"/>
    </row>
    <row r="80" spans="1:36" ht="15" customHeight="1">
      <c r="A80" s="25" t="str">
        <f t="shared" si="14"/>
        <v>VSG01C-23208E2.02</v>
      </c>
      <c r="B80" s="26">
        <v>100</v>
      </c>
      <c r="C80" s="26">
        <v>2</v>
      </c>
      <c r="D80" s="26" t="s">
        <v>178</v>
      </c>
      <c r="E80" s="29">
        <v>45134</v>
      </c>
      <c r="F80" s="30">
        <f t="shared" si="9"/>
        <v>208</v>
      </c>
      <c r="G80" s="26" t="s">
        <v>172</v>
      </c>
      <c r="H80" s="26" t="s">
        <v>63</v>
      </c>
      <c r="I80" s="26">
        <v>1</v>
      </c>
      <c r="J80" s="40">
        <f t="shared" si="11"/>
        <v>192.125</v>
      </c>
      <c r="K80" s="41">
        <f t="shared" si="12"/>
        <v>6.5778307323050766</v>
      </c>
      <c r="L80" s="26">
        <v>195</v>
      </c>
      <c r="M80" s="26">
        <v>185</v>
      </c>
      <c r="N80" s="26">
        <v>191</v>
      </c>
      <c r="O80" s="26">
        <v>202</v>
      </c>
      <c r="P80" s="26">
        <v>200</v>
      </c>
      <c r="Q80" s="26">
        <v>188</v>
      </c>
      <c r="R80" s="26">
        <v>184</v>
      </c>
      <c r="S80" s="26">
        <v>192</v>
      </c>
      <c r="T80" s="26"/>
      <c r="U80" s="26">
        <v>0.27</v>
      </c>
      <c r="V80" s="26">
        <v>0.28999999999999998</v>
      </c>
      <c r="W80" s="26"/>
      <c r="X80" s="28" t="s">
        <v>114</v>
      </c>
      <c r="Y80" s="26" t="s">
        <v>139</v>
      </c>
      <c r="Z80" s="26" t="s">
        <v>13</v>
      </c>
      <c r="AA80" s="26" t="s">
        <v>133</v>
      </c>
      <c r="AB80" s="26" t="s">
        <v>180</v>
      </c>
      <c r="AC80" s="26" t="s">
        <v>177</v>
      </c>
      <c r="AD80" s="26"/>
      <c r="AE80" s="26"/>
      <c r="AF80" s="26"/>
      <c r="AG80" s="26"/>
      <c r="AH80" s="26"/>
      <c r="AI80" s="26"/>
      <c r="AJ80" s="26"/>
    </row>
    <row r="81" spans="1:36" ht="15" customHeight="1">
      <c r="A81" s="25" t="str">
        <f t="shared" si="14"/>
        <v>VSG01C-23208E2.03</v>
      </c>
      <c r="B81" s="26">
        <v>100</v>
      </c>
      <c r="C81" s="26">
        <v>3</v>
      </c>
      <c r="D81" s="26" t="s">
        <v>178</v>
      </c>
      <c r="E81" s="29">
        <v>45134</v>
      </c>
      <c r="F81" s="30">
        <f t="shared" si="9"/>
        <v>208</v>
      </c>
      <c r="G81" s="26" t="s">
        <v>172</v>
      </c>
      <c r="H81" s="26" t="s">
        <v>63</v>
      </c>
      <c r="I81" s="26">
        <v>1</v>
      </c>
      <c r="J81" s="40">
        <f t="shared" si="11"/>
        <v>191.75</v>
      </c>
      <c r="K81" s="41">
        <f t="shared" si="12"/>
        <v>6.6708320320631671</v>
      </c>
      <c r="L81" s="26">
        <v>183</v>
      </c>
      <c r="M81" s="26">
        <v>188</v>
      </c>
      <c r="N81" s="26">
        <v>190</v>
      </c>
      <c r="O81" s="26">
        <v>202</v>
      </c>
      <c r="P81" s="26">
        <v>198</v>
      </c>
      <c r="Q81" s="26">
        <v>197</v>
      </c>
      <c r="R81" s="26">
        <v>191</v>
      </c>
      <c r="S81" s="26">
        <v>185</v>
      </c>
      <c r="T81" s="26"/>
      <c r="U81" s="26">
        <v>0.27</v>
      </c>
      <c r="V81" s="26">
        <v>0.28999999999999998</v>
      </c>
      <c r="W81" s="26"/>
      <c r="X81" s="28" t="s">
        <v>114</v>
      </c>
      <c r="Y81" s="26" t="s">
        <v>139</v>
      </c>
      <c r="Z81" s="26" t="s">
        <v>13</v>
      </c>
      <c r="AA81" s="26" t="s">
        <v>133</v>
      </c>
      <c r="AB81" s="26" t="s">
        <v>180</v>
      </c>
      <c r="AC81" s="26" t="s">
        <v>176</v>
      </c>
      <c r="AD81" s="26"/>
      <c r="AE81" s="26"/>
      <c r="AF81" s="26"/>
      <c r="AG81" s="26"/>
      <c r="AH81" s="26"/>
      <c r="AI81" s="26"/>
      <c r="AJ81" s="26"/>
    </row>
    <row r="82" spans="1:36" ht="15" customHeight="1">
      <c r="A82" s="25" t="str">
        <f t="shared" si="14"/>
        <v>VSG01C-23208E2.04</v>
      </c>
      <c r="B82" s="26">
        <v>100</v>
      </c>
      <c r="C82" s="26">
        <v>4</v>
      </c>
      <c r="D82" s="26" t="s">
        <v>178</v>
      </c>
      <c r="E82" s="29">
        <v>45134</v>
      </c>
      <c r="F82" s="30">
        <f t="shared" si="9"/>
        <v>208</v>
      </c>
      <c r="G82" s="26" t="s">
        <v>172</v>
      </c>
      <c r="H82" s="26" t="s">
        <v>63</v>
      </c>
      <c r="I82" s="26">
        <v>1</v>
      </c>
      <c r="J82" s="40">
        <f t="shared" si="11"/>
        <v>187.75</v>
      </c>
      <c r="K82" s="41">
        <f t="shared" si="12"/>
        <v>4.2003401222826158</v>
      </c>
      <c r="L82" s="26">
        <v>195</v>
      </c>
      <c r="M82" s="26">
        <v>186</v>
      </c>
      <c r="N82" s="26">
        <v>188</v>
      </c>
      <c r="O82" s="26">
        <v>184</v>
      </c>
      <c r="P82" s="26">
        <v>186</v>
      </c>
      <c r="Q82" s="26">
        <v>193</v>
      </c>
      <c r="R82" s="26">
        <v>187</v>
      </c>
      <c r="S82" s="26">
        <v>183</v>
      </c>
      <c r="T82" s="26"/>
      <c r="U82" s="26">
        <v>0.27</v>
      </c>
      <c r="V82" s="26">
        <v>0.28999999999999998</v>
      </c>
      <c r="W82" s="26"/>
      <c r="X82" s="28" t="s">
        <v>114</v>
      </c>
      <c r="Y82" s="26" t="s">
        <v>139</v>
      </c>
      <c r="Z82" s="26" t="s">
        <v>13</v>
      </c>
      <c r="AA82" s="26" t="s">
        <v>133</v>
      </c>
      <c r="AB82" s="26" t="s">
        <v>173</v>
      </c>
      <c r="AC82" s="26" t="s">
        <v>177</v>
      </c>
      <c r="AD82" s="26"/>
      <c r="AE82" s="26"/>
      <c r="AF82" s="26"/>
      <c r="AG82" s="26"/>
      <c r="AH82" s="26"/>
      <c r="AI82" s="26"/>
      <c r="AJ82" s="26"/>
    </row>
    <row r="83" spans="1:36" ht="15" customHeight="1">
      <c r="A83" s="25" t="str">
        <f t="shared" si="14"/>
        <v>VSG01C-23208E2.05</v>
      </c>
      <c r="B83" s="26">
        <v>100</v>
      </c>
      <c r="C83" s="26">
        <v>5</v>
      </c>
      <c r="D83" s="26" t="s">
        <v>178</v>
      </c>
      <c r="E83" s="29">
        <v>45134</v>
      </c>
      <c r="F83" s="30">
        <f t="shared" si="9"/>
        <v>208</v>
      </c>
      <c r="G83" s="26" t="s">
        <v>172</v>
      </c>
      <c r="H83" s="26" t="s">
        <v>63</v>
      </c>
      <c r="I83" s="26">
        <v>1</v>
      </c>
      <c r="J83" s="40">
        <f t="shared" si="11"/>
        <v>186.5</v>
      </c>
      <c r="K83" s="41">
        <f t="shared" si="12"/>
        <v>6.5027466724234522</v>
      </c>
      <c r="L83" s="26">
        <v>194</v>
      </c>
      <c r="M83" s="26">
        <v>196</v>
      </c>
      <c r="N83" s="26">
        <v>183</v>
      </c>
      <c r="O83" s="26">
        <v>182</v>
      </c>
      <c r="P83" s="26">
        <v>188</v>
      </c>
      <c r="Q83" s="26">
        <v>178</v>
      </c>
      <c r="R83" s="26">
        <v>190</v>
      </c>
      <c r="S83" s="26">
        <v>181</v>
      </c>
      <c r="T83" s="26"/>
      <c r="U83" s="26">
        <v>0.27</v>
      </c>
      <c r="V83" s="26">
        <v>0.28999999999999998</v>
      </c>
      <c r="W83" s="26"/>
      <c r="X83" s="28" t="s">
        <v>114</v>
      </c>
      <c r="Y83" s="26" t="s">
        <v>139</v>
      </c>
      <c r="Z83" s="26" t="s">
        <v>13</v>
      </c>
      <c r="AA83" s="26" t="s">
        <v>103</v>
      </c>
      <c r="AB83" s="26" t="s">
        <v>170</v>
      </c>
      <c r="AC83" s="26" t="s">
        <v>111</v>
      </c>
      <c r="AD83" s="26"/>
      <c r="AE83" s="26"/>
      <c r="AF83" s="26"/>
      <c r="AG83" s="26"/>
      <c r="AH83" s="26"/>
      <c r="AI83" s="26"/>
      <c r="AJ83" s="26"/>
    </row>
    <row r="84" spans="1:36" ht="15" customHeight="1">
      <c r="A84" s="25" t="str">
        <f t="shared" si="14"/>
        <v>VSG01C-23212E2.01</v>
      </c>
      <c r="B84" s="26">
        <v>100</v>
      </c>
      <c r="C84" s="26">
        <v>1</v>
      </c>
      <c r="D84" s="26" t="s">
        <v>181</v>
      </c>
      <c r="E84" s="29">
        <v>45138</v>
      </c>
      <c r="F84" s="30">
        <f t="shared" si="9"/>
        <v>212</v>
      </c>
      <c r="G84" s="26" t="s">
        <v>182</v>
      </c>
      <c r="H84" s="26" t="s">
        <v>63</v>
      </c>
      <c r="I84" s="26">
        <v>1</v>
      </c>
      <c r="J84" s="40">
        <f t="shared" si="11"/>
        <v>185.5</v>
      </c>
      <c r="K84" s="41">
        <f t="shared" si="12"/>
        <v>5.8309518948453007</v>
      </c>
      <c r="L84" s="26">
        <v>185</v>
      </c>
      <c r="M84" s="26">
        <v>188</v>
      </c>
      <c r="N84" s="26">
        <v>182</v>
      </c>
      <c r="O84" s="26">
        <v>176</v>
      </c>
      <c r="P84" s="26">
        <v>183</v>
      </c>
      <c r="Q84" s="26">
        <v>189</v>
      </c>
      <c r="R84" s="26">
        <v>196</v>
      </c>
      <c r="S84" s="26">
        <v>185</v>
      </c>
      <c r="T84" s="26"/>
      <c r="U84" s="26">
        <v>0.32</v>
      </c>
      <c r="V84" s="26"/>
      <c r="W84" s="26"/>
      <c r="X84" s="28" t="s">
        <v>114</v>
      </c>
      <c r="Y84" s="26" t="s">
        <v>139</v>
      </c>
      <c r="Z84" s="26" t="s">
        <v>13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ht="15" customHeight="1">
      <c r="A85" s="25" t="str">
        <f t="shared" si="14"/>
        <v>VSG01C-23212E2.02</v>
      </c>
      <c r="B85" s="26">
        <v>100</v>
      </c>
      <c r="C85" s="26">
        <v>2</v>
      </c>
      <c r="D85" s="26" t="s">
        <v>181</v>
      </c>
      <c r="E85" s="29">
        <v>45138</v>
      </c>
      <c r="F85" s="30">
        <f t="shared" ref="F85:F116" si="15">E85-DATE(YEAR(E85),1,0)</f>
        <v>212</v>
      </c>
      <c r="G85" s="26" t="s">
        <v>182</v>
      </c>
      <c r="H85" s="26" t="s">
        <v>63</v>
      </c>
      <c r="I85" s="26">
        <v>1</v>
      </c>
      <c r="J85" s="40">
        <f t="shared" si="11"/>
        <v>197.25</v>
      </c>
      <c r="K85" s="41">
        <f t="shared" si="12"/>
        <v>5.391792704790177</v>
      </c>
      <c r="L85" s="26">
        <v>203</v>
      </c>
      <c r="M85" s="26">
        <v>199</v>
      </c>
      <c r="N85" s="26">
        <v>199</v>
      </c>
      <c r="O85" s="26">
        <v>200</v>
      </c>
      <c r="P85" s="26">
        <v>194</v>
      </c>
      <c r="Q85" s="26">
        <v>192</v>
      </c>
      <c r="R85" s="26">
        <v>188</v>
      </c>
      <c r="S85" s="26">
        <v>203</v>
      </c>
      <c r="T85" s="26"/>
      <c r="U85" s="42">
        <v>0.32</v>
      </c>
      <c r="V85" s="26"/>
      <c r="W85" s="26"/>
      <c r="X85" s="28" t="s">
        <v>114</v>
      </c>
      <c r="Y85" s="26" t="s">
        <v>139</v>
      </c>
      <c r="Z85" s="26" t="s">
        <v>13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ht="15" customHeight="1">
      <c r="A86" s="25" t="str">
        <f t="shared" si="14"/>
        <v>VSG01C-23212E2.03</v>
      </c>
      <c r="B86" s="26">
        <v>100</v>
      </c>
      <c r="C86" s="26">
        <v>3</v>
      </c>
      <c r="D86" s="26" t="s">
        <v>181</v>
      </c>
      <c r="E86" s="29">
        <v>45138</v>
      </c>
      <c r="F86" s="30">
        <f t="shared" si="15"/>
        <v>212</v>
      </c>
      <c r="G86" s="26" t="s">
        <v>182</v>
      </c>
      <c r="H86" s="26" t="s">
        <v>63</v>
      </c>
      <c r="I86" s="26">
        <v>1</v>
      </c>
      <c r="J86" s="40">
        <f t="shared" si="11"/>
        <v>188.75</v>
      </c>
      <c r="K86" s="41">
        <f t="shared" si="12"/>
        <v>7.4402380914284496</v>
      </c>
      <c r="L86" s="26">
        <v>191</v>
      </c>
      <c r="M86" s="26">
        <v>191</v>
      </c>
      <c r="N86" s="26">
        <v>194</v>
      </c>
      <c r="O86" s="26">
        <v>190</v>
      </c>
      <c r="P86" s="26">
        <v>191</v>
      </c>
      <c r="Q86" s="26">
        <v>198</v>
      </c>
      <c r="R86" s="26">
        <v>176</v>
      </c>
      <c r="S86" s="26">
        <v>179</v>
      </c>
      <c r="T86" s="26"/>
      <c r="U86" s="42">
        <v>0.32</v>
      </c>
      <c r="V86" s="26"/>
      <c r="W86" s="26"/>
      <c r="X86" s="28" t="s">
        <v>114</v>
      </c>
      <c r="Y86" s="26" t="s">
        <v>139</v>
      </c>
      <c r="Z86" s="26" t="s">
        <v>13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ht="15" customHeight="1">
      <c r="A87" s="25" t="str">
        <f t="shared" si="14"/>
        <v>VSG01C-23212E2.04</v>
      </c>
      <c r="B87" s="26">
        <v>100</v>
      </c>
      <c r="C87" s="26">
        <v>4</v>
      </c>
      <c r="D87" s="26" t="s">
        <v>181</v>
      </c>
      <c r="E87" s="29">
        <v>45138</v>
      </c>
      <c r="F87" s="30">
        <f t="shared" si="15"/>
        <v>212</v>
      </c>
      <c r="G87" s="26" t="s">
        <v>182</v>
      </c>
      <c r="H87" s="26" t="s">
        <v>63</v>
      </c>
      <c r="I87" s="26">
        <v>1</v>
      </c>
      <c r="J87" s="40">
        <f t="shared" si="11"/>
        <v>197</v>
      </c>
      <c r="K87" s="41">
        <f t="shared" si="12"/>
        <v>8.5356395693083744</v>
      </c>
      <c r="L87" s="26">
        <v>192</v>
      </c>
      <c r="M87" s="26">
        <v>202</v>
      </c>
      <c r="N87" s="26">
        <v>209</v>
      </c>
      <c r="O87" s="26">
        <v>196</v>
      </c>
      <c r="P87" s="26">
        <v>189</v>
      </c>
      <c r="Q87" s="26">
        <v>186</v>
      </c>
      <c r="R87" s="26">
        <v>194</v>
      </c>
      <c r="S87" s="26">
        <v>208</v>
      </c>
      <c r="T87" s="26"/>
      <c r="U87" s="42">
        <v>0.32</v>
      </c>
      <c r="V87" s="26"/>
      <c r="W87" s="26"/>
      <c r="X87" s="28" t="s">
        <v>114</v>
      </c>
      <c r="Y87" s="26" t="s">
        <v>139</v>
      </c>
      <c r="Z87" s="26" t="s">
        <v>13</v>
      </c>
      <c r="AA87" s="26" t="s">
        <v>133</v>
      </c>
      <c r="AB87" s="26" t="s">
        <v>183</v>
      </c>
      <c r="AC87" s="26">
        <v>2</v>
      </c>
      <c r="AD87" s="26"/>
      <c r="AE87" s="26"/>
      <c r="AF87" s="26"/>
      <c r="AG87" s="26"/>
      <c r="AH87" s="26"/>
      <c r="AI87" s="26"/>
      <c r="AJ87" s="26"/>
    </row>
    <row r="88" spans="1:36" ht="15" hidden="1" customHeight="1">
      <c r="A88" s="25" t="str">
        <f t="shared" si="14"/>
        <v>VSG02C-23226E2.01</v>
      </c>
      <c r="B88" s="26">
        <v>600</v>
      </c>
      <c r="C88" s="26">
        <v>1</v>
      </c>
      <c r="D88" s="26" t="s">
        <v>184</v>
      </c>
      <c r="E88" s="29">
        <v>45152</v>
      </c>
      <c r="F88" s="30">
        <f t="shared" si="15"/>
        <v>226</v>
      </c>
      <c r="G88" s="26" t="s">
        <v>185</v>
      </c>
      <c r="H88" s="26" t="s">
        <v>63</v>
      </c>
      <c r="I88" s="26">
        <f>IF(B88=100,1,(IF(B88=600,2,3)))</f>
        <v>2</v>
      </c>
      <c r="J88" s="31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43">
        <f>AVERAGE(0.27,0.46,0.61,0.22,0.52,0.33,0.3,0.44,0.45)</f>
        <v>0.4</v>
      </c>
      <c r="V88" s="26">
        <v>0.24</v>
      </c>
      <c r="W88" s="26"/>
      <c r="X88" s="28" t="s">
        <v>114</v>
      </c>
      <c r="Y88" s="26" t="s">
        <v>139</v>
      </c>
      <c r="Z88" s="26" t="s">
        <v>13</v>
      </c>
      <c r="AA88" s="26" t="s">
        <v>103</v>
      </c>
      <c r="AB88" s="26" t="s">
        <v>128</v>
      </c>
      <c r="AC88" s="26" t="s">
        <v>105</v>
      </c>
      <c r="AD88" s="26"/>
      <c r="AE88" s="26"/>
      <c r="AF88" s="26"/>
      <c r="AG88" s="26"/>
      <c r="AH88" s="26"/>
      <c r="AI88" s="26"/>
      <c r="AJ88" s="26"/>
    </row>
    <row r="89" spans="1:36" ht="15" hidden="1" customHeight="1">
      <c r="A89" s="25" t="str">
        <f t="shared" si="14"/>
        <v>VSG02C-23226E2.03</v>
      </c>
      <c r="B89" s="26">
        <v>600</v>
      </c>
      <c r="C89" s="26">
        <v>3</v>
      </c>
      <c r="D89" s="26" t="s">
        <v>186</v>
      </c>
      <c r="E89" s="29">
        <v>45152</v>
      </c>
      <c r="F89" s="30">
        <f t="shared" si="15"/>
        <v>226</v>
      </c>
      <c r="G89" s="26" t="s">
        <v>185</v>
      </c>
      <c r="H89" s="26" t="s">
        <v>63</v>
      </c>
      <c r="I89" s="26">
        <f>IF(B89=100,1,(IF(B89=600,2,3)))</f>
        <v>2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7">
        <f>AVERAGE(0.57,0.5,0.44,0.55,0.4,0.36,0.32,0.29,0.3)</f>
        <v>0.41444444444444434</v>
      </c>
      <c r="V89" s="26">
        <v>0.17</v>
      </c>
      <c r="W89" s="26"/>
      <c r="X89" s="28" t="s">
        <v>114</v>
      </c>
      <c r="Y89" s="26" t="s">
        <v>139</v>
      </c>
      <c r="Z89" s="26" t="s">
        <v>13</v>
      </c>
      <c r="AA89" s="26" t="s">
        <v>103</v>
      </c>
      <c r="AB89" s="26" t="s">
        <v>128</v>
      </c>
      <c r="AC89" s="26" t="s">
        <v>187</v>
      </c>
      <c r="AD89" s="26"/>
      <c r="AE89" s="26" t="s">
        <v>188</v>
      </c>
      <c r="AF89" s="26"/>
      <c r="AG89" s="26"/>
      <c r="AH89" s="26"/>
      <c r="AI89" s="26"/>
      <c r="AJ89" s="26"/>
    </row>
    <row r="90" spans="1:36" ht="15" customHeight="1">
      <c r="A90" s="25" t="str">
        <f t="shared" si="14"/>
        <v>VSG01C-23226E2.02</v>
      </c>
      <c r="B90" s="26">
        <v>100</v>
      </c>
      <c r="C90" s="26">
        <v>2</v>
      </c>
      <c r="D90" s="26" t="s">
        <v>189</v>
      </c>
      <c r="E90" s="29">
        <v>45152</v>
      </c>
      <c r="F90" s="30">
        <f t="shared" si="15"/>
        <v>226</v>
      </c>
      <c r="G90" s="26" t="s">
        <v>185</v>
      </c>
      <c r="H90" s="26" t="s">
        <v>63</v>
      </c>
      <c r="I90" s="26">
        <f>IF(B90=100,1,(IF(B90=600,2,3)))</f>
        <v>1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8" t="s">
        <v>114</v>
      </c>
      <c r="Y90" s="26" t="s">
        <v>139</v>
      </c>
      <c r="Z90" s="26" t="s">
        <v>13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ht="15" customHeight="1">
      <c r="A91" s="25" t="str">
        <f t="shared" si="14"/>
        <v>VSG01C-23226E2.04</v>
      </c>
      <c r="B91" s="26">
        <v>100</v>
      </c>
      <c r="C91" s="26">
        <v>4</v>
      </c>
      <c r="D91" s="26" t="s">
        <v>190</v>
      </c>
      <c r="E91" s="29">
        <v>45152</v>
      </c>
      <c r="F91" s="30">
        <f t="shared" si="15"/>
        <v>226</v>
      </c>
      <c r="G91" s="26" t="s">
        <v>185</v>
      </c>
      <c r="H91" s="26" t="s">
        <v>63</v>
      </c>
      <c r="I91" s="26">
        <f>IF(B91=100,1,(IF(B91=600,2,3)))</f>
        <v>1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8" t="s">
        <v>114</v>
      </c>
      <c r="Y91" s="26" t="s">
        <v>139</v>
      </c>
      <c r="Z91" s="26" t="s">
        <v>13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ht="15" hidden="1" customHeight="1">
      <c r="A92" s="25" t="str">
        <f t="shared" si="14"/>
        <v>VSG02C-23243A2.01</v>
      </c>
      <c r="B92" s="26">
        <v>600</v>
      </c>
      <c r="C92" s="26">
        <v>1</v>
      </c>
      <c r="D92" s="26" t="s">
        <v>191</v>
      </c>
      <c r="E92" s="29">
        <v>45169</v>
      </c>
      <c r="F92" s="30">
        <f t="shared" si="15"/>
        <v>243</v>
      </c>
      <c r="G92" s="26" t="s">
        <v>192</v>
      </c>
      <c r="H92" s="26" t="s">
        <v>63</v>
      </c>
      <c r="I92" s="26">
        <f>IF(B92=100,1,(IF(B92=600,2,3)))</f>
        <v>2</v>
      </c>
      <c r="J92" s="44"/>
      <c r="K92" s="41"/>
      <c r="L92" s="26"/>
      <c r="M92" s="26"/>
      <c r="N92" s="26"/>
      <c r="O92" s="26"/>
      <c r="P92" s="26"/>
      <c r="Q92" s="26"/>
      <c r="R92" s="26"/>
      <c r="S92" s="26"/>
      <c r="T92" s="26"/>
      <c r="U92" s="27">
        <f>AVERAGE(0.21,0.22,0.212*0.67+0.15*0.33,0.23,0.218,0.199*0.67+0.166*0.33,0.214,0.212,0.199*0.67+0.173*0.33)</f>
        <v>0.20823</v>
      </c>
      <c r="V92" s="26">
        <v>0.16</v>
      </c>
      <c r="W92" s="26"/>
      <c r="X92" s="28" t="s">
        <v>193</v>
      </c>
      <c r="Y92" s="26" t="s">
        <v>8</v>
      </c>
      <c r="Z92" s="26" t="s">
        <v>7</v>
      </c>
      <c r="AA92" s="26" t="s">
        <v>103</v>
      </c>
      <c r="AB92" s="26" t="s">
        <v>128</v>
      </c>
      <c r="AC92" s="26" t="s">
        <v>194</v>
      </c>
      <c r="AD92" s="26"/>
      <c r="AE92" s="26"/>
      <c r="AF92" s="26"/>
      <c r="AG92" s="26"/>
      <c r="AH92" s="26"/>
      <c r="AI92" s="26"/>
      <c r="AJ92" s="26"/>
    </row>
    <row r="93" spans="1:36" ht="15" hidden="1" customHeight="1">
      <c r="A93" s="25" t="str">
        <f t="shared" si="14"/>
        <v>VSG02C-23244A2.01</v>
      </c>
      <c r="B93" s="26">
        <v>600</v>
      </c>
      <c r="C93" s="26">
        <v>1</v>
      </c>
      <c r="D93" s="26" t="s">
        <v>195</v>
      </c>
      <c r="E93" s="29">
        <v>45170</v>
      </c>
      <c r="F93" s="30">
        <f t="shared" si="15"/>
        <v>244</v>
      </c>
      <c r="G93" s="26" t="s">
        <v>196</v>
      </c>
      <c r="H93" s="26" t="s">
        <v>63</v>
      </c>
      <c r="I93" s="26">
        <f t="shared" ref="I93:I124" si="16">IF(B93=100,1,(IF(B93=600,2,3)))</f>
        <v>2</v>
      </c>
      <c r="J93" s="31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43">
        <f>AVERAGE(0)</f>
        <v>0</v>
      </c>
      <c r="V93" s="26"/>
      <c r="W93" s="26"/>
      <c r="X93" s="28" t="s">
        <v>193</v>
      </c>
      <c r="Y93" s="26" t="s">
        <v>8</v>
      </c>
      <c r="Z93" s="26" t="s">
        <v>7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ht="15" customHeight="1">
      <c r="A94" s="25" t="str">
        <f t="shared" si="14"/>
        <v>VSG01C-23248A2.01</v>
      </c>
      <c r="B94" s="26">
        <v>100</v>
      </c>
      <c r="C94" s="26">
        <v>1</v>
      </c>
      <c r="D94" s="26" t="s">
        <v>197</v>
      </c>
      <c r="E94" s="29">
        <v>45174</v>
      </c>
      <c r="F94" s="30">
        <f t="shared" si="15"/>
        <v>248</v>
      </c>
      <c r="G94" s="26" t="s">
        <v>198</v>
      </c>
      <c r="H94" s="26" t="s">
        <v>63</v>
      </c>
      <c r="I94" s="26">
        <f t="shared" si="16"/>
        <v>1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7">
        <v>0.34</v>
      </c>
      <c r="V94" s="26">
        <v>0.12</v>
      </c>
      <c r="W94" s="26"/>
      <c r="X94" s="28" t="s">
        <v>193</v>
      </c>
      <c r="Y94" s="26" t="s">
        <v>8</v>
      </c>
      <c r="Z94" s="26" t="s">
        <v>7</v>
      </c>
      <c r="AA94" s="26" t="s">
        <v>133</v>
      </c>
      <c r="AB94" s="26" t="s">
        <v>199</v>
      </c>
      <c r="AC94" s="26">
        <v>1</v>
      </c>
      <c r="AD94" s="26"/>
      <c r="AE94" s="26" t="s">
        <v>200</v>
      </c>
      <c r="AF94" s="26"/>
      <c r="AG94" s="26"/>
      <c r="AH94" s="26"/>
      <c r="AI94" s="26"/>
      <c r="AJ94" s="26"/>
    </row>
    <row r="95" spans="1:36" ht="15" customHeight="1">
      <c r="A95" s="25" t="str">
        <f t="shared" si="14"/>
        <v>VSG01C-23248A2.02</v>
      </c>
      <c r="B95" s="26">
        <v>100</v>
      </c>
      <c r="C95" s="26">
        <v>2</v>
      </c>
      <c r="D95" s="26" t="s">
        <v>197</v>
      </c>
      <c r="E95" s="29">
        <v>45174</v>
      </c>
      <c r="F95" s="30">
        <f t="shared" si="15"/>
        <v>248</v>
      </c>
      <c r="G95" s="26" t="s">
        <v>198</v>
      </c>
      <c r="H95" s="26" t="s">
        <v>63</v>
      </c>
      <c r="I95" s="26">
        <f t="shared" si="16"/>
        <v>1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7">
        <v>0.35</v>
      </c>
      <c r="V95" s="26">
        <v>0.12</v>
      </c>
      <c r="W95" s="26"/>
      <c r="X95" s="28" t="s">
        <v>193</v>
      </c>
      <c r="Y95" s="26" t="s">
        <v>8</v>
      </c>
      <c r="Z95" s="26" t="s">
        <v>7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ht="15" customHeight="1">
      <c r="A96" s="25" t="str">
        <f t="shared" si="14"/>
        <v>VSG01C-23248A2.03</v>
      </c>
      <c r="B96" s="26">
        <v>100</v>
      </c>
      <c r="C96" s="26">
        <v>3</v>
      </c>
      <c r="D96" s="26" t="s">
        <v>197</v>
      </c>
      <c r="E96" s="29">
        <v>45174</v>
      </c>
      <c r="F96" s="30">
        <f t="shared" si="15"/>
        <v>248</v>
      </c>
      <c r="G96" s="26" t="s">
        <v>198</v>
      </c>
      <c r="H96" s="26" t="s">
        <v>63</v>
      </c>
      <c r="I96" s="26">
        <f t="shared" si="16"/>
        <v>1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7">
        <v>0.38</v>
      </c>
      <c r="V96" s="26">
        <v>0.12</v>
      </c>
      <c r="W96" s="26"/>
      <c r="X96" s="28" t="s">
        <v>193</v>
      </c>
      <c r="Y96" s="26" t="s">
        <v>8</v>
      </c>
      <c r="Z96" s="26" t="s">
        <v>7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ht="15" customHeight="1">
      <c r="A97" s="25" t="str">
        <f t="shared" si="14"/>
        <v>VSG01C-23248A2.04</v>
      </c>
      <c r="B97" s="26">
        <v>100</v>
      </c>
      <c r="C97" s="26">
        <v>4</v>
      </c>
      <c r="D97" s="26" t="s">
        <v>197</v>
      </c>
      <c r="E97" s="29">
        <v>45174</v>
      </c>
      <c r="F97" s="30">
        <f t="shared" si="15"/>
        <v>248</v>
      </c>
      <c r="G97" s="26" t="s">
        <v>198</v>
      </c>
      <c r="H97" s="26" t="s">
        <v>63</v>
      </c>
      <c r="I97" s="26">
        <f t="shared" si="16"/>
        <v>1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7">
        <v>0.33</v>
      </c>
      <c r="V97" s="26">
        <v>0.12</v>
      </c>
      <c r="W97" s="26"/>
      <c r="X97" s="28" t="s">
        <v>193</v>
      </c>
      <c r="Y97" s="26" t="s">
        <v>8</v>
      </c>
      <c r="Z97" s="26" t="s">
        <v>7</v>
      </c>
      <c r="AA97" s="26" t="s">
        <v>133</v>
      </c>
      <c r="AB97" s="26" t="s">
        <v>183</v>
      </c>
      <c r="AC97" s="26">
        <v>3</v>
      </c>
      <c r="AD97" s="26"/>
      <c r="AE97" s="26"/>
      <c r="AF97" s="26"/>
      <c r="AG97" s="26"/>
      <c r="AH97" s="26"/>
      <c r="AI97" s="26"/>
      <c r="AJ97" s="26"/>
    </row>
    <row r="98" spans="1:36" ht="15" customHeight="1">
      <c r="A98" s="25" t="str">
        <f t="shared" si="14"/>
        <v>VSG01C-23250A2.01</v>
      </c>
      <c r="B98" s="26">
        <v>100</v>
      </c>
      <c r="C98" s="26">
        <v>1</v>
      </c>
      <c r="D98" s="26" t="s">
        <v>201</v>
      </c>
      <c r="E98" s="29">
        <v>45176</v>
      </c>
      <c r="F98" s="30">
        <f t="shared" si="15"/>
        <v>250</v>
      </c>
      <c r="G98" s="26" t="s">
        <v>202</v>
      </c>
      <c r="H98" s="26" t="s">
        <v>63</v>
      </c>
      <c r="I98" s="26">
        <f t="shared" si="16"/>
        <v>1</v>
      </c>
      <c r="J98" s="44">
        <f t="shared" ref="J98:J129" si="17">AVERAGE(L98:S98)</f>
        <v>183.625</v>
      </c>
      <c r="K98" s="41">
        <f t="shared" ref="K98:K129" si="18">STDEV(L98:S98)</f>
        <v>3.1139088893910452</v>
      </c>
      <c r="L98" s="26">
        <v>183</v>
      </c>
      <c r="M98" s="26">
        <v>185</v>
      </c>
      <c r="N98" s="26">
        <v>179</v>
      </c>
      <c r="O98" s="26">
        <v>189</v>
      </c>
      <c r="P98" s="26">
        <v>186</v>
      </c>
      <c r="Q98" s="26">
        <v>184</v>
      </c>
      <c r="R98" s="26">
        <v>181</v>
      </c>
      <c r="S98" s="26">
        <v>182</v>
      </c>
      <c r="T98" s="26"/>
      <c r="U98" s="26">
        <f>AVERAGE(0.27,0.275,0.244,0.201)</f>
        <v>0.2475</v>
      </c>
      <c r="V98" s="26">
        <v>0.15</v>
      </c>
      <c r="W98" s="26"/>
      <c r="X98" s="28" t="s">
        <v>193</v>
      </c>
      <c r="Y98" s="26" t="s">
        <v>8</v>
      </c>
      <c r="Z98" s="26" t="s">
        <v>7</v>
      </c>
      <c r="AA98" s="26" t="s">
        <v>133</v>
      </c>
      <c r="AB98" s="26">
        <v>32</v>
      </c>
      <c r="AC98" s="26">
        <v>1</v>
      </c>
      <c r="AD98" s="26"/>
      <c r="AE98" s="26"/>
      <c r="AF98" s="26"/>
      <c r="AG98" s="26"/>
      <c r="AH98" s="26"/>
      <c r="AI98" s="26"/>
      <c r="AJ98" s="26"/>
    </row>
    <row r="99" spans="1:36">
      <c r="A99" s="25" t="str">
        <f t="shared" si="14"/>
        <v>VSG01C-23250A2.02</v>
      </c>
      <c r="B99" s="26">
        <v>100</v>
      </c>
      <c r="C99" s="26">
        <v>2</v>
      </c>
      <c r="D99" s="26" t="s">
        <v>201</v>
      </c>
      <c r="E99" s="29">
        <v>45176</v>
      </c>
      <c r="F99" s="30">
        <f t="shared" si="15"/>
        <v>250</v>
      </c>
      <c r="G99" s="26" t="s">
        <v>202</v>
      </c>
      <c r="H99" s="26" t="s">
        <v>63</v>
      </c>
      <c r="I99" s="26">
        <f t="shared" si="16"/>
        <v>1</v>
      </c>
      <c r="J99" s="40">
        <f t="shared" si="17"/>
        <v>184</v>
      </c>
      <c r="K99" s="41">
        <f t="shared" si="18"/>
        <v>2</v>
      </c>
      <c r="L99" s="26">
        <v>182</v>
      </c>
      <c r="M99" s="26">
        <v>185</v>
      </c>
      <c r="N99" s="26">
        <v>180</v>
      </c>
      <c r="O99" s="26">
        <v>185</v>
      </c>
      <c r="P99" s="26">
        <v>185</v>
      </c>
      <c r="Q99" s="26">
        <v>185</v>
      </c>
      <c r="R99" s="26">
        <v>186</v>
      </c>
      <c r="S99" s="26">
        <v>184</v>
      </c>
      <c r="T99" s="26"/>
      <c r="U99" s="26">
        <f>AVERAGE(0.27,0.22,0.249,0.201)</f>
        <v>0.23499999999999999</v>
      </c>
      <c r="V99" s="26">
        <v>0.15</v>
      </c>
      <c r="W99" s="26"/>
      <c r="X99" s="28" t="s">
        <v>193</v>
      </c>
      <c r="Y99" s="26" t="s">
        <v>8</v>
      </c>
      <c r="Z99" s="26" t="s">
        <v>7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>
      <c r="A100" s="25" t="str">
        <f t="shared" ref="A100:A109" si="19">"VSG"&amp;TEXT(I100,"00")&amp;"C-23"&amp;TEXT(F100,"000")&amp;Z100&amp;"2."&amp;TEXT(RIGHT(C100),"00")</f>
        <v>VSG01C-23250A2.03</v>
      </c>
      <c r="B100" s="26">
        <v>100</v>
      </c>
      <c r="C100" s="26">
        <v>3</v>
      </c>
      <c r="D100" s="26" t="s">
        <v>201</v>
      </c>
      <c r="E100" s="29">
        <v>45176</v>
      </c>
      <c r="F100" s="30">
        <f t="shared" si="15"/>
        <v>250</v>
      </c>
      <c r="G100" s="26" t="s">
        <v>202</v>
      </c>
      <c r="H100" s="26" t="s">
        <v>63</v>
      </c>
      <c r="I100" s="26">
        <f t="shared" si="16"/>
        <v>1</v>
      </c>
      <c r="J100" s="40">
        <f t="shared" si="17"/>
        <v>184.75</v>
      </c>
      <c r="K100" s="41">
        <f t="shared" si="18"/>
        <v>3.2403703492039302</v>
      </c>
      <c r="L100" s="26">
        <v>185</v>
      </c>
      <c r="M100" s="26">
        <v>189</v>
      </c>
      <c r="N100" s="26">
        <v>183</v>
      </c>
      <c r="O100" s="26">
        <v>181</v>
      </c>
      <c r="P100" s="26">
        <v>182</v>
      </c>
      <c r="Q100" s="26">
        <v>189</v>
      </c>
      <c r="R100" s="26">
        <v>182</v>
      </c>
      <c r="S100" s="26">
        <v>187</v>
      </c>
      <c r="T100" s="26"/>
      <c r="U100" s="26">
        <f>AVERAGE(0.22,0.218,0.249,0.224)</f>
        <v>0.22775000000000001</v>
      </c>
      <c r="V100" s="26">
        <v>0.15</v>
      </c>
      <c r="W100" s="26"/>
      <c r="X100" s="28" t="s">
        <v>193</v>
      </c>
      <c r="Y100" s="26" t="s">
        <v>8</v>
      </c>
      <c r="Z100" s="26" t="s">
        <v>7</v>
      </c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>
      <c r="A101" s="25" t="str">
        <f t="shared" si="19"/>
        <v>VSG01C-23250A2.04</v>
      </c>
      <c r="B101" s="26">
        <v>100</v>
      </c>
      <c r="C101" s="26">
        <v>4</v>
      </c>
      <c r="D101" s="26" t="s">
        <v>201</v>
      </c>
      <c r="E101" s="29">
        <v>45176</v>
      </c>
      <c r="F101" s="30">
        <f t="shared" si="15"/>
        <v>250</v>
      </c>
      <c r="G101" s="26" t="s">
        <v>202</v>
      </c>
      <c r="H101" s="26" t="s">
        <v>63</v>
      </c>
      <c r="I101" s="26">
        <f t="shared" si="16"/>
        <v>1</v>
      </c>
      <c r="J101" s="40">
        <f t="shared" si="17"/>
        <v>184.5</v>
      </c>
      <c r="K101" s="41">
        <f t="shared" si="18"/>
        <v>2.8284271247461903</v>
      </c>
      <c r="L101" s="26">
        <v>183</v>
      </c>
      <c r="M101" s="26">
        <v>187</v>
      </c>
      <c r="N101" s="26">
        <v>189</v>
      </c>
      <c r="O101" s="26">
        <v>181</v>
      </c>
      <c r="P101" s="26">
        <v>187</v>
      </c>
      <c r="Q101" s="26">
        <v>183</v>
      </c>
      <c r="R101" s="26">
        <v>182</v>
      </c>
      <c r="S101" s="26">
        <v>184</v>
      </c>
      <c r="T101" s="26"/>
      <c r="U101" s="26">
        <f>AVERAGE(0.275,0.27,0.249,0.226)</f>
        <v>0.255</v>
      </c>
      <c r="V101" s="26">
        <v>0.15</v>
      </c>
      <c r="W101" s="26"/>
      <c r="X101" s="28" t="s">
        <v>193</v>
      </c>
      <c r="Y101" s="26" t="s">
        <v>8</v>
      </c>
      <c r="Z101" s="26" t="s">
        <v>7</v>
      </c>
      <c r="AA101" s="26" t="s">
        <v>133</v>
      </c>
      <c r="AB101" s="26">
        <v>32</v>
      </c>
      <c r="AC101" s="26">
        <v>2</v>
      </c>
      <c r="AD101" s="26"/>
      <c r="AE101" s="26"/>
      <c r="AF101" s="26"/>
      <c r="AG101" s="26"/>
      <c r="AH101" s="26"/>
      <c r="AI101" s="26"/>
      <c r="AJ101" s="26"/>
    </row>
    <row r="102" spans="1:36">
      <c r="A102" s="25" t="str">
        <f t="shared" si="19"/>
        <v>VSG01C-23250A2.05</v>
      </c>
      <c r="B102" s="26">
        <v>100</v>
      </c>
      <c r="C102" s="26">
        <v>5</v>
      </c>
      <c r="D102" s="26" t="s">
        <v>201</v>
      </c>
      <c r="E102" s="29">
        <v>45176</v>
      </c>
      <c r="F102" s="30">
        <f t="shared" si="15"/>
        <v>250</v>
      </c>
      <c r="G102" s="26" t="s">
        <v>202</v>
      </c>
      <c r="H102" s="26" t="s">
        <v>63</v>
      </c>
      <c r="I102" s="26">
        <f t="shared" si="16"/>
        <v>1</v>
      </c>
      <c r="J102" s="40">
        <f t="shared" si="17"/>
        <v>182.25</v>
      </c>
      <c r="K102" s="41">
        <f t="shared" si="18"/>
        <v>3.0118812346154309</v>
      </c>
      <c r="L102" s="26">
        <v>182</v>
      </c>
      <c r="M102" s="26">
        <v>185</v>
      </c>
      <c r="N102" s="26">
        <v>182</v>
      </c>
      <c r="O102" s="26">
        <v>180</v>
      </c>
      <c r="P102" s="26">
        <v>182</v>
      </c>
      <c r="Q102" s="26">
        <v>177</v>
      </c>
      <c r="R102" s="26">
        <v>183</v>
      </c>
      <c r="S102" s="26">
        <v>187</v>
      </c>
      <c r="T102" s="26"/>
      <c r="U102" s="26">
        <f>AVERAGE(0.27,0.249,0.226,0.223)</f>
        <v>0.24199999999999999</v>
      </c>
      <c r="V102" s="26">
        <v>0.15</v>
      </c>
      <c r="W102" s="26"/>
      <c r="X102" s="28" t="s">
        <v>193</v>
      </c>
      <c r="Y102" s="26" t="s">
        <v>8</v>
      </c>
      <c r="Z102" s="26" t="s">
        <v>7</v>
      </c>
      <c r="AA102" s="26" t="s">
        <v>133</v>
      </c>
      <c r="AB102" s="26">
        <v>32</v>
      </c>
      <c r="AC102" s="26">
        <v>3</v>
      </c>
      <c r="AD102" s="26"/>
      <c r="AE102" s="26"/>
      <c r="AF102" s="26"/>
      <c r="AG102" s="26"/>
      <c r="AH102" s="26"/>
      <c r="AI102" s="26"/>
      <c r="AJ102" s="26"/>
    </row>
    <row r="103" spans="1:36">
      <c r="A103" s="25" t="str">
        <f t="shared" si="19"/>
        <v>VSG01C-23250A2.06</v>
      </c>
      <c r="B103" s="26">
        <v>100</v>
      </c>
      <c r="C103" s="26">
        <v>6</v>
      </c>
      <c r="D103" s="26" t="s">
        <v>201</v>
      </c>
      <c r="E103" s="29">
        <v>45176</v>
      </c>
      <c r="F103" s="30">
        <f t="shared" si="15"/>
        <v>250</v>
      </c>
      <c r="G103" s="26" t="s">
        <v>202</v>
      </c>
      <c r="H103" s="26" t="s">
        <v>63</v>
      </c>
      <c r="I103" s="26">
        <f t="shared" si="16"/>
        <v>1</v>
      </c>
      <c r="J103" s="40">
        <f t="shared" si="17"/>
        <v>183</v>
      </c>
      <c r="K103" s="41">
        <f t="shared" si="18"/>
        <v>4.7207747548166585</v>
      </c>
      <c r="L103" s="26">
        <v>184</v>
      </c>
      <c r="M103" s="26">
        <v>184</v>
      </c>
      <c r="N103" s="26">
        <v>178</v>
      </c>
      <c r="O103" s="26">
        <v>185</v>
      </c>
      <c r="P103" s="26">
        <v>185</v>
      </c>
      <c r="Q103" s="26">
        <v>174</v>
      </c>
      <c r="R103" s="26">
        <v>185</v>
      </c>
      <c r="S103" s="26">
        <v>189</v>
      </c>
      <c r="T103" s="26"/>
      <c r="U103" s="26">
        <f>AVERAGE(0.249,0.224,0.223,0.182)</f>
        <v>0.21949999999999997</v>
      </c>
      <c r="V103" s="26">
        <v>0.15</v>
      </c>
      <c r="W103" s="26"/>
      <c r="X103" s="28" t="s">
        <v>193</v>
      </c>
      <c r="Y103" s="26" t="s">
        <v>8</v>
      </c>
      <c r="Z103" s="26" t="s">
        <v>7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>
      <c r="A104" s="25" t="str">
        <f t="shared" si="19"/>
        <v>VSG01C-23251E2.01</v>
      </c>
      <c r="B104" s="26">
        <v>100</v>
      </c>
      <c r="C104" s="26">
        <v>1</v>
      </c>
      <c r="D104" s="26" t="s">
        <v>203</v>
      </c>
      <c r="E104" s="29">
        <v>45177</v>
      </c>
      <c r="F104" s="30">
        <f t="shared" si="15"/>
        <v>251</v>
      </c>
      <c r="G104" s="26" t="s">
        <v>202</v>
      </c>
      <c r="H104" s="26" t="s">
        <v>63</v>
      </c>
      <c r="I104" s="26">
        <f t="shared" si="16"/>
        <v>1</v>
      </c>
      <c r="J104" s="40">
        <f t="shared" si="17"/>
        <v>184.25</v>
      </c>
      <c r="K104" s="41">
        <f t="shared" si="18"/>
        <v>4.6521884251239376</v>
      </c>
      <c r="L104" s="26">
        <v>189</v>
      </c>
      <c r="M104" s="26">
        <v>191</v>
      </c>
      <c r="N104" s="26">
        <v>180</v>
      </c>
      <c r="O104" s="26">
        <v>182</v>
      </c>
      <c r="P104" s="26">
        <v>180</v>
      </c>
      <c r="Q104" s="26">
        <v>179</v>
      </c>
      <c r="R104" s="26">
        <v>188</v>
      </c>
      <c r="S104" s="26">
        <v>185</v>
      </c>
      <c r="T104" s="26"/>
      <c r="U104" s="27">
        <f>AVERAGE(0.32,0.252,0.237,0.276)</f>
        <v>0.27124999999999999</v>
      </c>
      <c r="V104" s="26">
        <v>0.105</v>
      </c>
      <c r="W104" s="26"/>
      <c r="X104" s="28" t="s">
        <v>193</v>
      </c>
      <c r="Y104" s="26" t="s">
        <v>14</v>
      </c>
      <c r="Z104" s="26" t="s">
        <v>13</v>
      </c>
      <c r="AA104" s="26" t="s">
        <v>133</v>
      </c>
      <c r="AB104" s="26">
        <v>31</v>
      </c>
      <c r="AC104" s="26">
        <v>1</v>
      </c>
      <c r="AD104" s="26"/>
      <c r="AE104" s="26"/>
      <c r="AF104" s="26"/>
      <c r="AG104" s="26"/>
      <c r="AH104" s="26"/>
      <c r="AI104" s="26"/>
      <c r="AJ104" s="26"/>
    </row>
    <row r="105" spans="1:36">
      <c r="A105" s="25" t="str">
        <f t="shared" si="19"/>
        <v>VSG01C-23251E2.02</v>
      </c>
      <c r="B105" s="26">
        <v>100</v>
      </c>
      <c r="C105" s="26">
        <v>2</v>
      </c>
      <c r="D105" s="26" t="s">
        <v>203</v>
      </c>
      <c r="E105" s="29">
        <v>45177</v>
      </c>
      <c r="F105" s="30">
        <f t="shared" si="15"/>
        <v>251</v>
      </c>
      <c r="G105" s="26" t="s">
        <v>202</v>
      </c>
      <c r="H105" s="26" t="s">
        <v>63</v>
      </c>
      <c r="I105" s="26">
        <f t="shared" si="16"/>
        <v>1</v>
      </c>
      <c r="J105" s="40">
        <f t="shared" si="17"/>
        <v>182.75</v>
      </c>
      <c r="K105" s="41">
        <f t="shared" si="18"/>
        <v>4.7434164902525691</v>
      </c>
      <c r="L105" s="26">
        <v>177</v>
      </c>
      <c r="M105" s="26">
        <v>188</v>
      </c>
      <c r="N105" s="26">
        <v>186</v>
      </c>
      <c r="O105" s="26">
        <v>187</v>
      </c>
      <c r="P105" s="26">
        <v>181</v>
      </c>
      <c r="Q105" s="26">
        <v>179</v>
      </c>
      <c r="R105" s="26">
        <v>187</v>
      </c>
      <c r="S105" s="26">
        <v>177</v>
      </c>
      <c r="T105" s="26"/>
      <c r="U105" s="27">
        <f>AVERAGE(0.259,0.272,0.3,0.316)</f>
        <v>0.28675</v>
      </c>
      <c r="V105" s="26">
        <v>0.105</v>
      </c>
      <c r="W105" s="26"/>
      <c r="X105" s="28" t="s">
        <v>193</v>
      </c>
      <c r="Y105" s="26" t="s">
        <v>14</v>
      </c>
      <c r="Z105" s="26" t="s">
        <v>13</v>
      </c>
      <c r="AA105" s="26" t="s">
        <v>133</v>
      </c>
      <c r="AB105" s="26">
        <v>31</v>
      </c>
      <c r="AC105" s="26">
        <v>2</v>
      </c>
      <c r="AD105" s="26"/>
      <c r="AE105" s="26"/>
      <c r="AF105" s="26"/>
      <c r="AG105" s="26"/>
      <c r="AH105" s="26"/>
      <c r="AI105" s="26"/>
      <c r="AJ105" s="26"/>
    </row>
    <row r="106" spans="1:36">
      <c r="A106" s="25" t="str">
        <f t="shared" si="19"/>
        <v>VSG01C-23251E2.03</v>
      </c>
      <c r="B106" s="26">
        <v>100</v>
      </c>
      <c r="C106" s="26">
        <v>3</v>
      </c>
      <c r="D106" s="26" t="s">
        <v>203</v>
      </c>
      <c r="E106" s="29">
        <v>45177</v>
      </c>
      <c r="F106" s="30">
        <f t="shared" si="15"/>
        <v>251</v>
      </c>
      <c r="G106" s="26" t="s">
        <v>202</v>
      </c>
      <c r="H106" s="26" t="s">
        <v>63</v>
      </c>
      <c r="I106" s="26">
        <f t="shared" si="16"/>
        <v>1</v>
      </c>
      <c r="J106" s="40">
        <f t="shared" si="17"/>
        <v>184.75</v>
      </c>
      <c r="K106" s="41">
        <f t="shared" si="18"/>
        <v>4.334248987508019</v>
      </c>
      <c r="L106" s="26">
        <v>185</v>
      </c>
      <c r="M106" s="26">
        <v>188</v>
      </c>
      <c r="N106" s="26">
        <v>184</v>
      </c>
      <c r="O106" s="26">
        <v>186</v>
      </c>
      <c r="P106" s="26">
        <v>189</v>
      </c>
      <c r="Q106" s="26">
        <v>184</v>
      </c>
      <c r="R106" s="26">
        <v>187</v>
      </c>
      <c r="S106" s="26">
        <v>175</v>
      </c>
      <c r="T106" s="26"/>
      <c r="U106" s="27">
        <f>AVERAGE(0.224,0.213,0.271,0.265)</f>
        <v>0.24324999999999999</v>
      </c>
      <c r="V106" s="26">
        <v>0.105</v>
      </c>
      <c r="W106" s="26"/>
      <c r="X106" s="28" t="s">
        <v>193</v>
      </c>
      <c r="Y106" s="26" t="s">
        <v>14</v>
      </c>
      <c r="Z106" s="26" t="s">
        <v>13</v>
      </c>
      <c r="AA106" s="26" t="s">
        <v>133</v>
      </c>
      <c r="AB106" s="26">
        <v>31</v>
      </c>
      <c r="AC106" s="26">
        <v>3</v>
      </c>
      <c r="AD106" s="26"/>
      <c r="AE106" s="26"/>
      <c r="AF106" s="26"/>
      <c r="AG106" s="26"/>
      <c r="AH106" s="26"/>
      <c r="AI106" s="26"/>
      <c r="AJ106" s="26"/>
    </row>
    <row r="107" spans="1:36">
      <c r="A107" s="25" t="str">
        <f t="shared" si="19"/>
        <v>VSG01C-23251E2.04</v>
      </c>
      <c r="B107" s="26">
        <v>100</v>
      </c>
      <c r="C107" s="26">
        <v>4</v>
      </c>
      <c r="D107" s="26" t="s">
        <v>203</v>
      </c>
      <c r="E107" s="29">
        <v>45177</v>
      </c>
      <c r="F107" s="30">
        <f t="shared" si="15"/>
        <v>251</v>
      </c>
      <c r="G107" s="26" t="s">
        <v>202</v>
      </c>
      <c r="H107" s="26" t="s">
        <v>63</v>
      </c>
      <c r="I107" s="26">
        <f t="shared" si="16"/>
        <v>1</v>
      </c>
      <c r="J107" s="40">
        <f t="shared" si="17"/>
        <v>185.625</v>
      </c>
      <c r="K107" s="41">
        <f t="shared" si="18"/>
        <v>2.7742437837054932</v>
      </c>
      <c r="L107" s="26">
        <v>183</v>
      </c>
      <c r="M107" s="26">
        <v>188</v>
      </c>
      <c r="N107" s="26">
        <v>188</v>
      </c>
      <c r="O107" s="26">
        <v>182</v>
      </c>
      <c r="P107" s="26">
        <v>187</v>
      </c>
      <c r="Q107" s="26">
        <v>182</v>
      </c>
      <c r="R107" s="26">
        <v>188</v>
      </c>
      <c r="S107" s="26">
        <v>187</v>
      </c>
      <c r="T107" s="26"/>
      <c r="U107" s="27">
        <f>AVERAGE(0.278,0.202,0.208,0.258)</f>
        <v>0.23650000000000002</v>
      </c>
      <c r="V107" s="26">
        <v>0.105</v>
      </c>
      <c r="W107" s="26"/>
      <c r="X107" s="28" t="s">
        <v>193</v>
      </c>
      <c r="Y107" s="26" t="s">
        <v>14</v>
      </c>
      <c r="Z107" s="26" t="s">
        <v>13</v>
      </c>
      <c r="AA107" s="26" t="s">
        <v>133</v>
      </c>
      <c r="AB107" s="26">
        <v>33</v>
      </c>
      <c r="AC107" s="26">
        <v>3</v>
      </c>
      <c r="AD107" s="26"/>
      <c r="AE107" s="26"/>
      <c r="AF107" s="26"/>
      <c r="AG107" s="26"/>
      <c r="AH107" s="26"/>
      <c r="AI107" s="26"/>
      <c r="AJ107" s="26"/>
    </row>
    <row r="108" spans="1:36">
      <c r="A108" s="25" t="str">
        <f t="shared" si="19"/>
        <v>VSG01C-23251E2.05</v>
      </c>
      <c r="B108" s="26">
        <v>100</v>
      </c>
      <c r="C108" s="26">
        <v>5</v>
      </c>
      <c r="D108" s="26" t="s">
        <v>203</v>
      </c>
      <c r="E108" s="29">
        <v>45177</v>
      </c>
      <c r="F108" s="30">
        <f t="shared" si="15"/>
        <v>251</v>
      </c>
      <c r="G108" s="26" t="s">
        <v>202</v>
      </c>
      <c r="H108" s="26" t="s">
        <v>63</v>
      </c>
      <c r="I108" s="26">
        <f t="shared" si="16"/>
        <v>1</v>
      </c>
      <c r="J108" s="40">
        <f t="shared" si="17"/>
        <v>177.875</v>
      </c>
      <c r="K108" s="41">
        <f t="shared" si="18"/>
        <v>3.3139316313320131</v>
      </c>
      <c r="L108" s="26">
        <v>178</v>
      </c>
      <c r="M108" s="26">
        <v>178</v>
      </c>
      <c r="N108" s="26">
        <v>174</v>
      </c>
      <c r="O108" s="26">
        <v>180</v>
      </c>
      <c r="P108" s="26">
        <v>175</v>
      </c>
      <c r="Q108" s="26">
        <v>174</v>
      </c>
      <c r="R108" s="26">
        <v>182</v>
      </c>
      <c r="S108" s="26">
        <v>182</v>
      </c>
      <c r="T108" s="26"/>
      <c r="U108" s="27">
        <f>AVERAGE(0.301,0.25,0.224,0.239)</f>
        <v>0.25349999999999995</v>
      </c>
      <c r="V108" s="26">
        <v>0.105</v>
      </c>
      <c r="W108" s="26"/>
      <c r="X108" s="28" t="s">
        <v>193</v>
      </c>
      <c r="Y108" s="26" t="s">
        <v>14</v>
      </c>
      <c r="Z108" s="26" t="s">
        <v>13</v>
      </c>
      <c r="AA108" s="26" t="s">
        <v>133</v>
      </c>
      <c r="AB108" s="26">
        <v>33</v>
      </c>
      <c r="AC108" s="26">
        <v>2</v>
      </c>
      <c r="AD108" s="26"/>
      <c r="AE108" s="26"/>
      <c r="AF108" s="26"/>
      <c r="AG108" s="26"/>
      <c r="AH108" s="26"/>
      <c r="AI108" s="26"/>
      <c r="AJ108" s="26"/>
    </row>
    <row r="109" spans="1:36">
      <c r="A109" s="25" t="str">
        <f t="shared" si="19"/>
        <v>VSG01C-23251E2.06</v>
      </c>
      <c r="B109" s="26">
        <v>100</v>
      </c>
      <c r="C109" s="26">
        <v>6</v>
      </c>
      <c r="D109" s="26" t="s">
        <v>203</v>
      </c>
      <c r="E109" s="29">
        <v>45177</v>
      </c>
      <c r="F109" s="30">
        <f t="shared" si="15"/>
        <v>251</v>
      </c>
      <c r="G109" s="26" t="s">
        <v>202</v>
      </c>
      <c r="H109" s="26" t="s">
        <v>63</v>
      </c>
      <c r="I109" s="26">
        <f t="shared" si="16"/>
        <v>1</v>
      </c>
      <c r="J109" s="40">
        <f t="shared" si="17"/>
        <v>180.25</v>
      </c>
      <c r="K109" s="41">
        <f t="shared" si="18"/>
        <v>2.4928469095164498</v>
      </c>
      <c r="L109" s="26">
        <v>180</v>
      </c>
      <c r="M109" s="26">
        <v>182</v>
      </c>
      <c r="N109" s="26">
        <v>178</v>
      </c>
      <c r="O109" s="26">
        <v>180</v>
      </c>
      <c r="P109" s="26">
        <v>185</v>
      </c>
      <c r="Q109" s="26">
        <v>177</v>
      </c>
      <c r="R109" s="26">
        <v>181</v>
      </c>
      <c r="S109" s="26">
        <v>179</v>
      </c>
      <c r="T109" s="26"/>
      <c r="U109" s="27">
        <f>AVERAGE(0.234,0.244,0.241,0.286)</f>
        <v>0.25124999999999997</v>
      </c>
      <c r="V109" s="26">
        <v>0.105</v>
      </c>
      <c r="W109" s="26"/>
      <c r="X109" s="28" t="s">
        <v>193</v>
      </c>
      <c r="Y109" s="26" t="s">
        <v>14</v>
      </c>
      <c r="Z109" s="26" t="s">
        <v>13</v>
      </c>
      <c r="AA109" s="26" t="s">
        <v>133</v>
      </c>
      <c r="AB109" s="26">
        <v>33</v>
      </c>
      <c r="AC109" s="26">
        <v>1</v>
      </c>
      <c r="AD109" s="26"/>
      <c r="AE109" s="26"/>
      <c r="AF109" s="26"/>
      <c r="AG109" s="26"/>
      <c r="AH109" s="26"/>
      <c r="AI109" s="26"/>
      <c r="AJ109" s="26"/>
    </row>
    <row r="110" spans="1:36">
      <c r="A110" s="25" t="str">
        <f>"VSG"&amp;TEXT(I110,"00")&amp;"C-23"&amp;TEXT(F110,"000")&amp;Z110&amp;"2."&amp;TEXT((C110),"00")</f>
        <v>VSG01C-23251E2.07</v>
      </c>
      <c r="B110" s="26">
        <v>100</v>
      </c>
      <c r="C110" s="26">
        <v>7</v>
      </c>
      <c r="D110" s="26" t="s">
        <v>204</v>
      </c>
      <c r="E110" s="29">
        <v>45177</v>
      </c>
      <c r="F110" s="30">
        <f t="shared" si="15"/>
        <v>251</v>
      </c>
      <c r="G110" s="26" t="s">
        <v>198</v>
      </c>
      <c r="H110" s="26" t="s">
        <v>63</v>
      </c>
      <c r="I110" s="26">
        <f t="shared" si="16"/>
        <v>1</v>
      </c>
      <c r="J110" s="40">
        <f t="shared" si="17"/>
        <v>179.25</v>
      </c>
      <c r="K110" s="41">
        <f t="shared" si="18"/>
        <v>3.3040379335998349</v>
      </c>
      <c r="L110" s="26">
        <v>183</v>
      </c>
      <c r="M110" s="26">
        <v>175</v>
      </c>
      <c r="N110" s="26">
        <v>179</v>
      </c>
      <c r="O110" s="26">
        <v>180</v>
      </c>
      <c r="P110" s="26"/>
      <c r="Q110" s="26"/>
      <c r="R110" s="26"/>
      <c r="S110" s="26"/>
      <c r="T110" s="26"/>
      <c r="U110" s="26">
        <f>AVERAGE(0.226,0.185,0.273,0.202)</f>
        <v>0.22150000000000003</v>
      </c>
      <c r="V110" s="26">
        <v>0.15</v>
      </c>
      <c r="W110" s="26"/>
      <c r="X110" s="28" t="s">
        <v>193</v>
      </c>
      <c r="Y110" s="26" t="s">
        <v>14</v>
      </c>
      <c r="Z110" s="26" t="s">
        <v>13</v>
      </c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>
      <c r="A111" s="25" t="str">
        <f>"VSG"&amp;TEXT(I111,"00")&amp;"C-23"&amp;TEXT(F111,"000")&amp;Z111&amp;"2."&amp;TEXT((C111),"00")</f>
        <v>VSG01C-23251E2.08</v>
      </c>
      <c r="B111" s="26">
        <v>100</v>
      </c>
      <c r="C111" s="26">
        <v>8</v>
      </c>
      <c r="D111" s="26" t="s">
        <v>204</v>
      </c>
      <c r="E111" s="29">
        <v>45177</v>
      </c>
      <c r="F111" s="30">
        <f t="shared" si="15"/>
        <v>251</v>
      </c>
      <c r="G111" s="26" t="s">
        <v>198</v>
      </c>
      <c r="H111" s="26" t="s">
        <v>63</v>
      </c>
      <c r="I111" s="26">
        <f t="shared" si="16"/>
        <v>1</v>
      </c>
      <c r="J111" s="40">
        <f t="shared" si="17"/>
        <v>178.75</v>
      </c>
      <c r="K111" s="41">
        <f t="shared" si="18"/>
        <v>2.753785273643051</v>
      </c>
      <c r="L111" s="26">
        <v>176</v>
      </c>
      <c r="M111" s="26">
        <v>182</v>
      </c>
      <c r="N111" s="26">
        <v>177</v>
      </c>
      <c r="O111" s="26">
        <v>180</v>
      </c>
      <c r="P111" s="26"/>
      <c r="Q111" s="26"/>
      <c r="R111" s="26"/>
      <c r="S111" s="26"/>
      <c r="T111" s="26"/>
      <c r="U111" s="26">
        <f>AVERAGE(0.159,0.153,0.254,0.267)</f>
        <v>0.20825000000000002</v>
      </c>
      <c r="V111" s="26">
        <v>0.15</v>
      </c>
      <c r="W111" s="26"/>
      <c r="X111" s="28" t="s">
        <v>193</v>
      </c>
      <c r="Y111" s="26" t="s">
        <v>14</v>
      </c>
      <c r="Z111" s="26" t="s">
        <v>13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>
      <c r="A112" s="25" t="str">
        <f>"VSG"&amp;TEXT(I112,"00")&amp;"C-23"&amp;TEXT(F112,"000")&amp;Z112&amp;"2."&amp;TEXT((C112),"00")</f>
        <v>VSG01C-23251E2.09</v>
      </c>
      <c r="B112" s="26">
        <v>100</v>
      </c>
      <c r="C112" s="26">
        <v>9</v>
      </c>
      <c r="D112" s="26" t="s">
        <v>204</v>
      </c>
      <c r="E112" s="29">
        <v>45177</v>
      </c>
      <c r="F112" s="30">
        <f t="shared" si="15"/>
        <v>251</v>
      </c>
      <c r="G112" s="26" t="s">
        <v>198</v>
      </c>
      <c r="H112" s="26" t="s">
        <v>63</v>
      </c>
      <c r="I112" s="26">
        <f t="shared" si="16"/>
        <v>1</v>
      </c>
      <c r="J112" s="40">
        <f t="shared" si="17"/>
        <v>178.25</v>
      </c>
      <c r="K112" s="41">
        <f t="shared" si="18"/>
        <v>1.5</v>
      </c>
      <c r="L112" s="26">
        <v>177</v>
      </c>
      <c r="M112" s="26">
        <v>180</v>
      </c>
      <c r="N112" s="26">
        <v>177</v>
      </c>
      <c r="O112" s="26">
        <v>179</v>
      </c>
      <c r="P112" s="26"/>
      <c r="Q112" s="26"/>
      <c r="R112" s="26"/>
      <c r="S112" s="26"/>
      <c r="T112" s="26"/>
      <c r="U112" s="26">
        <f>AVERAGE(0.149,0.165,0.204,0.178)</f>
        <v>0.17399999999999999</v>
      </c>
      <c r="V112" s="26">
        <v>0.15</v>
      </c>
      <c r="W112" s="26"/>
      <c r="X112" s="28" t="s">
        <v>193</v>
      </c>
      <c r="Y112" s="26" t="s">
        <v>14</v>
      </c>
      <c r="Z112" s="26" t="s">
        <v>13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>
      <c r="A113" s="25" t="str">
        <f>"VSG"&amp;TEXT(I113,"00")&amp;"C-23"&amp;TEXT(F113,"000")&amp;Z113&amp;"2."&amp;TEXT((C113),"00")</f>
        <v>VSG01C-23251E2.10</v>
      </c>
      <c r="B113" s="26">
        <v>100</v>
      </c>
      <c r="C113" s="26">
        <v>10</v>
      </c>
      <c r="D113" s="26" t="s">
        <v>204</v>
      </c>
      <c r="E113" s="29">
        <v>45177</v>
      </c>
      <c r="F113" s="30">
        <f t="shared" si="15"/>
        <v>251</v>
      </c>
      <c r="G113" s="26" t="s">
        <v>198</v>
      </c>
      <c r="H113" s="26" t="s">
        <v>63</v>
      </c>
      <c r="I113" s="26">
        <f t="shared" si="16"/>
        <v>1</v>
      </c>
      <c r="J113" s="40">
        <f t="shared" si="17"/>
        <v>176.25</v>
      </c>
      <c r="K113" s="41">
        <f t="shared" si="18"/>
        <v>3.5</v>
      </c>
      <c r="L113" s="26">
        <v>172</v>
      </c>
      <c r="M113" s="26">
        <v>175</v>
      </c>
      <c r="N113" s="26">
        <v>178</v>
      </c>
      <c r="O113" s="26">
        <v>180</v>
      </c>
      <c r="P113" s="26"/>
      <c r="Q113" s="26"/>
      <c r="R113" s="26"/>
      <c r="S113" s="26"/>
      <c r="T113" s="26"/>
      <c r="U113" s="26">
        <f>AVERAGE(0.293,0.263,0.273,0.214)</f>
        <v>0.26075000000000004</v>
      </c>
      <c r="V113" s="26">
        <v>0.15</v>
      </c>
      <c r="W113" s="26"/>
      <c r="X113" s="28" t="s">
        <v>193</v>
      </c>
      <c r="Y113" s="26" t="s">
        <v>14</v>
      </c>
      <c r="Z113" s="26" t="s">
        <v>13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>
      <c r="A114" s="25" t="str">
        <f t="shared" ref="A114:A122" si="20">"VSG"&amp;TEXT(I114,"00")&amp;"C-23"&amp;TEXT(F114,"000")&amp;Z114&amp;"2."&amp;TEXT(RIGHT(C114),"00")</f>
        <v>VSG01C-23254E2.01</v>
      </c>
      <c r="B114" s="26">
        <v>100</v>
      </c>
      <c r="C114" s="26">
        <v>1</v>
      </c>
      <c r="D114" s="26" t="s">
        <v>205</v>
      </c>
      <c r="E114" s="29">
        <v>45180</v>
      </c>
      <c r="F114" s="30">
        <f t="shared" si="15"/>
        <v>254</v>
      </c>
      <c r="G114" s="26" t="s">
        <v>202</v>
      </c>
      <c r="H114" s="26" t="s">
        <v>63</v>
      </c>
      <c r="I114" s="26">
        <f t="shared" si="16"/>
        <v>1</v>
      </c>
      <c r="J114" s="40">
        <f t="shared" si="17"/>
        <v>178.625</v>
      </c>
      <c r="K114" s="41">
        <f t="shared" si="18"/>
        <v>2.3260942125619688</v>
      </c>
      <c r="L114" s="26">
        <v>175</v>
      </c>
      <c r="M114" s="26">
        <v>179</v>
      </c>
      <c r="N114" s="26">
        <v>176</v>
      </c>
      <c r="O114" s="26">
        <v>178</v>
      </c>
      <c r="P114" s="26">
        <v>179</v>
      </c>
      <c r="Q114" s="26">
        <v>182</v>
      </c>
      <c r="R114" s="26">
        <v>179</v>
      </c>
      <c r="S114" s="26">
        <v>181</v>
      </c>
      <c r="T114" s="26"/>
      <c r="U114" s="27">
        <f>AVERAGE(0.279,0.238,0.22,0.241)</f>
        <v>0.2445</v>
      </c>
      <c r="V114" s="26">
        <v>0.15</v>
      </c>
      <c r="W114" s="26"/>
      <c r="X114" s="28" t="s">
        <v>193</v>
      </c>
      <c r="Y114" s="26" t="s">
        <v>14</v>
      </c>
      <c r="Z114" s="26" t="s">
        <v>13</v>
      </c>
      <c r="AA114" s="26" t="s">
        <v>133</v>
      </c>
      <c r="AB114" s="26">
        <v>36</v>
      </c>
      <c r="AC114" s="26">
        <v>3</v>
      </c>
      <c r="AD114" s="26"/>
      <c r="AE114" s="26"/>
      <c r="AF114" s="26"/>
      <c r="AG114" s="26"/>
      <c r="AH114" s="26"/>
      <c r="AI114" s="26"/>
      <c r="AJ114" s="26"/>
    </row>
    <row r="115" spans="1:36">
      <c r="A115" s="25" t="str">
        <f t="shared" si="20"/>
        <v>VSG01C-23254E2.02</v>
      </c>
      <c r="B115" s="26">
        <v>100</v>
      </c>
      <c r="C115" s="26">
        <v>2</v>
      </c>
      <c r="D115" s="26" t="s">
        <v>205</v>
      </c>
      <c r="E115" s="29">
        <v>45180</v>
      </c>
      <c r="F115" s="30">
        <f t="shared" si="15"/>
        <v>254</v>
      </c>
      <c r="G115" s="26" t="s">
        <v>202</v>
      </c>
      <c r="H115" s="26" t="s">
        <v>63</v>
      </c>
      <c r="I115" s="26">
        <f t="shared" si="16"/>
        <v>1</v>
      </c>
      <c r="J115" s="40">
        <f t="shared" si="17"/>
        <v>179.75</v>
      </c>
      <c r="K115" s="41">
        <f t="shared" si="18"/>
        <v>4.8623921214621451</v>
      </c>
      <c r="L115" s="26">
        <v>174</v>
      </c>
      <c r="M115" s="26">
        <v>174</v>
      </c>
      <c r="N115" s="26">
        <v>181</v>
      </c>
      <c r="O115" s="26">
        <v>177</v>
      </c>
      <c r="P115" s="26">
        <v>177</v>
      </c>
      <c r="Q115" s="26">
        <v>185</v>
      </c>
      <c r="R115" s="26">
        <v>185</v>
      </c>
      <c r="S115" s="26">
        <v>185</v>
      </c>
      <c r="T115" s="26"/>
      <c r="U115" s="27">
        <f>AVERAGE(0.197,0.224,0.278,0.247)</f>
        <v>0.23650000000000002</v>
      </c>
      <c r="V115" s="26">
        <v>0.15</v>
      </c>
      <c r="W115" s="26"/>
      <c r="X115" s="28" t="s">
        <v>193</v>
      </c>
      <c r="Y115" s="26" t="s">
        <v>14</v>
      </c>
      <c r="Z115" s="26" t="s">
        <v>13</v>
      </c>
      <c r="AA115" s="26" t="s">
        <v>133</v>
      </c>
      <c r="AB115" s="26">
        <v>37</v>
      </c>
      <c r="AC115" s="26">
        <v>2</v>
      </c>
      <c r="AD115" s="26"/>
      <c r="AE115" s="26"/>
      <c r="AF115" s="26"/>
      <c r="AG115" s="26"/>
      <c r="AH115" s="26"/>
      <c r="AI115" s="26"/>
      <c r="AJ115" s="26"/>
    </row>
    <row r="116" spans="1:36">
      <c r="A116" s="25" t="str">
        <f t="shared" si="20"/>
        <v>VSG01C-23254E2.03</v>
      </c>
      <c r="B116" s="26">
        <v>100</v>
      </c>
      <c r="C116" s="26">
        <v>3</v>
      </c>
      <c r="D116" s="26" t="s">
        <v>205</v>
      </c>
      <c r="E116" s="29">
        <v>45180</v>
      </c>
      <c r="F116" s="30">
        <f t="shared" si="15"/>
        <v>254</v>
      </c>
      <c r="G116" s="26" t="s">
        <v>202</v>
      </c>
      <c r="H116" s="26" t="s">
        <v>63</v>
      </c>
      <c r="I116" s="26">
        <f t="shared" si="16"/>
        <v>1</v>
      </c>
      <c r="J116" s="40">
        <f t="shared" si="17"/>
        <v>180.125</v>
      </c>
      <c r="K116" s="41">
        <f t="shared" si="18"/>
        <v>5.0267143486433703</v>
      </c>
      <c r="L116" s="26">
        <v>179</v>
      </c>
      <c r="M116" s="26">
        <v>183</v>
      </c>
      <c r="N116" s="26">
        <v>184</v>
      </c>
      <c r="O116" s="26">
        <v>187</v>
      </c>
      <c r="P116" s="26">
        <v>184</v>
      </c>
      <c r="Q116" s="26">
        <v>175</v>
      </c>
      <c r="R116" s="26">
        <v>175</v>
      </c>
      <c r="S116" s="26">
        <v>174</v>
      </c>
      <c r="T116" s="26"/>
      <c r="U116" s="27">
        <f>AVERAGE(0.188,0.246,0.207,0.237)</f>
        <v>0.2195</v>
      </c>
      <c r="V116" s="26">
        <v>0.15</v>
      </c>
      <c r="W116" s="26"/>
      <c r="X116" s="28" t="s">
        <v>193</v>
      </c>
      <c r="Y116" s="26" t="s">
        <v>14</v>
      </c>
      <c r="Z116" s="26" t="s">
        <v>13</v>
      </c>
      <c r="AA116" s="26" t="s">
        <v>133</v>
      </c>
      <c r="AB116" s="26">
        <v>37</v>
      </c>
      <c r="AC116" s="26">
        <v>1</v>
      </c>
      <c r="AD116" s="26"/>
      <c r="AE116" s="26"/>
      <c r="AF116" s="26"/>
      <c r="AG116" s="26"/>
      <c r="AH116" s="26"/>
      <c r="AI116" s="26"/>
      <c r="AJ116" s="26"/>
    </row>
    <row r="117" spans="1:36">
      <c r="A117" s="25" t="str">
        <f t="shared" si="20"/>
        <v>VSG01C-23254E2.04</v>
      </c>
      <c r="B117" s="26">
        <v>100</v>
      </c>
      <c r="C117" s="26">
        <v>4</v>
      </c>
      <c r="D117" s="26" t="s">
        <v>205</v>
      </c>
      <c r="E117" s="29">
        <v>45180</v>
      </c>
      <c r="F117" s="30">
        <f t="shared" ref="F117:F148" si="21">E117-DATE(YEAR(E117),1,0)</f>
        <v>254</v>
      </c>
      <c r="G117" s="26" t="s">
        <v>202</v>
      </c>
      <c r="H117" s="26" t="s">
        <v>63</v>
      </c>
      <c r="I117" s="26">
        <f t="shared" si="16"/>
        <v>1</v>
      </c>
      <c r="J117" s="40">
        <f t="shared" si="17"/>
        <v>178.875</v>
      </c>
      <c r="K117" s="41">
        <f t="shared" si="18"/>
        <v>5.2762946955496828</v>
      </c>
      <c r="L117" s="26">
        <v>178</v>
      </c>
      <c r="M117" s="26">
        <v>177</v>
      </c>
      <c r="N117" s="26">
        <v>170</v>
      </c>
      <c r="O117" s="26">
        <v>180</v>
      </c>
      <c r="P117" s="26">
        <v>177</v>
      </c>
      <c r="Q117" s="26">
        <v>179</v>
      </c>
      <c r="R117" s="26">
        <v>189</v>
      </c>
      <c r="S117" s="26">
        <v>181</v>
      </c>
      <c r="T117" s="26"/>
      <c r="U117" s="27">
        <f>AVERAGE(0.168,0.243,0.171,0.172)</f>
        <v>0.1885</v>
      </c>
      <c r="V117" s="26">
        <v>0.15</v>
      </c>
      <c r="W117" s="26"/>
      <c r="X117" s="28" t="s">
        <v>193</v>
      </c>
      <c r="Y117" s="26" t="s">
        <v>14</v>
      </c>
      <c r="Z117" s="26" t="s">
        <v>13</v>
      </c>
      <c r="AA117" s="26" t="s">
        <v>133</v>
      </c>
      <c r="AB117" s="26">
        <v>34</v>
      </c>
      <c r="AC117" s="26">
        <v>3</v>
      </c>
      <c r="AD117" s="26"/>
      <c r="AE117" s="26"/>
      <c r="AF117" s="26"/>
      <c r="AG117" s="26"/>
      <c r="AH117" s="26"/>
      <c r="AI117" s="26"/>
      <c r="AJ117" s="26"/>
    </row>
    <row r="118" spans="1:36">
      <c r="A118" s="25" t="str">
        <f t="shared" si="20"/>
        <v>VSG01C-23254E2.05</v>
      </c>
      <c r="B118" s="26">
        <v>100</v>
      </c>
      <c r="C118" s="26">
        <v>5</v>
      </c>
      <c r="D118" s="26" t="s">
        <v>205</v>
      </c>
      <c r="E118" s="29">
        <v>45180</v>
      </c>
      <c r="F118" s="30">
        <f t="shared" si="21"/>
        <v>254</v>
      </c>
      <c r="G118" s="26" t="s">
        <v>202</v>
      </c>
      <c r="H118" s="26" t="s">
        <v>63</v>
      </c>
      <c r="I118" s="26">
        <f t="shared" si="16"/>
        <v>1</v>
      </c>
      <c r="J118" s="40">
        <f t="shared" si="17"/>
        <v>182.125</v>
      </c>
      <c r="K118" s="41">
        <f t="shared" si="18"/>
        <v>4.9117206760971248</v>
      </c>
      <c r="L118" s="26">
        <v>174</v>
      </c>
      <c r="M118" s="26">
        <v>180</v>
      </c>
      <c r="N118" s="26">
        <v>186</v>
      </c>
      <c r="O118" s="26">
        <v>183</v>
      </c>
      <c r="P118" s="26">
        <v>177</v>
      </c>
      <c r="Q118" s="26">
        <v>185</v>
      </c>
      <c r="R118" s="26">
        <v>183</v>
      </c>
      <c r="S118" s="26">
        <v>189</v>
      </c>
      <c r="T118" s="26"/>
      <c r="U118" s="27">
        <f>AVERAGE(0.231,0.2,0.235,0.195)</f>
        <v>0.21525</v>
      </c>
      <c r="V118" s="26">
        <v>0.15</v>
      </c>
      <c r="W118" s="26"/>
      <c r="X118" s="28" t="s">
        <v>193</v>
      </c>
      <c r="Y118" s="26" t="s">
        <v>14</v>
      </c>
      <c r="Z118" s="26" t="s">
        <v>13</v>
      </c>
      <c r="AA118" s="26" t="s">
        <v>133</v>
      </c>
      <c r="AB118" s="26">
        <v>34</v>
      </c>
      <c r="AC118" s="26">
        <v>1</v>
      </c>
      <c r="AD118" s="26"/>
      <c r="AE118" s="26"/>
      <c r="AF118" s="26"/>
      <c r="AG118" s="26"/>
      <c r="AH118" s="26"/>
      <c r="AI118" s="26"/>
      <c r="AJ118" s="26"/>
    </row>
    <row r="119" spans="1:36">
      <c r="A119" s="25" t="str">
        <f t="shared" si="20"/>
        <v>VSG01C-23254E2.06</v>
      </c>
      <c r="B119" s="26">
        <v>100</v>
      </c>
      <c r="C119" s="26">
        <v>6</v>
      </c>
      <c r="D119" s="26" t="s">
        <v>205</v>
      </c>
      <c r="E119" s="29">
        <v>45180</v>
      </c>
      <c r="F119" s="30">
        <f t="shared" si="21"/>
        <v>254</v>
      </c>
      <c r="G119" s="26" t="s">
        <v>202</v>
      </c>
      <c r="H119" s="26" t="s">
        <v>63</v>
      </c>
      <c r="I119" s="26">
        <f t="shared" si="16"/>
        <v>1</v>
      </c>
      <c r="J119" s="40">
        <f t="shared" si="17"/>
        <v>178.125</v>
      </c>
      <c r="K119" s="41">
        <f t="shared" si="18"/>
        <v>3.4408263127170069</v>
      </c>
      <c r="L119" s="26">
        <v>175</v>
      </c>
      <c r="M119" s="26">
        <v>183</v>
      </c>
      <c r="N119" s="26">
        <v>179</v>
      </c>
      <c r="O119" s="26">
        <v>179</v>
      </c>
      <c r="P119" s="26">
        <v>183</v>
      </c>
      <c r="Q119" s="26">
        <v>175</v>
      </c>
      <c r="R119" s="26">
        <v>176</v>
      </c>
      <c r="S119" s="26">
        <v>175</v>
      </c>
      <c r="T119" s="26"/>
      <c r="U119" s="27">
        <f>AVERAGE(0.201,0.15,0.225,0.23)</f>
        <v>0.20149999999999998</v>
      </c>
      <c r="V119" s="26">
        <v>0.15</v>
      </c>
      <c r="W119" s="26"/>
      <c r="X119" s="28" t="s">
        <v>193</v>
      </c>
      <c r="Y119" s="26" t="s">
        <v>14</v>
      </c>
      <c r="Z119" s="26" t="s">
        <v>13</v>
      </c>
      <c r="AA119" s="26" t="s">
        <v>133</v>
      </c>
      <c r="AB119" s="26">
        <v>35</v>
      </c>
      <c r="AC119" s="26">
        <v>1</v>
      </c>
      <c r="AD119" s="26"/>
      <c r="AE119" s="26"/>
      <c r="AF119" s="26"/>
      <c r="AG119" s="26"/>
      <c r="AH119" s="26"/>
      <c r="AI119" s="26"/>
      <c r="AJ119" s="26"/>
    </row>
    <row r="120" spans="1:36">
      <c r="A120" s="25" t="str">
        <f t="shared" si="20"/>
        <v>VSG01C-23254E2.07</v>
      </c>
      <c r="B120" s="26">
        <v>100</v>
      </c>
      <c r="C120" s="26">
        <v>7</v>
      </c>
      <c r="D120" s="26" t="s">
        <v>206</v>
      </c>
      <c r="E120" s="29">
        <v>45180</v>
      </c>
      <c r="F120" s="30">
        <f t="shared" si="21"/>
        <v>254</v>
      </c>
      <c r="G120" s="26" t="s">
        <v>202</v>
      </c>
      <c r="H120" s="26" t="s">
        <v>63</v>
      </c>
      <c r="I120" s="26">
        <f t="shared" si="16"/>
        <v>1</v>
      </c>
      <c r="J120" s="40">
        <f t="shared" si="17"/>
        <v>177.625</v>
      </c>
      <c r="K120" s="41">
        <f t="shared" si="18"/>
        <v>4.0686080455816125</v>
      </c>
      <c r="L120" s="26">
        <v>179</v>
      </c>
      <c r="M120" s="26">
        <v>172</v>
      </c>
      <c r="N120" s="26">
        <v>177</v>
      </c>
      <c r="O120" s="26">
        <v>174</v>
      </c>
      <c r="P120" s="26">
        <v>175</v>
      </c>
      <c r="Q120" s="26">
        <v>180</v>
      </c>
      <c r="R120" s="26">
        <v>185</v>
      </c>
      <c r="S120" s="26">
        <v>179</v>
      </c>
      <c r="T120" s="26"/>
      <c r="U120" s="27">
        <f>AVERAGE(0.198,0.218,0.24,0.227)</f>
        <v>0.22075</v>
      </c>
      <c r="V120" s="26">
        <v>0.15</v>
      </c>
      <c r="W120" s="26"/>
      <c r="X120" s="28" t="s">
        <v>193</v>
      </c>
      <c r="Y120" s="26" t="s">
        <v>14</v>
      </c>
      <c r="Z120" s="26" t="s">
        <v>13</v>
      </c>
      <c r="AA120" s="26" t="s">
        <v>133</v>
      </c>
      <c r="AB120" s="26">
        <v>34</v>
      </c>
      <c r="AC120" s="26">
        <v>2</v>
      </c>
      <c r="AD120" s="26"/>
      <c r="AE120" s="26"/>
      <c r="AF120" s="26"/>
      <c r="AG120" s="26"/>
      <c r="AH120" s="26"/>
      <c r="AI120" s="26"/>
      <c r="AJ120" s="26"/>
    </row>
    <row r="121" spans="1:36">
      <c r="A121" s="25" t="str">
        <f t="shared" si="20"/>
        <v>VSG01C-23254E2.08</v>
      </c>
      <c r="B121" s="26">
        <v>100</v>
      </c>
      <c r="C121" s="26">
        <v>8</v>
      </c>
      <c r="D121" s="26" t="s">
        <v>206</v>
      </c>
      <c r="E121" s="29">
        <v>45180</v>
      </c>
      <c r="F121" s="30">
        <f t="shared" si="21"/>
        <v>254</v>
      </c>
      <c r="G121" s="26" t="s">
        <v>202</v>
      </c>
      <c r="H121" s="26" t="s">
        <v>63</v>
      </c>
      <c r="I121" s="26">
        <f t="shared" si="16"/>
        <v>1</v>
      </c>
      <c r="J121" s="40">
        <f t="shared" si="17"/>
        <v>181.25</v>
      </c>
      <c r="K121" s="41">
        <f t="shared" si="18"/>
        <v>2.9154759474226504</v>
      </c>
      <c r="L121" s="26">
        <v>178</v>
      </c>
      <c r="M121" s="26">
        <v>181</v>
      </c>
      <c r="N121" s="26">
        <v>183</v>
      </c>
      <c r="O121" s="26">
        <v>179</v>
      </c>
      <c r="P121" s="26">
        <v>184</v>
      </c>
      <c r="Q121" s="26">
        <v>181</v>
      </c>
      <c r="R121" s="26">
        <v>186</v>
      </c>
      <c r="S121" s="26">
        <v>178</v>
      </c>
      <c r="T121" s="26"/>
      <c r="U121" s="27">
        <f>AVERAGE(0.163,0.226,0.21,0.233)</f>
        <v>0.20799999999999999</v>
      </c>
      <c r="V121" s="26">
        <v>0.15</v>
      </c>
      <c r="W121" s="26"/>
      <c r="X121" s="28" t="s">
        <v>193</v>
      </c>
      <c r="Y121" s="26" t="s">
        <v>14</v>
      </c>
      <c r="Z121" s="26" t="s">
        <v>13</v>
      </c>
      <c r="AA121" s="26" t="s">
        <v>133</v>
      </c>
      <c r="AB121" s="26">
        <v>35</v>
      </c>
      <c r="AC121" s="26">
        <v>2</v>
      </c>
      <c r="AD121" s="26"/>
      <c r="AE121" s="26"/>
      <c r="AF121" s="26"/>
      <c r="AG121" s="26"/>
      <c r="AH121" s="26"/>
      <c r="AI121" s="26"/>
      <c r="AJ121" s="26"/>
    </row>
    <row r="122" spans="1:36">
      <c r="A122" s="25" t="str">
        <f t="shared" si="20"/>
        <v>VSG01C-23254E2.09</v>
      </c>
      <c r="B122" s="26">
        <v>100</v>
      </c>
      <c r="C122" s="26">
        <v>9</v>
      </c>
      <c r="D122" s="26" t="s">
        <v>206</v>
      </c>
      <c r="E122" s="29">
        <v>45180</v>
      </c>
      <c r="F122" s="30">
        <f t="shared" si="21"/>
        <v>254</v>
      </c>
      <c r="G122" s="26" t="s">
        <v>202</v>
      </c>
      <c r="H122" s="26" t="s">
        <v>63</v>
      </c>
      <c r="I122" s="26">
        <f t="shared" si="16"/>
        <v>1</v>
      </c>
      <c r="J122" s="40">
        <f t="shared" si="17"/>
        <v>183.375</v>
      </c>
      <c r="K122" s="41">
        <f t="shared" si="18"/>
        <v>3.1139088893910452</v>
      </c>
      <c r="L122" s="26">
        <v>183</v>
      </c>
      <c r="M122" s="26">
        <v>183</v>
      </c>
      <c r="N122" s="26">
        <v>184</v>
      </c>
      <c r="O122" s="26">
        <v>180</v>
      </c>
      <c r="P122" s="26">
        <v>184</v>
      </c>
      <c r="Q122" s="26">
        <v>190</v>
      </c>
      <c r="R122" s="26">
        <v>183</v>
      </c>
      <c r="S122" s="26">
        <v>180</v>
      </c>
      <c r="T122" s="26"/>
      <c r="U122" s="27">
        <f>AVERAGE(0.227,0.24,0.225,0.217)</f>
        <v>0.22724999999999998</v>
      </c>
      <c r="V122" s="26">
        <v>0.15</v>
      </c>
      <c r="W122" s="26"/>
      <c r="X122" s="28" t="s">
        <v>193</v>
      </c>
      <c r="Y122" s="26" t="s">
        <v>14</v>
      </c>
      <c r="Z122" s="26" t="s">
        <v>13</v>
      </c>
      <c r="AA122" s="26" t="s">
        <v>133</v>
      </c>
      <c r="AB122" s="26">
        <v>35</v>
      </c>
      <c r="AC122" s="26">
        <v>3</v>
      </c>
      <c r="AD122" s="26"/>
      <c r="AE122" s="26"/>
      <c r="AF122" s="26"/>
      <c r="AG122" s="26"/>
      <c r="AH122" s="26"/>
      <c r="AI122" s="26"/>
      <c r="AJ122" s="26"/>
    </row>
    <row r="123" spans="1:36">
      <c r="A123" s="25" t="str">
        <f t="shared" ref="A123:A133" si="22">"VSG"&amp;TEXT(I123,"00")&amp;"C-23"&amp;TEXT(F123,"000")&amp;Z123&amp;"2."&amp;TEXT((C123),"00")</f>
        <v>VSG01C-23254E2.10</v>
      </c>
      <c r="B123" s="26">
        <v>100</v>
      </c>
      <c r="C123" s="26">
        <v>10</v>
      </c>
      <c r="D123" s="26" t="s">
        <v>206</v>
      </c>
      <c r="E123" s="29">
        <v>45180</v>
      </c>
      <c r="F123" s="30">
        <f t="shared" si="21"/>
        <v>254</v>
      </c>
      <c r="G123" s="26" t="s">
        <v>202</v>
      </c>
      <c r="H123" s="26" t="s">
        <v>63</v>
      </c>
      <c r="I123" s="26">
        <f t="shared" si="16"/>
        <v>1</v>
      </c>
      <c r="J123" s="40">
        <f t="shared" si="17"/>
        <v>181.375</v>
      </c>
      <c r="K123" s="41">
        <f t="shared" si="18"/>
        <v>3.2486260832190936</v>
      </c>
      <c r="L123" s="26">
        <v>177</v>
      </c>
      <c r="M123" s="26">
        <v>179</v>
      </c>
      <c r="N123" s="26">
        <v>179</v>
      </c>
      <c r="O123" s="26">
        <v>187</v>
      </c>
      <c r="P123" s="26">
        <v>183</v>
      </c>
      <c r="Q123" s="26">
        <v>180</v>
      </c>
      <c r="R123" s="26">
        <v>182</v>
      </c>
      <c r="S123" s="26">
        <v>184</v>
      </c>
      <c r="T123" s="26"/>
      <c r="U123" s="27">
        <f>AVERAGE(0.205,0.236,0.251,0.196)</f>
        <v>0.22199999999999998</v>
      </c>
      <c r="V123" s="26">
        <v>0.15</v>
      </c>
      <c r="W123" s="26"/>
      <c r="X123" s="28" t="s">
        <v>193</v>
      </c>
      <c r="Y123" s="26" t="s">
        <v>14</v>
      </c>
      <c r="Z123" s="26" t="s">
        <v>13</v>
      </c>
      <c r="AA123" s="26" t="s">
        <v>133</v>
      </c>
      <c r="AB123" s="26">
        <v>37</v>
      </c>
      <c r="AC123" s="26">
        <v>3</v>
      </c>
      <c r="AD123" s="26"/>
      <c r="AE123" s="26"/>
      <c r="AF123" s="26"/>
      <c r="AG123" s="26"/>
      <c r="AH123" s="26"/>
      <c r="AI123" s="26"/>
      <c r="AJ123" s="26"/>
    </row>
    <row r="124" spans="1:36">
      <c r="A124" s="25" t="str">
        <f t="shared" si="22"/>
        <v>VSG01C-23254E2.11</v>
      </c>
      <c r="B124" s="26">
        <v>100</v>
      </c>
      <c r="C124" s="26">
        <v>11</v>
      </c>
      <c r="D124" s="26" t="s">
        <v>206</v>
      </c>
      <c r="E124" s="29">
        <v>45180</v>
      </c>
      <c r="F124" s="30">
        <f t="shared" si="21"/>
        <v>254</v>
      </c>
      <c r="G124" s="26" t="s">
        <v>202</v>
      </c>
      <c r="H124" s="26" t="s">
        <v>63</v>
      </c>
      <c r="I124" s="26">
        <f t="shared" si="16"/>
        <v>1</v>
      </c>
      <c r="J124" s="40">
        <f t="shared" si="17"/>
        <v>176</v>
      </c>
      <c r="K124" s="41">
        <f t="shared" si="18"/>
        <v>5.8797473220733361</v>
      </c>
      <c r="L124" s="26">
        <v>173</v>
      </c>
      <c r="M124" s="26">
        <v>175</v>
      </c>
      <c r="N124" s="26">
        <v>171</v>
      </c>
      <c r="O124" s="26">
        <v>171</v>
      </c>
      <c r="P124" s="26">
        <v>183</v>
      </c>
      <c r="Q124" s="26">
        <v>185</v>
      </c>
      <c r="R124" s="26">
        <v>170</v>
      </c>
      <c r="S124" s="26">
        <v>180</v>
      </c>
      <c r="T124" s="26"/>
      <c r="U124" s="27">
        <f>AVERAGE(0.23,0.206,0.11,0.245)</f>
        <v>0.19775000000000001</v>
      </c>
      <c r="V124" s="26">
        <v>0.15</v>
      </c>
      <c r="W124" s="26"/>
      <c r="X124" s="28" t="s">
        <v>193</v>
      </c>
      <c r="Y124" s="26" t="s">
        <v>14</v>
      </c>
      <c r="Z124" s="26" t="s">
        <v>13</v>
      </c>
      <c r="AA124" s="26" t="s">
        <v>133</v>
      </c>
      <c r="AB124" s="26">
        <v>36</v>
      </c>
      <c r="AC124" s="26">
        <v>1</v>
      </c>
      <c r="AD124" s="26"/>
      <c r="AE124" s="26" t="s">
        <v>207</v>
      </c>
      <c r="AF124" s="26"/>
      <c r="AG124" s="26"/>
      <c r="AH124" s="26"/>
      <c r="AI124" s="26"/>
      <c r="AJ124" s="26"/>
    </row>
    <row r="125" spans="1:36">
      <c r="A125" s="25" t="str">
        <f t="shared" si="22"/>
        <v>VSG01C-23254E2.12</v>
      </c>
      <c r="B125" s="26">
        <v>100</v>
      </c>
      <c r="C125" s="26">
        <v>12</v>
      </c>
      <c r="D125" s="26" t="s">
        <v>206</v>
      </c>
      <c r="E125" s="29">
        <v>45180</v>
      </c>
      <c r="F125" s="30">
        <f t="shared" si="21"/>
        <v>254</v>
      </c>
      <c r="G125" s="26" t="s">
        <v>202</v>
      </c>
      <c r="H125" s="26" t="s">
        <v>63</v>
      </c>
      <c r="I125" s="26">
        <f t="shared" ref="I125:I156" si="23">IF(B125=100,1,(IF(B125=600,2,3)))</f>
        <v>1</v>
      </c>
      <c r="J125" s="40">
        <f t="shared" si="17"/>
        <v>170.75</v>
      </c>
      <c r="K125" s="41">
        <f t="shared" si="18"/>
        <v>4.978525312350464</v>
      </c>
      <c r="L125" s="26">
        <v>174</v>
      </c>
      <c r="M125" s="26">
        <v>174</v>
      </c>
      <c r="N125" s="26">
        <v>168</v>
      </c>
      <c r="O125" s="26">
        <v>162</v>
      </c>
      <c r="P125" s="26">
        <v>168</v>
      </c>
      <c r="Q125" s="26">
        <v>178</v>
      </c>
      <c r="R125" s="26">
        <v>169</v>
      </c>
      <c r="S125" s="26">
        <v>173</v>
      </c>
      <c r="T125" s="26"/>
      <c r="U125" s="27">
        <f>AVERAGE(0.254,0.194,0.19,0.262)</f>
        <v>0.22500000000000001</v>
      </c>
      <c r="V125" s="26">
        <v>0.15</v>
      </c>
      <c r="W125" s="26"/>
      <c r="X125" s="28" t="s">
        <v>193</v>
      </c>
      <c r="Y125" s="26" t="s">
        <v>14</v>
      </c>
      <c r="Z125" s="26" t="s">
        <v>13</v>
      </c>
      <c r="AA125" s="26" t="s">
        <v>133</v>
      </c>
      <c r="AB125" s="26">
        <v>36</v>
      </c>
      <c r="AC125" s="26">
        <v>2</v>
      </c>
      <c r="AD125" s="26"/>
      <c r="AE125" s="26"/>
      <c r="AF125" s="26"/>
      <c r="AG125" s="26"/>
      <c r="AH125" s="26"/>
      <c r="AI125" s="26"/>
      <c r="AJ125" s="26"/>
    </row>
    <row r="126" spans="1:36">
      <c r="A126" s="25" t="str">
        <f t="shared" si="22"/>
        <v>VSG01C-23254E2.13</v>
      </c>
      <c r="B126" s="26">
        <v>100</v>
      </c>
      <c r="C126" s="26">
        <v>13</v>
      </c>
      <c r="D126" s="26" t="s">
        <v>208</v>
      </c>
      <c r="E126" s="29">
        <v>45180</v>
      </c>
      <c r="F126" s="30">
        <f t="shared" si="21"/>
        <v>254</v>
      </c>
      <c r="G126" s="26" t="s">
        <v>202</v>
      </c>
      <c r="H126" s="26" t="s">
        <v>63</v>
      </c>
      <c r="I126" s="26">
        <f t="shared" si="23"/>
        <v>1</v>
      </c>
      <c r="J126" s="40">
        <f t="shared" si="17"/>
        <v>184.25</v>
      </c>
      <c r="K126" s="41">
        <f t="shared" si="18"/>
        <v>2.2173557826083452</v>
      </c>
      <c r="L126" s="26">
        <v>183</v>
      </c>
      <c r="M126" s="26">
        <v>185</v>
      </c>
      <c r="N126" s="26">
        <v>187</v>
      </c>
      <c r="O126" s="26">
        <v>182</v>
      </c>
      <c r="P126" s="26"/>
      <c r="Q126" s="26"/>
      <c r="R126" s="26"/>
      <c r="S126" s="26"/>
      <c r="T126" s="26"/>
      <c r="U126" s="26">
        <f>AVERAGE(0.189,0.194,0.198,0.216)</f>
        <v>0.19924999999999998</v>
      </c>
      <c r="V126" s="26">
        <v>0.15</v>
      </c>
      <c r="W126" s="26"/>
      <c r="X126" s="28" t="s">
        <v>193</v>
      </c>
      <c r="Y126" s="26" t="s">
        <v>14</v>
      </c>
      <c r="Z126" s="26" t="s">
        <v>13</v>
      </c>
      <c r="AA126" s="26" t="s">
        <v>133</v>
      </c>
      <c r="AB126" s="26">
        <v>2001</v>
      </c>
      <c r="AC126" s="26">
        <v>1</v>
      </c>
      <c r="AD126" s="26"/>
      <c r="AE126" s="26"/>
      <c r="AF126" s="26"/>
      <c r="AG126" s="26"/>
      <c r="AH126" s="26"/>
      <c r="AI126" s="26"/>
      <c r="AJ126" s="26"/>
    </row>
    <row r="127" spans="1:36">
      <c r="A127" s="25" t="str">
        <f t="shared" si="22"/>
        <v>VSG01C-23254E2.14</v>
      </c>
      <c r="B127" s="26">
        <v>100</v>
      </c>
      <c r="C127" s="26">
        <v>14</v>
      </c>
      <c r="D127" s="26" t="s">
        <v>208</v>
      </c>
      <c r="E127" s="29">
        <v>45180</v>
      </c>
      <c r="F127" s="30">
        <f t="shared" si="21"/>
        <v>254</v>
      </c>
      <c r="G127" s="26" t="s">
        <v>202</v>
      </c>
      <c r="H127" s="26" t="s">
        <v>63</v>
      </c>
      <c r="I127" s="26">
        <f t="shared" si="23"/>
        <v>1</v>
      </c>
      <c r="J127" s="40">
        <f t="shared" si="17"/>
        <v>184.5</v>
      </c>
      <c r="K127" s="41">
        <f t="shared" si="18"/>
        <v>5.8022983951764031</v>
      </c>
      <c r="L127" s="26">
        <v>189</v>
      </c>
      <c r="M127" s="26">
        <v>190</v>
      </c>
      <c r="N127" s="26">
        <v>180</v>
      </c>
      <c r="O127" s="26">
        <v>179</v>
      </c>
      <c r="P127" s="26"/>
      <c r="Q127" s="26"/>
      <c r="R127" s="26"/>
      <c r="S127" s="26"/>
      <c r="T127" s="26"/>
      <c r="U127" s="26">
        <f>AVERAGE(0.219,0.244,0.233,0.212)</f>
        <v>0.22699999999999998</v>
      </c>
      <c r="V127" s="26">
        <v>0.15</v>
      </c>
      <c r="W127" s="26"/>
      <c r="X127" s="28" t="s">
        <v>193</v>
      </c>
      <c r="Y127" s="26" t="s">
        <v>14</v>
      </c>
      <c r="Z127" s="26" t="s">
        <v>13</v>
      </c>
      <c r="AA127" s="26" t="s">
        <v>133</v>
      </c>
      <c r="AB127" s="26">
        <v>2001</v>
      </c>
      <c r="AC127" s="26">
        <v>2</v>
      </c>
      <c r="AD127" s="26"/>
      <c r="AE127" s="26"/>
      <c r="AF127" s="26"/>
      <c r="AG127" s="26"/>
      <c r="AH127" s="26"/>
      <c r="AI127" s="26"/>
      <c r="AJ127" s="26"/>
    </row>
    <row r="128" spans="1:36">
      <c r="A128" s="25" t="str">
        <f t="shared" si="22"/>
        <v>VSG01C-23254E2.15</v>
      </c>
      <c r="B128" s="26">
        <v>100</v>
      </c>
      <c r="C128" s="26">
        <v>15</v>
      </c>
      <c r="D128" s="26" t="s">
        <v>208</v>
      </c>
      <c r="E128" s="29">
        <v>45180</v>
      </c>
      <c r="F128" s="30">
        <f t="shared" si="21"/>
        <v>254</v>
      </c>
      <c r="G128" s="26" t="s">
        <v>202</v>
      </c>
      <c r="H128" s="26" t="s">
        <v>63</v>
      </c>
      <c r="I128" s="26">
        <f t="shared" si="23"/>
        <v>1</v>
      </c>
      <c r="J128" s="40">
        <f t="shared" si="17"/>
        <v>181.5</v>
      </c>
      <c r="K128" s="41">
        <f t="shared" si="18"/>
        <v>4.7958315233127191</v>
      </c>
      <c r="L128" s="26">
        <v>185</v>
      </c>
      <c r="M128" s="26">
        <v>186</v>
      </c>
      <c r="N128" s="26">
        <v>179</v>
      </c>
      <c r="O128" s="26">
        <v>176</v>
      </c>
      <c r="P128" s="26"/>
      <c r="Q128" s="26"/>
      <c r="R128" s="26"/>
      <c r="S128" s="26"/>
      <c r="T128" s="26"/>
      <c r="U128" s="26">
        <f>AVERAGE(0.2,0.166,0.217,0.243)</f>
        <v>0.20649999999999999</v>
      </c>
      <c r="V128" s="26">
        <v>0.15</v>
      </c>
      <c r="W128" s="26"/>
      <c r="X128" s="28" t="s">
        <v>193</v>
      </c>
      <c r="Y128" s="26" t="s">
        <v>14</v>
      </c>
      <c r="Z128" s="26" t="s">
        <v>13</v>
      </c>
      <c r="AA128" s="26" t="s">
        <v>133</v>
      </c>
      <c r="AB128" s="26">
        <v>2001</v>
      </c>
      <c r="AC128" s="26">
        <v>3</v>
      </c>
      <c r="AD128" s="26"/>
      <c r="AE128" s="26"/>
      <c r="AF128" s="26"/>
      <c r="AG128" s="26"/>
      <c r="AH128" s="26"/>
      <c r="AI128" s="26"/>
      <c r="AJ128" s="26"/>
    </row>
    <row r="129" spans="1:36">
      <c r="A129" s="25" t="str">
        <f t="shared" si="22"/>
        <v>VSG01C-23254E2.16</v>
      </c>
      <c r="B129" s="26">
        <v>100</v>
      </c>
      <c r="C129" s="26">
        <v>16</v>
      </c>
      <c r="D129" s="26" t="s">
        <v>208</v>
      </c>
      <c r="E129" s="29">
        <v>45180</v>
      </c>
      <c r="F129" s="30">
        <f t="shared" si="21"/>
        <v>254</v>
      </c>
      <c r="G129" s="26" t="s">
        <v>202</v>
      </c>
      <c r="H129" s="26" t="s">
        <v>63</v>
      </c>
      <c r="I129" s="26">
        <f t="shared" si="23"/>
        <v>1</v>
      </c>
      <c r="J129" s="40">
        <f t="shared" si="17"/>
        <v>182</v>
      </c>
      <c r="K129" s="41">
        <f t="shared" si="18"/>
        <v>4.8304589153964796</v>
      </c>
      <c r="L129" s="26">
        <v>183</v>
      </c>
      <c r="M129" s="26">
        <v>175</v>
      </c>
      <c r="N129" s="26">
        <v>184</v>
      </c>
      <c r="O129" s="26">
        <v>186</v>
      </c>
      <c r="P129" s="26"/>
      <c r="Q129" s="26"/>
      <c r="R129" s="26"/>
      <c r="S129" s="26"/>
      <c r="T129" s="26"/>
      <c r="U129" s="26">
        <f>AVERAGE(0.211,0.258,0.204,0.263)</f>
        <v>0.23399999999999999</v>
      </c>
      <c r="V129" s="26">
        <v>0.15</v>
      </c>
      <c r="W129" s="26"/>
      <c r="X129" s="28" t="s">
        <v>193</v>
      </c>
      <c r="Y129" s="26" t="s">
        <v>14</v>
      </c>
      <c r="Z129" s="26" t="s">
        <v>13</v>
      </c>
      <c r="AA129" s="26" t="s">
        <v>133</v>
      </c>
      <c r="AB129" s="26">
        <v>2002</v>
      </c>
      <c r="AC129" s="26">
        <v>2</v>
      </c>
      <c r="AD129" s="26"/>
      <c r="AE129" s="26"/>
      <c r="AF129" s="26"/>
      <c r="AG129" s="26"/>
      <c r="AH129" s="26"/>
      <c r="AI129" s="26"/>
      <c r="AJ129" s="26"/>
    </row>
    <row r="130" spans="1:36">
      <c r="A130" s="25" t="str">
        <f t="shared" si="22"/>
        <v>VSG01C-23254E2.17</v>
      </c>
      <c r="B130" s="26">
        <v>100</v>
      </c>
      <c r="C130" s="26">
        <v>17</v>
      </c>
      <c r="D130" s="26" t="s">
        <v>208</v>
      </c>
      <c r="E130" s="29">
        <v>45180</v>
      </c>
      <c r="F130" s="30">
        <f t="shared" si="21"/>
        <v>254</v>
      </c>
      <c r="G130" s="26" t="s">
        <v>202</v>
      </c>
      <c r="H130" s="26" t="s">
        <v>63</v>
      </c>
      <c r="I130" s="26">
        <f t="shared" si="23"/>
        <v>1</v>
      </c>
      <c r="J130" s="40">
        <f t="shared" ref="J130:J151" si="24">AVERAGE(L130:S130)</f>
        <v>180</v>
      </c>
      <c r="K130" s="41">
        <f t="shared" ref="K130:K151" si="25">STDEV(L130:S130)</f>
        <v>6.6332495807107996</v>
      </c>
      <c r="L130" s="26">
        <v>189</v>
      </c>
      <c r="M130" s="26">
        <v>179</v>
      </c>
      <c r="N130" s="26">
        <v>179</v>
      </c>
      <c r="O130" s="26">
        <v>173</v>
      </c>
      <c r="P130" s="26"/>
      <c r="Q130" s="26"/>
      <c r="R130" s="26"/>
      <c r="S130" s="26"/>
      <c r="T130" s="26"/>
      <c r="U130" s="26">
        <f>AVERAGE(0.263,0.281,0.246,0.272)</f>
        <v>0.26550000000000001</v>
      </c>
      <c r="V130" s="26">
        <v>0.15</v>
      </c>
      <c r="W130" s="26"/>
      <c r="X130" s="28" t="s">
        <v>193</v>
      </c>
      <c r="Y130" s="26" t="s">
        <v>14</v>
      </c>
      <c r="Z130" s="26" t="s">
        <v>13</v>
      </c>
      <c r="AA130" s="26" t="s">
        <v>133</v>
      </c>
      <c r="AB130" s="26">
        <v>2002</v>
      </c>
      <c r="AC130" s="26">
        <v>1</v>
      </c>
      <c r="AD130" s="26"/>
      <c r="AE130" s="26"/>
      <c r="AF130" s="26"/>
      <c r="AG130" s="26"/>
      <c r="AH130" s="26"/>
      <c r="AI130" s="26"/>
      <c r="AJ130" s="26"/>
    </row>
    <row r="131" spans="1:36">
      <c r="A131" s="25" t="str">
        <f t="shared" si="22"/>
        <v>VSG01C-23254E2.18</v>
      </c>
      <c r="B131" s="26">
        <v>100</v>
      </c>
      <c r="C131" s="26">
        <v>18</v>
      </c>
      <c r="D131" s="26" t="s">
        <v>208</v>
      </c>
      <c r="E131" s="29">
        <v>45180</v>
      </c>
      <c r="F131" s="30">
        <f t="shared" si="21"/>
        <v>254</v>
      </c>
      <c r="G131" s="26" t="s">
        <v>202</v>
      </c>
      <c r="H131" s="26" t="s">
        <v>63</v>
      </c>
      <c r="I131" s="26">
        <f t="shared" si="23"/>
        <v>1</v>
      </c>
      <c r="J131" s="40">
        <f t="shared" si="24"/>
        <v>179.5</v>
      </c>
      <c r="K131" s="41">
        <f t="shared" si="25"/>
        <v>3.6968455021364721</v>
      </c>
      <c r="L131" s="26">
        <v>182</v>
      </c>
      <c r="M131" s="26">
        <v>175</v>
      </c>
      <c r="N131" s="26">
        <v>183</v>
      </c>
      <c r="O131" s="26">
        <v>178</v>
      </c>
      <c r="P131" s="26"/>
      <c r="Q131" s="26"/>
      <c r="R131" s="26"/>
      <c r="S131" s="26"/>
      <c r="T131" s="26"/>
      <c r="U131" s="26">
        <f>AVERAGE(0.197,0.222,0.246,0.283)</f>
        <v>0.23699999999999999</v>
      </c>
      <c r="V131" s="26">
        <v>0.15</v>
      </c>
      <c r="W131" s="26"/>
      <c r="X131" s="28" t="s">
        <v>193</v>
      </c>
      <c r="Y131" s="26" t="s">
        <v>14</v>
      </c>
      <c r="Z131" s="26" t="s">
        <v>13</v>
      </c>
      <c r="AA131" s="26" t="s">
        <v>133</v>
      </c>
      <c r="AB131" s="26">
        <v>2002</v>
      </c>
      <c r="AC131" s="26">
        <v>3</v>
      </c>
      <c r="AD131" s="26"/>
      <c r="AE131" s="26"/>
      <c r="AF131" s="26"/>
      <c r="AG131" s="26"/>
      <c r="AH131" s="26"/>
      <c r="AI131" s="26"/>
      <c r="AJ131" s="26"/>
    </row>
    <row r="132" spans="1:36">
      <c r="A132" s="25" t="str">
        <f t="shared" si="22"/>
        <v>VSG01C-23255E2.01</v>
      </c>
      <c r="B132" s="26">
        <v>100</v>
      </c>
      <c r="C132" s="26">
        <v>1</v>
      </c>
      <c r="D132" s="26" t="s">
        <v>209</v>
      </c>
      <c r="E132" s="29">
        <v>45181</v>
      </c>
      <c r="F132" s="30">
        <f t="shared" si="21"/>
        <v>255</v>
      </c>
      <c r="G132" s="26" t="s">
        <v>202</v>
      </c>
      <c r="H132" s="26" t="s">
        <v>63</v>
      </c>
      <c r="I132" s="26">
        <f t="shared" si="23"/>
        <v>1</v>
      </c>
      <c r="J132" s="40">
        <f t="shared" si="24"/>
        <v>182.8</v>
      </c>
      <c r="K132" s="41">
        <f t="shared" si="25"/>
        <v>3.6331804249169899</v>
      </c>
      <c r="L132" s="26">
        <v>180</v>
      </c>
      <c r="M132" s="26">
        <v>183</v>
      </c>
      <c r="N132" s="26">
        <v>181</v>
      </c>
      <c r="O132" s="26">
        <v>189</v>
      </c>
      <c r="P132" s="26">
        <v>181</v>
      </c>
      <c r="Q132" s="26"/>
      <c r="R132" s="26"/>
      <c r="S132" s="26"/>
      <c r="T132" s="26"/>
      <c r="U132" s="26">
        <f>AVERAGE(0.204,0.181,0.183,0.228,0.193)</f>
        <v>0.19780000000000003</v>
      </c>
      <c r="V132" s="26">
        <v>0.15</v>
      </c>
      <c r="W132" s="26"/>
      <c r="X132" s="28"/>
      <c r="Y132" s="26" t="s">
        <v>139</v>
      </c>
      <c r="Z132" s="26" t="s">
        <v>13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spans="1:36">
      <c r="A133" s="25" t="str">
        <f t="shared" si="22"/>
        <v>VSG01C-23255E2.02</v>
      </c>
      <c r="B133" s="26">
        <v>100</v>
      </c>
      <c r="C133" s="26">
        <v>2</v>
      </c>
      <c r="D133" s="26" t="s">
        <v>209</v>
      </c>
      <c r="E133" s="29">
        <v>45181</v>
      </c>
      <c r="F133" s="30">
        <f t="shared" si="21"/>
        <v>255</v>
      </c>
      <c r="G133" s="26" t="s">
        <v>202</v>
      </c>
      <c r="H133" s="26" t="s">
        <v>63</v>
      </c>
      <c r="I133" s="26">
        <f t="shared" si="23"/>
        <v>1</v>
      </c>
      <c r="J133" s="40">
        <f t="shared" si="24"/>
        <v>184.2</v>
      </c>
      <c r="K133" s="41">
        <f t="shared" si="25"/>
        <v>6.6483080554378642</v>
      </c>
      <c r="L133" s="26">
        <v>178</v>
      </c>
      <c r="M133" s="26">
        <v>176</v>
      </c>
      <c r="N133" s="26">
        <v>189</v>
      </c>
      <c r="O133" s="26">
        <v>188</v>
      </c>
      <c r="P133" s="26">
        <v>190</v>
      </c>
      <c r="Q133" s="26"/>
      <c r="R133" s="26"/>
      <c r="S133" s="26"/>
      <c r="T133" s="26"/>
      <c r="U133" s="26">
        <f>AVERAGE(0.211,0.174,0.206,0.245,0.208)</f>
        <v>0.20880000000000001</v>
      </c>
      <c r="V133" s="26">
        <v>0.15</v>
      </c>
      <c r="W133" s="26"/>
      <c r="X133" s="28"/>
      <c r="Y133" s="26" t="s">
        <v>14</v>
      </c>
      <c r="Z133" s="26" t="s">
        <v>13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spans="1:36">
      <c r="A134" s="25" t="str">
        <f t="shared" ref="A134:A140" si="26">"VSG"&amp;TEXT(I134,"00")&amp;"C-23"&amp;TEXT(F134,"000")&amp;Z134&amp;"2."&amp;TEXT(RIGHT(C134),"00")</f>
        <v>VSG01C-23255E2.07</v>
      </c>
      <c r="B134" s="26">
        <v>100</v>
      </c>
      <c r="C134" s="26">
        <v>7</v>
      </c>
      <c r="D134" s="26" t="s">
        <v>210</v>
      </c>
      <c r="E134" s="29">
        <v>45181</v>
      </c>
      <c r="F134" s="30">
        <f t="shared" si="21"/>
        <v>255</v>
      </c>
      <c r="G134" s="26" t="s">
        <v>211</v>
      </c>
      <c r="H134" s="26" t="s">
        <v>63</v>
      </c>
      <c r="I134" s="26">
        <f t="shared" si="23"/>
        <v>1</v>
      </c>
      <c r="J134" s="40">
        <f t="shared" si="24"/>
        <v>176.75</v>
      </c>
      <c r="K134" s="41">
        <f t="shared" si="25"/>
        <v>2.9860788111948193</v>
      </c>
      <c r="L134" s="26">
        <v>178</v>
      </c>
      <c r="M134" s="26">
        <v>176</v>
      </c>
      <c r="N134" s="26">
        <v>180</v>
      </c>
      <c r="O134" s="26">
        <v>173</v>
      </c>
      <c r="P134" s="26"/>
      <c r="Q134" s="26"/>
      <c r="R134" s="26"/>
      <c r="S134" s="26"/>
      <c r="T134" s="26"/>
      <c r="U134" s="27">
        <f>AVERAGE(0.202,0.242,0.234,0.23)</f>
        <v>0.22700000000000001</v>
      </c>
      <c r="V134" s="26">
        <v>0.15</v>
      </c>
      <c r="W134" s="26"/>
      <c r="X134" s="28" t="s">
        <v>212</v>
      </c>
      <c r="Y134" s="26" t="s">
        <v>14</v>
      </c>
      <c r="Z134" s="26" t="s">
        <v>13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spans="1:36">
      <c r="A135" s="25" t="str">
        <f t="shared" si="26"/>
        <v>VSG01C-23255E2.08</v>
      </c>
      <c r="B135" s="26">
        <v>100</v>
      </c>
      <c r="C135" s="26">
        <v>8</v>
      </c>
      <c r="D135" s="26" t="s">
        <v>210</v>
      </c>
      <c r="E135" s="29">
        <v>45181</v>
      </c>
      <c r="F135" s="30">
        <f t="shared" si="21"/>
        <v>255</v>
      </c>
      <c r="G135" s="26" t="s">
        <v>211</v>
      </c>
      <c r="H135" s="26" t="s">
        <v>63</v>
      </c>
      <c r="I135" s="26">
        <f t="shared" si="23"/>
        <v>1</v>
      </c>
      <c r="J135" s="40">
        <f t="shared" si="24"/>
        <v>186.25</v>
      </c>
      <c r="K135" s="41">
        <f t="shared" si="25"/>
        <v>5.5</v>
      </c>
      <c r="L135" s="26">
        <v>191</v>
      </c>
      <c r="M135" s="26">
        <v>191</v>
      </c>
      <c r="N135" s="26">
        <v>182</v>
      </c>
      <c r="O135" s="26">
        <v>181</v>
      </c>
      <c r="P135" s="26"/>
      <c r="Q135" s="26"/>
      <c r="R135" s="26"/>
      <c r="S135" s="26"/>
      <c r="T135" s="26"/>
      <c r="U135" s="27">
        <f>AVERAGE(0.199,0.194,0.24,0.218)</f>
        <v>0.21274999999999999</v>
      </c>
      <c r="V135" s="26">
        <v>0.15</v>
      </c>
      <c r="W135" s="26"/>
      <c r="X135" s="28" t="s">
        <v>212</v>
      </c>
      <c r="Y135" s="26" t="s">
        <v>14</v>
      </c>
      <c r="Z135" s="26" t="s">
        <v>13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spans="1:36">
      <c r="A136" s="25" t="str">
        <f t="shared" si="26"/>
        <v>VSG01C-23255E2.03</v>
      </c>
      <c r="B136" s="26">
        <v>100</v>
      </c>
      <c r="C136" s="26">
        <v>3</v>
      </c>
      <c r="D136" s="26" t="s">
        <v>210</v>
      </c>
      <c r="E136" s="29">
        <v>45181</v>
      </c>
      <c r="F136" s="30">
        <f t="shared" si="21"/>
        <v>255</v>
      </c>
      <c r="G136" s="26" t="s">
        <v>211</v>
      </c>
      <c r="H136" s="26" t="s">
        <v>63</v>
      </c>
      <c r="I136" s="26">
        <f t="shared" si="23"/>
        <v>1</v>
      </c>
      <c r="J136" s="40">
        <f t="shared" si="24"/>
        <v>185.5</v>
      </c>
      <c r="K136" s="41">
        <f t="shared" si="25"/>
        <v>5.9160797830996161</v>
      </c>
      <c r="L136" s="26">
        <v>179</v>
      </c>
      <c r="M136" s="26">
        <v>182</v>
      </c>
      <c r="N136" s="26">
        <v>190</v>
      </c>
      <c r="O136" s="26">
        <v>191</v>
      </c>
      <c r="P136" s="26"/>
      <c r="Q136" s="26"/>
      <c r="R136" s="26"/>
      <c r="S136" s="26"/>
      <c r="T136" s="26"/>
      <c r="U136" s="27">
        <f>AVERAGE(0.228,0.236,0.217,0.211)</f>
        <v>0.22299999999999998</v>
      </c>
      <c r="V136" s="26">
        <v>0.15</v>
      </c>
      <c r="W136" s="26"/>
      <c r="X136" s="28" t="s">
        <v>212</v>
      </c>
      <c r="Y136" s="26" t="s">
        <v>14</v>
      </c>
      <c r="Z136" s="26" t="s">
        <v>13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spans="1:36">
      <c r="A137" s="25" t="str">
        <f t="shared" si="26"/>
        <v>VSG01C-23255E2.04</v>
      </c>
      <c r="B137" s="26">
        <v>100</v>
      </c>
      <c r="C137" s="26">
        <v>4</v>
      </c>
      <c r="D137" s="26" t="s">
        <v>210</v>
      </c>
      <c r="E137" s="29">
        <v>45181</v>
      </c>
      <c r="F137" s="30">
        <f t="shared" si="21"/>
        <v>255</v>
      </c>
      <c r="G137" s="26" t="s">
        <v>211</v>
      </c>
      <c r="H137" s="26" t="s">
        <v>63</v>
      </c>
      <c r="I137" s="26">
        <f t="shared" si="23"/>
        <v>1</v>
      </c>
      <c r="J137" s="40">
        <f t="shared" si="24"/>
        <v>187</v>
      </c>
      <c r="K137" s="41">
        <f t="shared" si="25"/>
        <v>6.6833125519211407</v>
      </c>
      <c r="L137" s="26">
        <v>185</v>
      </c>
      <c r="M137" s="26">
        <v>196</v>
      </c>
      <c r="N137" s="26">
        <v>180</v>
      </c>
      <c r="O137" s="26">
        <v>187</v>
      </c>
      <c r="P137" s="26"/>
      <c r="Q137" s="26"/>
      <c r="R137" s="26"/>
      <c r="S137" s="26"/>
      <c r="T137" s="26"/>
      <c r="U137" s="27">
        <f>AVERAGE(0.215,0.217,0.238,0.215)</f>
        <v>0.22124999999999997</v>
      </c>
      <c r="V137" s="26">
        <v>0.15</v>
      </c>
      <c r="W137" s="26"/>
      <c r="X137" s="28" t="s">
        <v>212</v>
      </c>
      <c r="Y137" s="26" t="s">
        <v>14</v>
      </c>
      <c r="Z137" s="26" t="s">
        <v>13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spans="1:36">
      <c r="A138" s="25" t="str">
        <f t="shared" si="26"/>
        <v>VSG01C-23255E2.05</v>
      </c>
      <c r="B138" s="26">
        <v>100</v>
      </c>
      <c r="C138" s="26">
        <v>5</v>
      </c>
      <c r="D138" s="26" t="s">
        <v>210</v>
      </c>
      <c r="E138" s="29">
        <v>45181</v>
      </c>
      <c r="F138" s="30">
        <f t="shared" si="21"/>
        <v>255</v>
      </c>
      <c r="G138" s="26" t="s">
        <v>211</v>
      </c>
      <c r="H138" s="26" t="s">
        <v>63</v>
      </c>
      <c r="I138" s="26">
        <f t="shared" si="23"/>
        <v>1</v>
      </c>
      <c r="J138" s="40">
        <f t="shared" si="24"/>
        <v>189.5</v>
      </c>
      <c r="K138" s="41">
        <f t="shared" si="25"/>
        <v>7.5498344352707498</v>
      </c>
      <c r="L138" s="26">
        <v>187</v>
      </c>
      <c r="M138" s="26">
        <v>199</v>
      </c>
      <c r="N138" s="26">
        <v>191</v>
      </c>
      <c r="O138" s="26">
        <v>181</v>
      </c>
      <c r="P138" s="26"/>
      <c r="Q138" s="26"/>
      <c r="R138" s="26"/>
      <c r="S138" s="26"/>
      <c r="T138" s="26"/>
      <c r="U138" s="27">
        <f>AVERAGE(0.197,0.233,0.289,0.234)</f>
        <v>0.23825000000000002</v>
      </c>
      <c r="V138" s="26">
        <v>0.15</v>
      </c>
      <c r="W138" s="26"/>
      <c r="X138" s="28" t="s">
        <v>212</v>
      </c>
      <c r="Y138" s="26" t="s">
        <v>14</v>
      </c>
      <c r="Z138" s="26" t="s">
        <v>13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spans="1:36">
      <c r="A139" s="25" t="str">
        <f t="shared" si="26"/>
        <v>VSG01C-23255E2.06</v>
      </c>
      <c r="B139" s="26">
        <v>100</v>
      </c>
      <c r="C139" s="26">
        <v>6</v>
      </c>
      <c r="D139" s="26" t="s">
        <v>210</v>
      </c>
      <c r="E139" s="29">
        <v>45181</v>
      </c>
      <c r="F139" s="30">
        <f t="shared" si="21"/>
        <v>255</v>
      </c>
      <c r="G139" s="26" t="s">
        <v>211</v>
      </c>
      <c r="H139" s="26" t="s">
        <v>63</v>
      </c>
      <c r="I139" s="26">
        <f t="shared" si="23"/>
        <v>1</v>
      </c>
      <c r="J139" s="40">
        <f t="shared" si="24"/>
        <v>180.25</v>
      </c>
      <c r="K139" s="41">
        <f t="shared" si="25"/>
        <v>3.5939764421413041</v>
      </c>
      <c r="L139" s="26">
        <v>185</v>
      </c>
      <c r="M139" s="26">
        <v>181</v>
      </c>
      <c r="N139" s="26">
        <v>177</v>
      </c>
      <c r="O139" s="26">
        <v>178</v>
      </c>
      <c r="P139" s="26"/>
      <c r="Q139" s="26"/>
      <c r="R139" s="26"/>
      <c r="S139" s="26"/>
      <c r="T139" s="26"/>
      <c r="U139" s="27">
        <f>AVERAGE(0.226,0.271,0.238,0.212)</f>
        <v>0.23674999999999999</v>
      </c>
      <c r="V139" s="26">
        <v>0.15</v>
      </c>
      <c r="W139" s="26"/>
      <c r="X139" s="28" t="s">
        <v>212</v>
      </c>
      <c r="Y139" s="26" t="s">
        <v>14</v>
      </c>
      <c r="Z139" s="26" t="s">
        <v>13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spans="1:36">
      <c r="A140" s="25" t="str">
        <f t="shared" si="26"/>
        <v>VSG01C-23255E2.09</v>
      </c>
      <c r="B140" s="26">
        <v>100</v>
      </c>
      <c r="C140" s="26">
        <v>9</v>
      </c>
      <c r="D140" s="26" t="s">
        <v>213</v>
      </c>
      <c r="E140" s="29">
        <v>45181</v>
      </c>
      <c r="F140" s="30">
        <f t="shared" si="21"/>
        <v>255</v>
      </c>
      <c r="G140" s="26" t="s">
        <v>211</v>
      </c>
      <c r="H140" s="26" t="s">
        <v>63</v>
      </c>
      <c r="I140" s="26">
        <f t="shared" si="23"/>
        <v>1</v>
      </c>
      <c r="J140" s="40">
        <f t="shared" si="24"/>
        <v>180.75</v>
      </c>
      <c r="K140" s="41">
        <f t="shared" si="25"/>
        <v>2.2173557826083452</v>
      </c>
      <c r="L140" s="26">
        <v>178</v>
      </c>
      <c r="M140" s="26">
        <v>182</v>
      </c>
      <c r="N140" s="26">
        <v>180</v>
      </c>
      <c r="O140" s="26">
        <v>183</v>
      </c>
      <c r="P140" s="26"/>
      <c r="Q140" s="26"/>
      <c r="R140" s="26"/>
      <c r="S140" s="26"/>
      <c r="T140" s="26"/>
      <c r="U140" s="27">
        <f>AVERAGE(0.275,0.224,0.298,0.245)</f>
        <v>0.26049999999999995</v>
      </c>
      <c r="V140" s="26">
        <v>0.15</v>
      </c>
      <c r="W140" s="26"/>
      <c r="X140" s="28" t="s">
        <v>212</v>
      </c>
      <c r="Y140" s="26" t="s">
        <v>14</v>
      </c>
      <c r="Z140" s="26" t="s">
        <v>13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spans="1:36">
      <c r="A141" s="25" t="str">
        <f t="shared" ref="A141:A174" si="27">"VSG"&amp;TEXT(I141,"00")&amp;"C-23"&amp;TEXT(F141,"000")&amp;Z141&amp;"2."&amp;TEXT((C141),"00")</f>
        <v>VSG01C-23255E2.10</v>
      </c>
      <c r="B141" s="26">
        <v>100</v>
      </c>
      <c r="C141" s="26">
        <v>10</v>
      </c>
      <c r="D141" s="26" t="s">
        <v>213</v>
      </c>
      <c r="E141" s="29">
        <v>45181</v>
      </c>
      <c r="F141" s="30">
        <f t="shared" si="21"/>
        <v>255</v>
      </c>
      <c r="G141" s="26" t="s">
        <v>211</v>
      </c>
      <c r="H141" s="26" t="s">
        <v>63</v>
      </c>
      <c r="I141" s="26">
        <f t="shared" si="23"/>
        <v>1</v>
      </c>
      <c r="J141" s="40">
        <f t="shared" si="24"/>
        <v>181.75</v>
      </c>
      <c r="K141" s="41">
        <f t="shared" si="25"/>
        <v>4.2720018726587652</v>
      </c>
      <c r="L141" s="26">
        <v>177</v>
      </c>
      <c r="M141" s="26">
        <v>187</v>
      </c>
      <c r="N141" s="26">
        <v>183</v>
      </c>
      <c r="O141" s="26">
        <v>180</v>
      </c>
      <c r="P141" s="26"/>
      <c r="Q141" s="26"/>
      <c r="R141" s="26"/>
      <c r="S141" s="26"/>
      <c r="T141" s="26"/>
      <c r="U141" s="27">
        <f>AVERAGE(0.268,0.2,0.194,0.267)</f>
        <v>0.23225000000000001</v>
      </c>
      <c r="V141" s="26">
        <v>0.15</v>
      </c>
      <c r="W141" s="26"/>
      <c r="X141" s="28" t="s">
        <v>212</v>
      </c>
      <c r="Y141" s="26" t="s">
        <v>14</v>
      </c>
      <c r="Z141" s="26" t="s">
        <v>13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spans="1:36">
      <c r="A142" s="25" t="str">
        <f t="shared" si="27"/>
        <v>VSG01C-23255E2.11</v>
      </c>
      <c r="B142" s="26">
        <v>100</v>
      </c>
      <c r="C142" s="26">
        <v>11</v>
      </c>
      <c r="D142" s="26" t="s">
        <v>213</v>
      </c>
      <c r="E142" s="29">
        <v>45181</v>
      </c>
      <c r="F142" s="30">
        <f t="shared" si="21"/>
        <v>255</v>
      </c>
      <c r="G142" s="26" t="s">
        <v>211</v>
      </c>
      <c r="H142" s="26" t="s">
        <v>63</v>
      </c>
      <c r="I142" s="26">
        <f t="shared" si="23"/>
        <v>1</v>
      </c>
      <c r="J142" s="40">
        <f t="shared" si="24"/>
        <v>180.5</v>
      </c>
      <c r="K142" s="41">
        <f t="shared" si="25"/>
        <v>4.358898943540674</v>
      </c>
      <c r="L142" s="26">
        <v>178</v>
      </c>
      <c r="M142" s="26">
        <v>187</v>
      </c>
      <c r="N142" s="26">
        <v>178</v>
      </c>
      <c r="O142" s="26">
        <v>179</v>
      </c>
      <c r="P142" s="26"/>
      <c r="Q142" s="26"/>
      <c r="R142" s="26"/>
      <c r="S142" s="26"/>
      <c r="T142" s="26"/>
      <c r="U142" s="27">
        <f>AVERAGE(0.179,0.23,0.223,0.231)</f>
        <v>0.21575</v>
      </c>
      <c r="V142" s="26">
        <v>0.15</v>
      </c>
      <c r="W142" s="26"/>
      <c r="X142" s="28" t="s">
        <v>212</v>
      </c>
      <c r="Y142" s="26" t="s">
        <v>14</v>
      </c>
      <c r="Z142" s="26" t="s">
        <v>13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spans="1:36">
      <c r="A143" s="25" t="str">
        <f t="shared" si="27"/>
        <v>VSG01C-23255E2.12</v>
      </c>
      <c r="B143" s="26">
        <v>100</v>
      </c>
      <c r="C143" s="26">
        <v>12</v>
      </c>
      <c r="D143" s="26" t="s">
        <v>213</v>
      </c>
      <c r="E143" s="29">
        <v>45181</v>
      </c>
      <c r="F143" s="30">
        <f t="shared" si="21"/>
        <v>255</v>
      </c>
      <c r="G143" s="26" t="s">
        <v>211</v>
      </c>
      <c r="H143" s="26" t="s">
        <v>63</v>
      </c>
      <c r="I143" s="26">
        <f t="shared" si="23"/>
        <v>1</v>
      </c>
      <c r="J143" s="40">
        <f t="shared" si="24"/>
        <v>185</v>
      </c>
      <c r="K143" s="41">
        <f t="shared" si="25"/>
        <v>2.3094010767585029</v>
      </c>
      <c r="L143" s="26">
        <v>187</v>
      </c>
      <c r="M143" s="26">
        <v>183</v>
      </c>
      <c r="N143" s="26">
        <v>187</v>
      </c>
      <c r="O143" s="26">
        <v>183</v>
      </c>
      <c r="P143" s="26"/>
      <c r="Q143" s="26"/>
      <c r="R143" s="26"/>
      <c r="S143" s="26"/>
      <c r="T143" s="26"/>
      <c r="U143" s="27">
        <f>AVERAGE(0.216,0.183,0.19,0.201)</f>
        <v>0.19750000000000001</v>
      </c>
      <c r="V143" s="26">
        <v>0.15</v>
      </c>
      <c r="W143" s="26"/>
      <c r="X143" s="28" t="s">
        <v>212</v>
      </c>
      <c r="Y143" s="26" t="s">
        <v>14</v>
      </c>
      <c r="Z143" s="26" t="s">
        <v>13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spans="1:36">
      <c r="A144" s="25" t="str">
        <f t="shared" si="27"/>
        <v>VSG01C-23255E2.13</v>
      </c>
      <c r="B144" s="26">
        <v>100</v>
      </c>
      <c r="C144" s="26">
        <v>13</v>
      </c>
      <c r="D144" s="26" t="s">
        <v>213</v>
      </c>
      <c r="E144" s="29">
        <v>45181</v>
      </c>
      <c r="F144" s="30">
        <f t="shared" si="21"/>
        <v>255</v>
      </c>
      <c r="G144" s="26" t="s">
        <v>211</v>
      </c>
      <c r="H144" s="26" t="s">
        <v>63</v>
      </c>
      <c r="I144" s="26">
        <f t="shared" si="23"/>
        <v>1</v>
      </c>
      <c r="J144" s="40">
        <f t="shared" si="24"/>
        <v>184.5</v>
      </c>
      <c r="K144" s="41">
        <f t="shared" si="25"/>
        <v>3.872983346207417</v>
      </c>
      <c r="L144" s="26">
        <v>185</v>
      </c>
      <c r="M144" s="26">
        <v>188</v>
      </c>
      <c r="N144" s="26">
        <v>186</v>
      </c>
      <c r="O144" s="26">
        <v>179</v>
      </c>
      <c r="P144" s="26"/>
      <c r="Q144" s="26"/>
      <c r="R144" s="26"/>
      <c r="S144" s="26"/>
      <c r="T144" s="26"/>
      <c r="U144" s="27">
        <f>AVERAGE(0.169,0.178,0.194,0.202)</f>
        <v>0.18574999999999997</v>
      </c>
      <c r="V144" s="26">
        <v>0.15</v>
      </c>
      <c r="W144" s="26"/>
      <c r="X144" s="28" t="s">
        <v>212</v>
      </c>
      <c r="Y144" s="26" t="s">
        <v>14</v>
      </c>
      <c r="Z144" s="26" t="s">
        <v>13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36">
      <c r="A145" s="25" t="str">
        <f t="shared" si="27"/>
        <v>VSG01C-23255E2.14</v>
      </c>
      <c r="B145" s="26">
        <v>100</v>
      </c>
      <c r="C145" s="26">
        <v>14</v>
      </c>
      <c r="D145" s="26" t="s">
        <v>213</v>
      </c>
      <c r="E145" s="29">
        <v>45181</v>
      </c>
      <c r="F145" s="30">
        <f t="shared" si="21"/>
        <v>255</v>
      </c>
      <c r="G145" s="26" t="s">
        <v>211</v>
      </c>
      <c r="H145" s="26" t="s">
        <v>63</v>
      </c>
      <c r="I145" s="26">
        <f t="shared" si="23"/>
        <v>1</v>
      </c>
      <c r="J145" s="40">
        <f t="shared" si="24"/>
        <v>184.5</v>
      </c>
      <c r="K145" s="41">
        <f t="shared" si="25"/>
        <v>1.9148542155126762</v>
      </c>
      <c r="L145" s="26">
        <v>186</v>
      </c>
      <c r="M145" s="26">
        <v>182</v>
      </c>
      <c r="N145" s="26">
        <v>184</v>
      </c>
      <c r="O145" s="26">
        <v>186</v>
      </c>
      <c r="P145" s="26"/>
      <c r="Q145" s="26"/>
      <c r="R145" s="26"/>
      <c r="S145" s="26"/>
      <c r="T145" s="26"/>
      <c r="U145" s="27">
        <f>AVERAGE(0.212,0.247,0.242,0.195)</f>
        <v>0.22399999999999998</v>
      </c>
      <c r="V145" s="26">
        <v>0.15</v>
      </c>
      <c r="W145" s="26"/>
      <c r="X145" s="28" t="s">
        <v>212</v>
      </c>
      <c r="Y145" s="26" t="s">
        <v>14</v>
      </c>
      <c r="Z145" s="26" t="s">
        <v>13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spans="1:36">
      <c r="A146" s="25" t="str">
        <f t="shared" si="27"/>
        <v>VSG01C-23255E2.15</v>
      </c>
      <c r="B146" s="26">
        <v>100</v>
      </c>
      <c r="C146" s="26">
        <v>15</v>
      </c>
      <c r="D146" s="26" t="s">
        <v>214</v>
      </c>
      <c r="E146" s="29">
        <v>45181</v>
      </c>
      <c r="F146" s="30">
        <f t="shared" si="21"/>
        <v>255</v>
      </c>
      <c r="G146" s="26" t="s">
        <v>211</v>
      </c>
      <c r="H146" s="26" t="s">
        <v>63</v>
      </c>
      <c r="I146" s="26">
        <f t="shared" si="23"/>
        <v>1</v>
      </c>
      <c r="J146" s="40">
        <f t="shared" si="24"/>
        <v>176.25</v>
      </c>
      <c r="K146" s="41">
        <f t="shared" si="25"/>
        <v>3.3040379335998349</v>
      </c>
      <c r="L146" s="26">
        <v>173</v>
      </c>
      <c r="M146" s="26">
        <v>174</v>
      </c>
      <c r="N146" s="26">
        <v>180</v>
      </c>
      <c r="O146" s="26">
        <v>178</v>
      </c>
      <c r="P146" s="26"/>
      <c r="Q146" s="26"/>
      <c r="R146" s="26"/>
      <c r="S146" s="26"/>
      <c r="T146" s="26"/>
      <c r="U146" s="27">
        <f>AVERAGE(0.233,0.179,0.218,0.215)</f>
        <v>0.21124999999999999</v>
      </c>
      <c r="V146" s="26">
        <v>7.4999999999999997E-2</v>
      </c>
      <c r="W146" s="26"/>
      <c r="X146" s="28" t="s">
        <v>212</v>
      </c>
      <c r="Y146" s="26" t="s">
        <v>14</v>
      </c>
      <c r="Z146" s="26" t="s">
        <v>13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spans="1:36">
      <c r="A147" s="25" t="str">
        <f t="shared" si="27"/>
        <v>VSG01C-23255E2.16</v>
      </c>
      <c r="B147" s="26">
        <v>100</v>
      </c>
      <c r="C147" s="26">
        <v>16</v>
      </c>
      <c r="D147" s="26" t="s">
        <v>214</v>
      </c>
      <c r="E147" s="29">
        <v>45181</v>
      </c>
      <c r="F147" s="30">
        <f t="shared" si="21"/>
        <v>255</v>
      </c>
      <c r="G147" s="26" t="s">
        <v>211</v>
      </c>
      <c r="H147" s="26" t="s">
        <v>63</v>
      </c>
      <c r="I147" s="26">
        <f t="shared" si="23"/>
        <v>1</v>
      </c>
      <c r="J147" s="40">
        <f t="shared" si="24"/>
        <v>178.5</v>
      </c>
      <c r="K147" s="41">
        <f t="shared" si="25"/>
        <v>1.9148542155126762</v>
      </c>
      <c r="L147" s="26">
        <v>180</v>
      </c>
      <c r="M147" s="26">
        <v>180</v>
      </c>
      <c r="N147" s="26">
        <v>178</v>
      </c>
      <c r="O147" s="26">
        <v>176</v>
      </c>
      <c r="P147" s="26"/>
      <c r="Q147" s="26"/>
      <c r="R147" s="26"/>
      <c r="S147" s="26"/>
      <c r="T147" s="26"/>
      <c r="U147" s="27">
        <f>AVERAGE(0.292,0.286,0.236,0.201)</f>
        <v>0.25374999999999998</v>
      </c>
      <c r="V147" s="26">
        <v>7.4999999999999997E-2</v>
      </c>
      <c r="W147" s="26"/>
      <c r="X147" s="28" t="s">
        <v>212</v>
      </c>
      <c r="Y147" s="26" t="s">
        <v>14</v>
      </c>
      <c r="Z147" s="26" t="s">
        <v>13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spans="1:36">
      <c r="A148" s="25" t="str">
        <f t="shared" si="27"/>
        <v>VSG01C-23255E2.17</v>
      </c>
      <c r="B148" s="26">
        <v>100</v>
      </c>
      <c r="C148" s="26">
        <v>17</v>
      </c>
      <c r="D148" s="26" t="s">
        <v>214</v>
      </c>
      <c r="E148" s="29">
        <v>45181</v>
      </c>
      <c r="F148" s="30">
        <f t="shared" si="21"/>
        <v>255</v>
      </c>
      <c r="G148" s="26" t="s">
        <v>211</v>
      </c>
      <c r="H148" s="26" t="s">
        <v>63</v>
      </c>
      <c r="I148" s="26">
        <f t="shared" si="23"/>
        <v>1</v>
      </c>
      <c r="J148" s="40">
        <f t="shared" si="24"/>
        <v>177</v>
      </c>
      <c r="K148" s="41">
        <f t="shared" si="25"/>
        <v>5.4772255750516612</v>
      </c>
      <c r="L148" s="26">
        <v>184</v>
      </c>
      <c r="M148" s="26">
        <v>175</v>
      </c>
      <c r="N148" s="26">
        <v>178</v>
      </c>
      <c r="O148" s="26">
        <v>171</v>
      </c>
      <c r="P148" s="26"/>
      <c r="Q148" s="26"/>
      <c r="R148" s="26"/>
      <c r="S148" s="26"/>
      <c r="T148" s="26"/>
      <c r="U148" s="27">
        <f>AVERAGE(0.206,0.202,0.218,0.254)</f>
        <v>0.22</v>
      </c>
      <c r="V148" s="26">
        <v>7.4999999999999997E-2</v>
      </c>
      <c r="W148" s="26"/>
      <c r="X148" s="28" t="s">
        <v>212</v>
      </c>
      <c r="Y148" s="26" t="s">
        <v>14</v>
      </c>
      <c r="Z148" s="26" t="s">
        <v>13</v>
      </c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spans="1:36">
      <c r="A149" s="25" t="str">
        <f t="shared" si="27"/>
        <v>VSG01C-23255E2.18</v>
      </c>
      <c r="B149" s="26">
        <v>100</v>
      </c>
      <c r="C149" s="26">
        <v>18</v>
      </c>
      <c r="D149" s="26" t="s">
        <v>214</v>
      </c>
      <c r="E149" s="29">
        <v>45181</v>
      </c>
      <c r="F149" s="30">
        <f t="shared" ref="F149:F180" si="28">E149-DATE(YEAR(E149),1,0)</f>
        <v>255</v>
      </c>
      <c r="G149" s="26" t="s">
        <v>211</v>
      </c>
      <c r="H149" s="26" t="s">
        <v>63</v>
      </c>
      <c r="I149" s="26">
        <f t="shared" si="23"/>
        <v>1</v>
      </c>
      <c r="J149" s="40">
        <f t="shared" si="24"/>
        <v>177.5</v>
      </c>
      <c r="K149" s="41">
        <f t="shared" si="25"/>
        <v>3.872983346207417</v>
      </c>
      <c r="L149" s="26">
        <v>182</v>
      </c>
      <c r="M149" s="26">
        <v>176</v>
      </c>
      <c r="N149" s="26">
        <v>179</v>
      </c>
      <c r="O149" s="26">
        <v>173</v>
      </c>
      <c r="P149" s="26"/>
      <c r="Q149" s="26"/>
      <c r="R149" s="26"/>
      <c r="S149" s="26"/>
      <c r="T149" s="26"/>
      <c r="U149" s="27">
        <f>AVERAGE(0.217,0.191,0.174,0.195)</f>
        <v>0.19425000000000003</v>
      </c>
      <c r="V149" s="26">
        <v>7.4999999999999997E-2</v>
      </c>
      <c r="W149" s="26"/>
      <c r="X149" s="28" t="s">
        <v>212</v>
      </c>
      <c r="Y149" s="26" t="s">
        <v>14</v>
      </c>
      <c r="Z149" s="26" t="s">
        <v>13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spans="1:36">
      <c r="A150" s="25" t="str">
        <f t="shared" si="27"/>
        <v>VSG01C-23255E2.19</v>
      </c>
      <c r="B150" s="26">
        <v>100</v>
      </c>
      <c r="C150" s="26">
        <v>19</v>
      </c>
      <c r="D150" s="26" t="s">
        <v>214</v>
      </c>
      <c r="E150" s="29">
        <v>45181</v>
      </c>
      <c r="F150" s="30">
        <f t="shared" si="28"/>
        <v>255</v>
      </c>
      <c r="G150" s="26" t="s">
        <v>211</v>
      </c>
      <c r="H150" s="26" t="s">
        <v>63</v>
      </c>
      <c r="I150" s="26">
        <f t="shared" si="23"/>
        <v>1</v>
      </c>
      <c r="J150" s="40">
        <f t="shared" si="24"/>
        <v>176.25</v>
      </c>
      <c r="K150" s="41">
        <f t="shared" si="25"/>
        <v>2.0615528128088303</v>
      </c>
      <c r="L150" s="26">
        <v>174</v>
      </c>
      <c r="M150" s="26">
        <v>175</v>
      </c>
      <c r="N150" s="26">
        <v>178</v>
      </c>
      <c r="O150" s="26">
        <v>178</v>
      </c>
      <c r="P150" s="26"/>
      <c r="Q150" s="26"/>
      <c r="R150" s="26"/>
      <c r="S150" s="26"/>
      <c r="T150" s="26"/>
      <c r="U150" s="27">
        <f>AVERAGE(0.167,0.178,0.195,0.21)</f>
        <v>0.1875</v>
      </c>
      <c r="V150" s="26">
        <v>7.4999999999999997E-2</v>
      </c>
      <c r="W150" s="26"/>
      <c r="X150" s="28" t="s">
        <v>212</v>
      </c>
      <c r="Y150" s="26" t="s">
        <v>14</v>
      </c>
      <c r="Z150" s="26" t="s">
        <v>13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spans="1:36">
      <c r="A151" s="25" t="str">
        <f t="shared" si="27"/>
        <v>VSG01C-23255E2.20</v>
      </c>
      <c r="B151" s="26">
        <v>100</v>
      </c>
      <c r="C151" s="26">
        <v>20</v>
      </c>
      <c r="D151" s="26" t="s">
        <v>214</v>
      </c>
      <c r="E151" s="29">
        <v>45181</v>
      </c>
      <c r="F151" s="30">
        <f t="shared" si="28"/>
        <v>255</v>
      </c>
      <c r="G151" s="26" t="s">
        <v>211</v>
      </c>
      <c r="H151" s="26" t="s">
        <v>63</v>
      </c>
      <c r="I151" s="26">
        <f t="shared" si="23"/>
        <v>1</v>
      </c>
      <c r="J151" s="40">
        <f t="shared" si="24"/>
        <v>178.25</v>
      </c>
      <c r="K151" s="41">
        <f t="shared" si="25"/>
        <v>4.7871355387816905</v>
      </c>
      <c r="L151" s="26">
        <v>176</v>
      </c>
      <c r="M151" s="26">
        <v>180</v>
      </c>
      <c r="N151" s="26">
        <v>173</v>
      </c>
      <c r="O151" s="26">
        <v>184</v>
      </c>
      <c r="P151" s="26"/>
      <c r="Q151" s="26"/>
      <c r="R151" s="26"/>
      <c r="S151" s="26"/>
      <c r="T151" s="26"/>
      <c r="U151" s="27">
        <f>AVERAGE(0.208,0.217,0.229,0.193)</f>
        <v>0.21174999999999999</v>
      </c>
      <c r="V151" s="26">
        <v>7.4999999999999997E-2</v>
      </c>
      <c r="W151" s="26"/>
      <c r="X151" s="28" t="s">
        <v>212</v>
      </c>
      <c r="Y151" s="26" t="s">
        <v>14</v>
      </c>
      <c r="Z151" s="26" t="s">
        <v>13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spans="1:36">
      <c r="A152" s="25" t="str">
        <f t="shared" si="27"/>
        <v>VSG01C-23298E2.01</v>
      </c>
      <c r="B152" s="26">
        <v>100</v>
      </c>
      <c r="C152" s="26">
        <v>1</v>
      </c>
      <c r="D152" s="26" t="s">
        <v>215</v>
      </c>
      <c r="E152" s="29">
        <v>45224</v>
      </c>
      <c r="F152" s="30">
        <f t="shared" si="28"/>
        <v>298</v>
      </c>
      <c r="G152" s="26" t="s">
        <v>216</v>
      </c>
      <c r="H152" s="26" t="s">
        <v>63</v>
      </c>
      <c r="I152" s="26">
        <f t="shared" si="23"/>
        <v>1</v>
      </c>
      <c r="J152" s="40"/>
      <c r="K152" s="41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>
        <v>0.19</v>
      </c>
      <c r="W152" s="26"/>
      <c r="X152" s="28" t="s">
        <v>212</v>
      </c>
      <c r="Y152" s="26" t="s">
        <v>217</v>
      </c>
      <c r="Z152" s="26" t="s">
        <v>13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spans="1:36">
      <c r="A153" s="25" t="str">
        <f t="shared" si="27"/>
        <v>VSG01C-23298E2.02</v>
      </c>
      <c r="B153" s="26">
        <v>100</v>
      </c>
      <c r="C153" s="26">
        <v>2</v>
      </c>
      <c r="D153" s="26" t="s">
        <v>215</v>
      </c>
      <c r="E153" s="29">
        <v>45224</v>
      </c>
      <c r="F153" s="30">
        <f t="shared" si="28"/>
        <v>298</v>
      </c>
      <c r="G153" s="26" t="s">
        <v>216</v>
      </c>
      <c r="H153" s="26" t="s">
        <v>63</v>
      </c>
      <c r="I153" s="26">
        <f t="shared" si="23"/>
        <v>1</v>
      </c>
      <c r="J153" s="40"/>
      <c r="K153" s="41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>
        <v>0.19</v>
      </c>
      <c r="W153" s="26"/>
      <c r="X153" s="28" t="s">
        <v>212</v>
      </c>
      <c r="Y153" s="26" t="s">
        <v>217</v>
      </c>
      <c r="Z153" s="26" t="s">
        <v>13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spans="1:36">
      <c r="A154" s="25" t="str">
        <f t="shared" si="27"/>
        <v>VSG01C-23298E2.03</v>
      </c>
      <c r="B154" s="26">
        <v>100</v>
      </c>
      <c r="C154" s="26">
        <v>3</v>
      </c>
      <c r="D154" s="26" t="s">
        <v>215</v>
      </c>
      <c r="E154" s="29">
        <v>45224</v>
      </c>
      <c r="F154" s="30">
        <f t="shared" si="28"/>
        <v>298</v>
      </c>
      <c r="G154" s="26" t="s">
        <v>216</v>
      </c>
      <c r="H154" s="26" t="s">
        <v>63</v>
      </c>
      <c r="I154" s="26">
        <f t="shared" si="23"/>
        <v>1</v>
      </c>
      <c r="J154" s="40"/>
      <c r="K154" s="41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>
        <v>0.19</v>
      </c>
      <c r="W154" s="26"/>
      <c r="X154" s="28" t="s">
        <v>212</v>
      </c>
      <c r="Y154" s="26" t="s">
        <v>217</v>
      </c>
      <c r="Z154" s="26" t="s">
        <v>13</v>
      </c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spans="1:36">
      <c r="A155" s="25" t="str">
        <f t="shared" si="27"/>
        <v>VSG01C-23298E2.04</v>
      </c>
      <c r="B155" s="26">
        <v>100</v>
      </c>
      <c r="C155" s="26">
        <v>4</v>
      </c>
      <c r="D155" s="26" t="s">
        <v>215</v>
      </c>
      <c r="E155" s="29">
        <v>45224</v>
      </c>
      <c r="F155" s="30">
        <f t="shared" si="28"/>
        <v>298</v>
      </c>
      <c r="G155" s="26" t="s">
        <v>216</v>
      </c>
      <c r="H155" s="26" t="s">
        <v>63</v>
      </c>
      <c r="I155" s="26">
        <f t="shared" si="23"/>
        <v>1</v>
      </c>
      <c r="J155" s="40"/>
      <c r="K155" s="41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>
        <v>0.19</v>
      </c>
      <c r="W155" s="26"/>
      <c r="X155" s="28" t="s">
        <v>212</v>
      </c>
      <c r="Y155" s="26" t="s">
        <v>217</v>
      </c>
      <c r="Z155" s="26" t="s">
        <v>13</v>
      </c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spans="1:36">
      <c r="A156" s="25" t="str">
        <f t="shared" si="27"/>
        <v>VSG01C-23298E2.05</v>
      </c>
      <c r="B156" s="26">
        <v>100</v>
      </c>
      <c r="C156" s="26">
        <v>5</v>
      </c>
      <c r="D156" s="26" t="s">
        <v>215</v>
      </c>
      <c r="E156" s="29">
        <v>45224</v>
      </c>
      <c r="F156" s="30">
        <f t="shared" si="28"/>
        <v>298</v>
      </c>
      <c r="G156" s="26" t="s">
        <v>216</v>
      </c>
      <c r="H156" s="26" t="s">
        <v>63</v>
      </c>
      <c r="I156" s="26">
        <f t="shared" si="23"/>
        <v>1</v>
      </c>
      <c r="J156" s="40"/>
      <c r="K156" s="41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>
        <v>0.19</v>
      </c>
      <c r="W156" s="26"/>
      <c r="X156" s="28" t="s">
        <v>212</v>
      </c>
      <c r="Y156" s="26" t="s">
        <v>217</v>
      </c>
      <c r="Z156" s="26" t="s">
        <v>13</v>
      </c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spans="1:36">
      <c r="A157" s="25" t="str">
        <f t="shared" si="27"/>
        <v>VSG01C-23298E2.06</v>
      </c>
      <c r="B157" s="26">
        <v>100</v>
      </c>
      <c r="C157" s="26">
        <v>6</v>
      </c>
      <c r="D157" s="26" t="s">
        <v>215</v>
      </c>
      <c r="E157" s="29">
        <v>45224</v>
      </c>
      <c r="F157" s="30">
        <f t="shared" si="28"/>
        <v>298</v>
      </c>
      <c r="G157" s="26" t="s">
        <v>216</v>
      </c>
      <c r="H157" s="26" t="s">
        <v>63</v>
      </c>
      <c r="I157" s="26">
        <f t="shared" ref="I157:I176" si="29">IF(B157=100,1,(IF(B157=600,2,3)))</f>
        <v>1</v>
      </c>
      <c r="J157" s="40"/>
      <c r="K157" s="41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>
        <v>0.19</v>
      </c>
      <c r="W157" s="26"/>
      <c r="X157" s="28" t="s">
        <v>212</v>
      </c>
      <c r="Y157" s="26" t="s">
        <v>217</v>
      </c>
      <c r="Z157" s="26" t="s">
        <v>13</v>
      </c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spans="1:36">
      <c r="A158" s="25" t="str">
        <f t="shared" si="27"/>
        <v>VSG01C-23298E2.07</v>
      </c>
      <c r="B158" s="26">
        <v>100</v>
      </c>
      <c r="C158" s="26">
        <v>7</v>
      </c>
      <c r="D158" s="26" t="s">
        <v>218</v>
      </c>
      <c r="E158" s="29">
        <v>45224</v>
      </c>
      <c r="F158" s="30">
        <f t="shared" si="28"/>
        <v>298</v>
      </c>
      <c r="G158" s="26" t="s">
        <v>216</v>
      </c>
      <c r="H158" s="26" t="s">
        <v>63</v>
      </c>
      <c r="I158" s="26">
        <f t="shared" si="29"/>
        <v>1</v>
      </c>
      <c r="J158" s="40">
        <v>180</v>
      </c>
      <c r="K158" s="41"/>
      <c r="L158" s="26"/>
      <c r="M158" s="26"/>
      <c r="N158" s="26"/>
      <c r="O158" s="26"/>
      <c r="P158" s="26"/>
      <c r="Q158" s="26"/>
      <c r="R158" s="26"/>
      <c r="S158" s="26"/>
      <c r="T158" s="26"/>
      <c r="U158" s="26">
        <v>0.14099999999999999</v>
      </c>
      <c r="V158" s="26">
        <v>0.19</v>
      </c>
      <c r="W158" s="26"/>
      <c r="X158" s="28" t="s">
        <v>212</v>
      </c>
      <c r="Y158" s="26" t="s">
        <v>217</v>
      </c>
      <c r="Z158" s="26" t="s">
        <v>13</v>
      </c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spans="1:36">
      <c r="A159" s="25" t="str">
        <f t="shared" si="27"/>
        <v>VSG01C-23298E2.08</v>
      </c>
      <c r="B159" s="26">
        <v>100</v>
      </c>
      <c r="C159" s="26">
        <v>8</v>
      </c>
      <c r="D159" s="26" t="s">
        <v>218</v>
      </c>
      <c r="E159" s="29">
        <v>45224</v>
      </c>
      <c r="F159" s="30">
        <f t="shared" si="28"/>
        <v>298</v>
      </c>
      <c r="G159" s="26" t="s">
        <v>216</v>
      </c>
      <c r="H159" s="26" t="s">
        <v>63</v>
      </c>
      <c r="I159" s="26">
        <f t="shared" si="29"/>
        <v>1</v>
      </c>
      <c r="J159" s="40">
        <v>177</v>
      </c>
      <c r="K159" s="41"/>
      <c r="L159" s="26"/>
      <c r="M159" s="26"/>
      <c r="N159" s="26"/>
      <c r="O159" s="26"/>
      <c r="P159" s="26"/>
      <c r="Q159" s="26"/>
      <c r="R159" s="26"/>
      <c r="S159" s="26"/>
      <c r="T159" s="26"/>
      <c r="U159" s="26">
        <v>0.16300000000000001</v>
      </c>
      <c r="V159" s="26">
        <v>0.19</v>
      </c>
      <c r="W159" s="26"/>
      <c r="X159" s="28" t="s">
        <v>212</v>
      </c>
      <c r="Y159" s="26" t="s">
        <v>217</v>
      </c>
      <c r="Z159" s="26" t="s">
        <v>13</v>
      </c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spans="1:36">
      <c r="A160" s="25" t="str">
        <f t="shared" si="27"/>
        <v>VSG01C-23298E2.09</v>
      </c>
      <c r="B160" s="26">
        <v>100</v>
      </c>
      <c r="C160" s="26">
        <v>9</v>
      </c>
      <c r="D160" s="26" t="s">
        <v>218</v>
      </c>
      <c r="E160" s="29">
        <v>45224</v>
      </c>
      <c r="F160" s="30">
        <f t="shared" si="28"/>
        <v>298</v>
      </c>
      <c r="G160" s="26" t="s">
        <v>216</v>
      </c>
      <c r="H160" s="26" t="s">
        <v>63</v>
      </c>
      <c r="I160" s="26">
        <f t="shared" si="29"/>
        <v>1</v>
      </c>
      <c r="J160" s="40">
        <v>181</v>
      </c>
      <c r="K160" s="41"/>
      <c r="L160" s="26"/>
      <c r="M160" s="26"/>
      <c r="N160" s="26"/>
      <c r="O160" s="26"/>
      <c r="P160" s="26"/>
      <c r="Q160" s="26"/>
      <c r="R160" s="26"/>
      <c r="S160" s="26"/>
      <c r="T160" s="26"/>
      <c r="U160" s="26">
        <v>0.13700000000000001</v>
      </c>
      <c r="V160" s="26">
        <v>0.19</v>
      </c>
      <c r="W160" s="26"/>
      <c r="X160" s="28" t="s">
        <v>212</v>
      </c>
      <c r="Y160" s="26" t="s">
        <v>217</v>
      </c>
      <c r="Z160" s="26" t="s">
        <v>13</v>
      </c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spans="1:36">
      <c r="A161" s="25" t="str">
        <f t="shared" si="27"/>
        <v>VSG01C-23298E2.10</v>
      </c>
      <c r="B161" s="26">
        <v>100</v>
      </c>
      <c r="C161" s="26">
        <v>10</v>
      </c>
      <c r="D161" s="26" t="s">
        <v>218</v>
      </c>
      <c r="E161" s="29">
        <v>45224</v>
      </c>
      <c r="F161" s="30">
        <f t="shared" si="28"/>
        <v>298</v>
      </c>
      <c r="G161" s="26" t="s">
        <v>216</v>
      </c>
      <c r="H161" s="26" t="s">
        <v>63</v>
      </c>
      <c r="I161" s="26">
        <f t="shared" si="29"/>
        <v>1</v>
      </c>
      <c r="J161" s="40">
        <v>181</v>
      </c>
      <c r="K161" s="41"/>
      <c r="L161" s="26"/>
      <c r="M161" s="26"/>
      <c r="N161" s="26"/>
      <c r="O161" s="26"/>
      <c r="P161" s="26"/>
      <c r="Q161" s="26"/>
      <c r="R161" s="26"/>
      <c r="S161" s="26"/>
      <c r="T161" s="26"/>
      <c r="U161" s="26">
        <v>0.14499999999999999</v>
      </c>
      <c r="V161" s="26">
        <v>0.19</v>
      </c>
      <c r="W161" s="26"/>
      <c r="X161" s="28" t="s">
        <v>212</v>
      </c>
      <c r="Y161" s="26" t="s">
        <v>217</v>
      </c>
      <c r="Z161" s="26" t="s">
        <v>13</v>
      </c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spans="1:36">
      <c r="A162" s="25" t="str">
        <f t="shared" si="27"/>
        <v>VSG01C-23298E2.11</v>
      </c>
      <c r="B162" s="26">
        <v>100</v>
      </c>
      <c r="C162" s="26">
        <v>11</v>
      </c>
      <c r="D162" s="26" t="s">
        <v>218</v>
      </c>
      <c r="E162" s="29">
        <v>45224</v>
      </c>
      <c r="F162" s="30">
        <f t="shared" si="28"/>
        <v>298</v>
      </c>
      <c r="G162" s="26" t="s">
        <v>216</v>
      </c>
      <c r="H162" s="26" t="s">
        <v>63</v>
      </c>
      <c r="I162" s="26">
        <f t="shared" si="29"/>
        <v>1</v>
      </c>
      <c r="J162" s="40">
        <v>179</v>
      </c>
      <c r="K162" s="41"/>
      <c r="L162" s="26"/>
      <c r="M162" s="26"/>
      <c r="N162" s="26"/>
      <c r="O162" s="26"/>
      <c r="P162" s="26"/>
      <c r="Q162" s="26"/>
      <c r="R162" s="26"/>
      <c r="S162" s="26"/>
      <c r="T162" s="26"/>
      <c r="U162" s="26">
        <v>0.104</v>
      </c>
      <c r="V162" s="26">
        <v>0.19</v>
      </c>
      <c r="W162" s="26"/>
      <c r="X162" s="28" t="s">
        <v>212</v>
      </c>
      <c r="Y162" s="26" t="s">
        <v>217</v>
      </c>
      <c r="Z162" s="26" t="s">
        <v>13</v>
      </c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spans="1:36">
      <c r="A163" s="25" t="str">
        <f t="shared" si="27"/>
        <v>VSG01C-23303E2.01</v>
      </c>
      <c r="B163" s="26">
        <v>100</v>
      </c>
      <c r="C163" s="26">
        <v>1</v>
      </c>
      <c r="D163" s="26" t="s">
        <v>209</v>
      </c>
      <c r="E163" s="29">
        <v>45229</v>
      </c>
      <c r="F163" s="30">
        <f t="shared" si="28"/>
        <v>303</v>
      </c>
      <c r="G163" s="26" t="s">
        <v>219</v>
      </c>
      <c r="H163" s="26" t="s">
        <v>63</v>
      </c>
      <c r="I163" s="26">
        <f t="shared" si="29"/>
        <v>1</v>
      </c>
      <c r="J163" s="40">
        <f t="shared" ref="J163:J171" si="30">AVERAGE(L163:S163)</f>
        <v>177.25</v>
      </c>
      <c r="K163" s="41">
        <f t="shared" ref="K163:K171" si="31">STDEV(L163:S163)</f>
        <v>8.9953691790090904</v>
      </c>
      <c r="L163" s="26">
        <v>185</v>
      </c>
      <c r="M163" s="26">
        <v>184</v>
      </c>
      <c r="N163" s="26">
        <v>166</v>
      </c>
      <c r="O163" s="26">
        <v>174</v>
      </c>
      <c r="P163" s="26"/>
      <c r="Q163" s="26"/>
      <c r="R163" s="26"/>
      <c r="S163" s="26"/>
      <c r="T163" s="26"/>
      <c r="U163" s="26">
        <v>0.153</v>
      </c>
      <c r="V163" s="26">
        <v>0.19400000000000001</v>
      </c>
      <c r="W163" s="26"/>
      <c r="X163" s="28" t="s">
        <v>212</v>
      </c>
      <c r="Y163" s="26" t="s">
        <v>14</v>
      </c>
      <c r="Z163" s="26" t="s">
        <v>13</v>
      </c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spans="1:36">
      <c r="A164" s="25" t="str">
        <f t="shared" si="27"/>
        <v>VSG01C-23303E2.02</v>
      </c>
      <c r="B164" s="26">
        <v>100</v>
      </c>
      <c r="C164" s="26">
        <v>2</v>
      </c>
      <c r="D164" s="26" t="s">
        <v>209</v>
      </c>
      <c r="E164" s="29">
        <v>45229</v>
      </c>
      <c r="F164" s="30">
        <f t="shared" si="28"/>
        <v>303</v>
      </c>
      <c r="G164" s="26" t="s">
        <v>219</v>
      </c>
      <c r="H164" s="26" t="s">
        <v>63</v>
      </c>
      <c r="I164" s="26">
        <f t="shared" si="29"/>
        <v>1</v>
      </c>
      <c r="J164" s="40">
        <f t="shared" si="30"/>
        <v>177.5</v>
      </c>
      <c r="K164" s="41">
        <f t="shared" si="31"/>
        <v>5.4467115461227307</v>
      </c>
      <c r="L164" s="26">
        <v>170</v>
      </c>
      <c r="M164" s="26">
        <v>179</v>
      </c>
      <c r="N164" s="26">
        <v>183</v>
      </c>
      <c r="O164" s="26">
        <v>178</v>
      </c>
      <c r="P164" s="26"/>
      <c r="Q164" s="26"/>
      <c r="R164" s="26"/>
      <c r="S164" s="26"/>
      <c r="T164" s="26"/>
      <c r="U164" s="26">
        <v>0.20300000000000001</v>
      </c>
      <c r="V164" s="26">
        <v>0.19400000000000001</v>
      </c>
      <c r="W164" s="26"/>
      <c r="X164" s="28" t="s">
        <v>212</v>
      </c>
      <c r="Y164" s="26" t="s">
        <v>14</v>
      </c>
      <c r="Z164" s="26" t="s">
        <v>13</v>
      </c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spans="1:36">
      <c r="A165" s="25" t="str">
        <f t="shared" si="27"/>
        <v>VSG01C-23303E2.03</v>
      </c>
      <c r="B165" s="26">
        <v>100</v>
      </c>
      <c r="C165" s="26">
        <v>3</v>
      </c>
      <c r="D165" s="26" t="s">
        <v>209</v>
      </c>
      <c r="E165" s="29">
        <v>45229</v>
      </c>
      <c r="F165" s="30">
        <f t="shared" si="28"/>
        <v>303</v>
      </c>
      <c r="G165" s="26" t="s">
        <v>219</v>
      </c>
      <c r="H165" s="26" t="s">
        <v>63</v>
      </c>
      <c r="I165" s="26">
        <f t="shared" si="29"/>
        <v>1</v>
      </c>
      <c r="J165" s="40">
        <f t="shared" si="30"/>
        <v>176</v>
      </c>
      <c r="K165" s="41">
        <f t="shared" si="31"/>
        <v>3.4641016151377544</v>
      </c>
      <c r="L165" s="26">
        <v>173</v>
      </c>
      <c r="M165" s="26">
        <v>181</v>
      </c>
      <c r="N165" s="26">
        <v>175</v>
      </c>
      <c r="O165" s="26">
        <v>175</v>
      </c>
      <c r="P165" s="26"/>
      <c r="Q165" s="26"/>
      <c r="R165" s="26"/>
      <c r="S165" s="26"/>
      <c r="T165" s="26"/>
      <c r="U165" s="26">
        <v>0.14099999999999999</v>
      </c>
      <c r="V165" s="26">
        <v>0.19400000000000001</v>
      </c>
      <c r="W165" s="26"/>
      <c r="X165" s="28" t="s">
        <v>212</v>
      </c>
      <c r="Y165" s="26" t="s">
        <v>14</v>
      </c>
      <c r="Z165" s="26" t="s">
        <v>13</v>
      </c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spans="1:36">
      <c r="A166" s="25" t="str">
        <f t="shared" si="27"/>
        <v>VSG01C-23303E2.04</v>
      </c>
      <c r="B166" s="26">
        <v>100</v>
      </c>
      <c r="C166" s="26">
        <v>4</v>
      </c>
      <c r="D166" s="26" t="s">
        <v>209</v>
      </c>
      <c r="E166" s="29">
        <v>45229</v>
      </c>
      <c r="F166" s="30">
        <f t="shared" si="28"/>
        <v>303</v>
      </c>
      <c r="G166" s="26" t="s">
        <v>219</v>
      </c>
      <c r="H166" s="26" t="s">
        <v>63</v>
      </c>
      <c r="I166" s="26">
        <f t="shared" si="29"/>
        <v>1</v>
      </c>
      <c r="J166" s="40">
        <f t="shared" si="30"/>
        <v>174.25</v>
      </c>
      <c r="K166" s="41">
        <f t="shared" si="31"/>
        <v>7.3200637519992497</v>
      </c>
      <c r="L166" s="26">
        <v>179</v>
      </c>
      <c r="M166" s="26">
        <v>164</v>
      </c>
      <c r="N166" s="26">
        <v>174</v>
      </c>
      <c r="O166" s="26">
        <v>180</v>
      </c>
      <c r="P166" s="26"/>
      <c r="Q166" s="26"/>
      <c r="R166" s="26"/>
      <c r="S166" s="26"/>
      <c r="T166" s="26"/>
      <c r="U166" s="26">
        <v>0.156</v>
      </c>
      <c r="V166" s="26">
        <v>0.19400000000000001</v>
      </c>
      <c r="W166" s="26"/>
      <c r="X166" s="28" t="s">
        <v>212</v>
      </c>
      <c r="Y166" s="26" t="s">
        <v>14</v>
      </c>
      <c r="Z166" s="26" t="s">
        <v>13</v>
      </c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spans="1:36" hidden="1">
      <c r="A167" s="25" t="str">
        <f t="shared" si="27"/>
        <v>VSG02C-23307E2.01</v>
      </c>
      <c r="B167" s="26">
        <v>600</v>
      </c>
      <c r="C167" s="26">
        <v>1</v>
      </c>
      <c r="D167" s="26" t="s">
        <v>220</v>
      </c>
      <c r="E167" s="29">
        <v>45233</v>
      </c>
      <c r="F167" s="30">
        <f t="shared" si="28"/>
        <v>307</v>
      </c>
      <c r="G167" s="26" t="s">
        <v>216</v>
      </c>
      <c r="H167" s="26" t="s">
        <v>63</v>
      </c>
      <c r="I167" s="26">
        <f t="shared" si="29"/>
        <v>2</v>
      </c>
      <c r="J167" s="40">
        <f t="shared" si="30"/>
        <v>182.5</v>
      </c>
      <c r="K167" s="41">
        <f t="shared" si="31"/>
        <v>2.5166114784235831</v>
      </c>
      <c r="L167" s="26">
        <v>182</v>
      </c>
      <c r="M167" s="26">
        <v>182</v>
      </c>
      <c r="N167" s="26">
        <v>180</v>
      </c>
      <c r="O167" s="26">
        <v>186</v>
      </c>
      <c r="P167" s="26"/>
      <c r="Q167" s="26"/>
      <c r="R167" s="26"/>
      <c r="S167" s="26"/>
      <c r="T167" s="26"/>
      <c r="U167" s="26">
        <v>0.192</v>
      </c>
      <c r="V167" s="26">
        <v>0.3</v>
      </c>
      <c r="W167" s="26"/>
      <c r="X167" s="28" t="s">
        <v>212</v>
      </c>
      <c r="Y167" s="26" t="s">
        <v>217</v>
      </c>
      <c r="Z167" s="26" t="s">
        <v>13</v>
      </c>
      <c r="AA167" s="26" t="s">
        <v>103</v>
      </c>
      <c r="AB167" s="26" t="s">
        <v>221</v>
      </c>
      <c r="AC167" s="26" t="s">
        <v>106</v>
      </c>
      <c r="AD167" s="26"/>
      <c r="AE167" s="26"/>
      <c r="AF167" s="26"/>
      <c r="AG167" s="26"/>
      <c r="AH167" s="26"/>
      <c r="AI167" s="26"/>
      <c r="AJ167" s="26"/>
    </row>
    <row r="168" spans="1:36" hidden="1">
      <c r="A168" s="25" t="str">
        <f t="shared" si="27"/>
        <v>VSG02C-23307E2.02</v>
      </c>
      <c r="B168" s="26">
        <v>600</v>
      </c>
      <c r="C168" s="26">
        <v>2</v>
      </c>
      <c r="D168" s="26" t="s">
        <v>222</v>
      </c>
      <c r="E168" s="29">
        <v>45233</v>
      </c>
      <c r="F168" s="30">
        <f t="shared" si="28"/>
        <v>307</v>
      </c>
      <c r="G168" s="26" t="s">
        <v>216</v>
      </c>
      <c r="H168" s="26" t="s">
        <v>63</v>
      </c>
      <c r="I168" s="26">
        <f t="shared" si="29"/>
        <v>2</v>
      </c>
      <c r="J168" s="44">
        <f t="shared" si="30"/>
        <v>182</v>
      </c>
      <c r="K168" s="41">
        <f t="shared" si="31"/>
        <v>0.81649658092772603</v>
      </c>
      <c r="L168" s="26">
        <v>182</v>
      </c>
      <c r="M168" s="26">
        <v>182</v>
      </c>
      <c r="N168" s="26">
        <v>183</v>
      </c>
      <c r="O168" s="26">
        <v>181</v>
      </c>
      <c r="P168" s="26"/>
      <c r="Q168" s="26"/>
      <c r="R168" s="26"/>
      <c r="S168" s="26"/>
      <c r="T168" s="26"/>
      <c r="U168" s="26">
        <v>0.18099999999999999</v>
      </c>
      <c r="V168" s="26">
        <v>0.15</v>
      </c>
      <c r="W168" s="26"/>
      <c r="X168" s="28" t="s">
        <v>212</v>
      </c>
      <c r="Y168" s="26" t="s">
        <v>217</v>
      </c>
      <c r="Z168" s="26" t="s">
        <v>13</v>
      </c>
      <c r="AA168" s="26" t="s">
        <v>103</v>
      </c>
      <c r="AB168" s="26" t="s">
        <v>221</v>
      </c>
      <c r="AC168" s="26" t="s">
        <v>105</v>
      </c>
      <c r="AD168" s="26"/>
      <c r="AE168" s="26"/>
      <c r="AF168" s="26"/>
      <c r="AG168" s="26"/>
      <c r="AH168" s="26"/>
      <c r="AI168" s="26"/>
      <c r="AJ168" s="26"/>
    </row>
    <row r="169" spans="1:36" hidden="1">
      <c r="A169" s="25" t="str">
        <f t="shared" si="27"/>
        <v>VSG02C-23307E2.03</v>
      </c>
      <c r="B169" s="26">
        <v>600</v>
      </c>
      <c r="C169" s="26">
        <v>3</v>
      </c>
      <c r="D169" s="26" t="s">
        <v>223</v>
      </c>
      <c r="E169" s="29">
        <v>45233</v>
      </c>
      <c r="F169" s="30">
        <f t="shared" si="28"/>
        <v>307</v>
      </c>
      <c r="G169" s="26" t="s">
        <v>216</v>
      </c>
      <c r="H169" s="26" t="s">
        <v>63</v>
      </c>
      <c r="I169" s="26">
        <f t="shared" si="29"/>
        <v>2</v>
      </c>
      <c r="J169" s="44">
        <f t="shared" si="30"/>
        <v>182</v>
      </c>
      <c r="K169" s="41">
        <f t="shared" si="31"/>
        <v>4.1633319989322652</v>
      </c>
      <c r="L169" s="26">
        <v>177</v>
      </c>
      <c r="M169" s="26">
        <v>183</v>
      </c>
      <c r="N169" s="26">
        <v>181</v>
      </c>
      <c r="O169" s="26">
        <v>187</v>
      </c>
      <c r="P169" s="26"/>
      <c r="Q169" s="26"/>
      <c r="R169" s="26"/>
      <c r="S169" s="26"/>
      <c r="T169" s="26"/>
      <c r="U169" s="26">
        <v>0.19500000000000001</v>
      </c>
      <c r="V169" s="26">
        <v>0.157</v>
      </c>
      <c r="W169" s="26"/>
      <c r="X169" s="28" t="s">
        <v>212</v>
      </c>
      <c r="Y169" s="26" t="s">
        <v>217</v>
      </c>
      <c r="Z169" s="26" t="s">
        <v>13</v>
      </c>
      <c r="AA169" s="26" t="s">
        <v>103</v>
      </c>
      <c r="AB169" s="26" t="s">
        <v>221</v>
      </c>
      <c r="AC169" s="26" t="s">
        <v>111</v>
      </c>
      <c r="AD169" s="26"/>
      <c r="AE169" s="26"/>
      <c r="AF169" s="26"/>
      <c r="AG169" s="26"/>
      <c r="AH169" s="26"/>
      <c r="AI169" s="26"/>
      <c r="AJ169" s="26"/>
    </row>
    <row r="170" spans="1:36" hidden="1">
      <c r="A170" s="25" t="str">
        <f t="shared" si="27"/>
        <v>VSG02C-23307E2.04</v>
      </c>
      <c r="B170" s="26">
        <v>600</v>
      </c>
      <c r="C170" s="26">
        <v>4</v>
      </c>
      <c r="D170" s="26" t="s">
        <v>224</v>
      </c>
      <c r="E170" s="29">
        <v>45233</v>
      </c>
      <c r="F170" s="30">
        <f t="shared" si="28"/>
        <v>307</v>
      </c>
      <c r="G170" s="26" t="s">
        <v>216</v>
      </c>
      <c r="H170" s="26" t="s">
        <v>63</v>
      </c>
      <c r="I170" s="26">
        <f t="shared" si="29"/>
        <v>2</v>
      </c>
      <c r="J170" s="44">
        <f t="shared" si="30"/>
        <v>180</v>
      </c>
      <c r="K170" s="41">
        <f t="shared" si="31"/>
        <v>6.0553007081949835</v>
      </c>
      <c r="L170" s="26">
        <v>174</v>
      </c>
      <c r="M170" s="26">
        <v>176</v>
      </c>
      <c r="N170" s="26">
        <v>187</v>
      </c>
      <c r="O170" s="26">
        <v>183</v>
      </c>
      <c r="P170" s="26"/>
      <c r="Q170" s="26"/>
      <c r="R170" s="26"/>
      <c r="S170" s="26"/>
      <c r="T170" s="26"/>
      <c r="U170" s="26">
        <v>0.185</v>
      </c>
      <c r="V170" s="26">
        <v>0.157</v>
      </c>
      <c r="W170" s="26"/>
      <c r="X170" s="28" t="s">
        <v>212</v>
      </c>
      <c r="Y170" s="26" t="s">
        <v>217</v>
      </c>
      <c r="Z170" s="26" t="s">
        <v>13</v>
      </c>
      <c r="AA170" s="26" t="s">
        <v>103</v>
      </c>
      <c r="AB170" s="26" t="s">
        <v>221</v>
      </c>
      <c r="AC170" s="26" t="s">
        <v>187</v>
      </c>
      <c r="AD170" s="26"/>
      <c r="AE170" s="26"/>
      <c r="AF170" s="26"/>
      <c r="AG170" s="26"/>
      <c r="AH170" s="26"/>
      <c r="AI170" s="26"/>
      <c r="AJ170" s="26"/>
    </row>
    <row r="171" spans="1:36" hidden="1">
      <c r="A171" s="25" t="str">
        <f t="shared" si="27"/>
        <v>VSG02C-23307E2.05</v>
      </c>
      <c r="B171" s="26">
        <v>600</v>
      </c>
      <c r="C171" s="26">
        <v>5</v>
      </c>
      <c r="D171" s="26" t="s">
        <v>225</v>
      </c>
      <c r="E171" s="29">
        <v>45233</v>
      </c>
      <c r="F171" s="30">
        <f t="shared" si="28"/>
        <v>307</v>
      </c>
      <c r="G171" s="26" t="s">
        <v>216</v>
      </c>
      <c r="H171" s="26" t="s">
        <v>63</v>
      </c>
      <c r="I171" s="26">
        <f t="shared" si="29"/>
        <v>2</v>
      </c>
      <c r="J171" s="44">
        <f t="shared" si="30"/>
        <v>181</v>
      </c>
      <c r="K171" s="41">
        <f t="shared" si="31"/>
        <v>1.8257418583505538</v>
      </c>
      <c r="L171" s="26">
        <v>179</v>
      </c>
      <c r="M171" s="26">
        <v>180</v>
      </c>
      <c r="N171" s="26">
        <v>183</v>
      </c>
      <c r="O171" s="26">
        <v>182</v>
      </c>
      <c r="P171" s="26"/>
      <c r="Q171" s="26"/>
      <c r="R171" s="26"/>
      <c r="S171" s="26"/>
      <c r="T171" s="26"/>
      <c r="U171" s="26">
        <v>0.17399999999999999</v>
      </c>
      <c r="V171" s="26">
        <v>0.15</v>
      </c>
      <c r="W171" s="26"/>
      <c r="X171" s="28" t="s">
        <v>212</v>
      </c>
      <c r="Y171" s="26" t="s">
        <v>217</v>
      </c>
      <c r="Z171" s="26" t="s">
        <v>13</v>
      </c>
      <c r="AA171" s="26" t="s">
        <v>103</v>
      </c>
      <c r="AB171" s="26" t="s">
        <v>221</v>
      </c>
      <c r="AC171" s="26" t="s">
        <v>194</v>
      </c>
      <c r="AD171" s="26"/>
      <c r="AE171" s="26"/>
      <c r="AF171" s="26"/>
      <c r="AG171" s="26"/>
      <c r="AH171" s="26"/>
      <c r="AI171" s="26"/>
      <c r="AJ171" s="26"/>
    </row>
    <row r="172" spans="1:36" hidden="1">
      <c r="A172" s="45" t="str">
        <f t="shared" si="27"/>
        <v>VSG02C-23324E2.01</v>
      </c>
      <c r="B172" s="46">
        <v>600</v>
      </c>
      <c r="C172" s="46">
        <v>1</v>
      </c>
      <c r="D172" s="46" t="s">
        <v>226</v>
      </c>
      <c r="E172" s="47">
        <v>45250</v>
      </c>
      <c r="F172" s="48">
        <f t="shared" si="28"/>
        <v>324</v>
      </c>
      <c r="G172" s="46" t="s">
        <v>227</v>
      </c>
      <c r="H172" s="46" t="s">
        <v>63</v>
      </c>
      <c r="I172" s="46">
        <f t="shared" si="29"/>
        <v>2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49">
        <v>0.1</v>
      </c>
      <c r="W172" s="49"/>
      <c r="X172" s="28" t="s">
        <v>212</v>
      </c>
      <c r="Y172" s="26" t="s">
        <v>217</v>
      </c>
      <c r="Z172" s="26" t="s">
        <v>13</v>
      </c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spans="1:36" hidden="1">
      <c r="A173" s="25" t="str">
        <f t="shared" si="27"/>
        <v>VSG02C-23324E2.02</v>
      </c>
      <c r="B173" s="26">
        <v>600</v>
      </c>
      <c r="C173" s="26">
        <v>2</v>
      </c>
      <c r="D173" s="26" t="s">
        <v>228</v>
      </c>
      <c r="E173" s="29">
        <v>45250</v>
      </c>
      <c r="F173" s="30">
        <f t="shared" si="28"/>
        <v>324</v>
      </c>
      <c r="G173" s="26" t="s">
        <v>227</v>
      </c>
      <c r="H173" s="26" t="s">
        <v>63</v>
      </c>
      <c r="I173" s="26">
        <f t="shared" si="29"/>
        <v>2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>
        <v>0.16200000000000001</v>
      </c>
      <c r="V173" s="49">
        <v>0.19</v>
      </c>
      <c r="W173" s="49"/>
      <c r="X173" s="28" t="s">
        <v>212</v>
      </c>
      <c r="Y173" s="26" t="s">
        <v>217</v>
      </c>
      <c r="Z173" s="26" t="s">
        <v>13</v>
      </c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spans="1:36" hidden="1">
      <c r="A174" s="25" t="str">
        <f t="shared" si="27"/>
        <v>VSG02C-23324E2.04</v>
      </c>
      <c r="B174" s="26">
        <v>600</v>
      </c>
      <c r="C174" s="26">
        <v>4</v>
      </c>
      <c r="D174" s="26" t="s">
        <v>229</v>
      </c>
      <c r="E174" s="29">
        <v>45250</v>
      </c>
      <c r="F174" s="30">
        <f t="shared" si="28"/>
        <v>324</v>
      </c>
      <c r="G174" s="26" t="s">
        <v>227</v>
      </c>
      <c r="H174" s="26" t="s">
        <v>63</v>
      </c>
      <c r="I174" s="26">
        <f t="shared" si="29"/>
        <v>2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>
        <v>0.17199999999999999</v>
      </c>
      <c r="V174" s="49">
        <v>0.13</v>
      </c>
      <c r="W174" s="49"/>
      <c r="X174" s="28" t="s">
        <v>212</v>
      </c>
      <c r="Y174" s="26" t="s">
        <v>217</v>
      </c>
      <c r="Z174" s="26" t="s">
        <v>13</v>
      </c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spans="1:36" hidden="1">
      <c r="A175" s="25" t="str">
        <f t="shared" ref="A175:A181" si="32">"VSG"&amp;TEXT(I175,"00")&amp;"C-23"&amp;TEXT(F175,"000")&amp;Z184&amp;"2."&amp;TEXT((C175),"00")</f>
        <v>VSG02C-23324E2.05</v>
      </c>
      <c r="B175" s="26">
        <v>600</v>
      </c>
      <c r="C175" s="26">
        <v>5</v>
      </c>
      <c r="D175" s="26" t="s">
        <v>230</v>
      </c>
      <c r="E175" s="29">
        <v>45250</v>
      </c>
      <c r="F175" s="30">
        <f t="shared" si="28"/>
        <v>324</v>
      </c>
      <c r="G175" s="26" t="s">
        <v>227</v>
      </c>
      <c r="H175" s="26" t="s">
        <v>63</v>
      </c>
      <c r="I175" s="26">
        <f t="shared" si="29"/>
        <v>2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>
        <v>0.185</v>
      </c>
      <c r="V175" s="49">
        <v>0.12</v>
      </c>
      <c r="W175" s="49"/>
      <c r="X175" s="28" t="s">
        <v>212</v>
      </c>
      <c r="Y175" s="26" t="s">
        <v>217</v>
      </c>
      <c r="Z175" s="26" t="s">
        <v>13</v>
      </c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spans="1:36" hidden="1">
      <c r="A176" s="25" t="str">
        <f t="shared" si="32"/>
        <v>VSG02C-23324E2.06</v>
      </c>
      <c r="B176" s="26">
        <v>600</v>
      </c>
      <c r="C176" s="26">
        <v>6</v>
      </c>
      <c r="D176" s="26" t="s">
        <v>231</v>
      </c>
      <c r="E176" s="29">
        <v>45250</v>
      </c>
      <c r="F176" s="30">
        <f t="shared" si="28"/>
        <v>324</v>
      </c>
      <c r="G176" s="26" t="s">
        <v>227</v>
      </c>
      <c r="H176" s="26" t="s">
        <v>63</v>
      </c>
      <c r="I176" s="26">
        <f t="shared" si="29"/>
        <v>2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>
        <v>0.17699999999999999</v>
      </c>
      <c r="V176" s="49">
        <v>0.109</v>
      </c>
      <c r="W176" s="49"/>
      <c r="X176" s="28" t="s">
        <v>212</v>
      </c>
      <c r="Y176" s="26" t="s">
        <v>217</v>
      </c>
      <c r="Z176" s="26" t="s">
        <v>13</v>
      </c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spans="1:36">
      <c r="A177" s="25" t="str">
        <f t="shared" si="32"/>
        <v>VSG01C-23324E2.22</v>
      </c>
      <c r="B177" s="26">
        <v>100</v>
      </c>
      <c r="C177" s="26">
        <v>22</v>
      </c>
      <c r="D177" s="26" t="s">
        <v>232</v>
      </c>
      <c r="E177" s="29">
        <v>45250</v>
      </c>
      <c r="F177" s="30">
        <f t="shared" si="28"/>
        <v>324</v>
      </c>
      <c r="G177" s="26" t="s">
        <v>227</v>
      </c>
      <c r="H177" s="26" t="s">
        <v>63</v>
      </c>
      <c r="I177" s="26">
        <v>1</v>
      </c>
      <c r="J177" s="26">
        <v>180</v>
      </c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>
        <v>0.15</v>
      </c>
      <c r="V177" s="49">
        <v>0.12</v>
      </c>
      <c r="W177" s="49"/>
      <c r="X177" s="28" t="s">
        <v>212</v>
      </c>
      <c r="Y177" s="26" t="s">
        <v>217</v>
      </c>
      <c r="Z177" s="26" t="s">
        <v>13</v>
      </c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spans="1:36">
      <c r="A178" s="25" t="str">
        <f t="shared" si="32"/>
        <v>VSG01C-23324E2.23</v>
      </c>
      <c r="B178" s="26">
        <v>100</v>
      </c>
      <c r="C178" s="26">
        <v>23</v>
      </c>
      <c r="D178" s="26" t="s">
        <v>232</v>
      </c>
      <c r="E178" s="29">
        <v>45250</v>
      </c>
      <c r="F178" s="30">
        <f t="shared" si="28"/>
        <v>324</v>
      </c>
      <c r="G178" s="26" t="s">
        <v>227</v>
      </c>
      <c r="H178" s="26" t="s">
        <v>63</v>
      </c>
      <c r="I178" s="26">
        <v>1</v>
      </c>
      <c r="J178" s="26">
        <v>180</v>
      </c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>
        <v>0.14599999999999999</v>
      </c>
      <c r="V178" s="49">
        <v>0.12</v>
      </c>
      <c r="W178" s="49"/>
      <c r="X178" s="28" t="s">
        <v>212</v>
      </c>
      <c r="Y178" s="26" t="s">
        <v>217</v>
      </c>
      <c r="Z178" s="26" t="s">
        <v>13</v>
      </c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spans="1:36">
      <c r="A179" s="25" t="str">
        <f t="shared" si="32"/>
        <v>VSG01C-23324E2.24</v>
      </c>
      <c r="B179" s="26">
        <v>100</v>
      </c>
      <c r="C179" s="26">
        <v>24</v>
      </c>
      <c r="D179" s="26" t="s">
        <v>232</v>
      </c>
      <c r="E179" s="29">
        <v>45250</v>
      </c>
      <c r="F179" s="30">
        <f t="shared" si="28"/>
        <v>324</v>
      </c>
      <c r="G179" s="26" t="s">
        <v>227</v>
      </c>
      <c r="H179" s="26" t="s">
        <v>63</v>
      </c>
      <c r="I179" s="26">
        <v>1</v>
      </c>
      <c r="J179" s="26">
        <v>176</v>
      </c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>
        <v>0.17100000000000001</v>
      </c>
      <c r="V179" s="49">
        <v>0.12</v>
      </c>
      <c r="W179" s="49"/>
      <c r="X179" s="28" t="s">
        <v>212</v>
      </c>
      <c r="Y179" s="26" t="s">
        <v>217</v>
      </c>
      <c r="Z179" s="26" t="s">
        <v>13</v>
      </c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spans="1:36">
      <c r="A180" s="25" t="str">
        <f t="shared" si="32"/>
        <v>VSG01C-23324E2.25</v>
      </c>
      <c r="B180" s="26">
        <v>100</v>
      </c>
      <c r="C180" s="26">
        <v>25</v>
      </c>
      <c r="D180" s="26" t="s">
        <v>232</v>
      </c>
      <c r="E180" s="29">
        <v>45250</v>
      </c>
      <c r="F180" s="30">
        <f t="shared" si="28"/>
        <v>324</v>
      </c>
      <c r="G180" s="26" t="s">
        <v>227</v>
      </c>
      <c r="H180" s="26" t="s">
        <v>63</v>
      </c>
      <c r="I180" s="26">
        <v>1</v>
      </c>
      <c r="J180" s="26">
        <v>176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>
        <v>0.153</v>
      </c>
      <c r="V180" s="49">
        <v>0.12</v>
      </c>
      <c r="W180" s="49"/>
      <c r="X180" s="28" t="s">
        <v>212</v>
      </c>
      <c r="Y180" s="26" t="s">
        <v>217</v>
      </c>
      <c r="Z180" s="26" t="s">
        <v>13</v>
      </c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spans="1:36">
      <c r="A181" s="25" t="str">
        <f t="shared" si="32"/>
        <v>VSG01C-23324E2.26</v>
      </c>
      <c r="B181" s="26">
        <v>100</v>
      </c>
      <c r="C181" s="26">
        <v>26</v>
      </c>
      <c r="D181" s="26" t="s">
        <v>232</v>
      </c>
      <c r="E181" s="29">
        <v>45250</v>
      </c>
      <c r="F181" s="30">
        <f t="shared" ref="F181:F212" si="33">E181-DATE(YEAR(E181),1,0)</f>
        <v>324</v>
      </c>
      <c r="G181" s="26" t="s">
        <v>227</v>
      </c>
      <c r="H181" s="26" t="s">
        <v>63</v>
      </c>
      <c r="I181" s="26">
        <v>1</v>
      </c>
      <c r="J181" s="26">
        <v>178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>
        <v>0.16500000000000001</v>
      </c>
      <c r="V181" s="49">
        <v>0.12</v>
      </c>
      <c r="W181" s="49"/>
      <c r="X181" s="28" t="s">
        <v>212</v>
      </c>
      <c r="Y181" s="26" t="s">
        <v>217</v>
      </c>
      <c r="Z181" s="26" t="s">
        <v>13</v>
      </c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spans="1:36">
      <c r="A182" s="25" t="str">
        <f t="shared" ref="A182:A197" si="34">"VSG"&amp;TEXT(I182,"00")&amp;"C-23"&amp;TEXT(F182,"000")&amp;Z182&amp;"2."&amp;TEXT((C182),"00")</f>
        <v>VSG01C-23324E2.27</v>
      </c>
      <c r="B182" s="26">
        <v>100</v>
      </c>
      <c r="C182" s="26">
        <v>27</v>
      </c>
      <c r="D182" s="26" t="s">
        <v>232</v>
      </c>
      <c r="E182" s="29">
        <v>45250</v>
      </c>
      <c r="F182" s="30">
        <f t="shared" si="33"/>
        <v>324</v>
      </c>
      <c r="G182" s="26" t="s">
        <v>227</v>
      </c>
      <c r="H182" s="26" t="s">
        <v>63</v>
      </c>
      <c r="I182" s="26">
        <v>1</v>
      </c>
      <c r="J182" s="26">
        <v>176</v>
      </c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>
        <v>0.16300000000000001</v>
      </c>
      <c r="V182" s="49">
        <v>0.12</v>
      </c>
      <c r="W182" s="49"/>
      <c r="X182" s="28" t="s">
        <v>212</v>
      </c>
      <c r="Y182" s="26" t="s">
        <v>217</v>
      </c>
      <c r="Z182" s="26" t="s">
        <v>13</v>
      </c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spans="1:36" hidden="1">
      <c r="A183" s="25" t="str">
        <f t="shared" si="34"/>
        <v>VSG02C-23324E2.08</v>
      </c>
      <c r="B183" s="26">
        <v>600</v>
      </c>
      <c r="C183" s="26">
        <v>8</v>
      </c>
      <c r="D183" s="26" t="s">
        <v>233</v>
      </c>
      <c r="E183" s="29">
        <v>45250</v>
      </c>
      <c r="F183" s="30">
        <f t="shared" si="33"/>
        <v>324</v>
      </c>
      <c r="G183" s="26" t="s">
        <v>227</v>
      </c>
      <c r="H183" s="26" t="s">
        <v>63</v>
      </c>
      <c r="I183" s="26">
        <f t="shared" ref="I183:I207" si="35">IF(B183=100,1,(IF(B183=600,2,3)))</f>
        <v>2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>
        <v>0.17499999999999999</v>
      </c>
      <c r="V183" s="49">
        <v>0.109</v>
      </c>
      <c r="W183" s="49"/>
      <c r="X183" s="28" t="s">
        <v>212</v>
      </c>
      <c r="Y183" s="26" t="s">
        <v>217</v>
      </c>
      <c r="Z183" s="26" t="s">
        <v>13</v>
      </c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spans="1:36">
      <c r="A184" s="25" t="str">
        <f t="shared" si="34"/>
        <v>VSG01C-23324E2.01</v>
      </c>
      <c r="B184" s="26">
        <v>100</v>
      </c>
      <c r="C184" s="26">
        <v>1</v>
      </c>
      <c r="D184" s="26" t="s">
        <v>229</v>
      </c>
      <c r="E184" s="29">
        <v>45250</v>
      </c>
      <c r="F184" s="30">
        <f t="shared" si="33"/>
        <v>324</v>
      </c>
      <c r="G184" s="26" t="s">
        <v>227</v>
      </c>
      <c r="H184" s="26" t="s">
        <v>63</v>
      </c>
      <c r="I184" s="26">
        <f t="shared" si="35"/>
        <v>1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49">
        <v>0.13</v>
      </c>
      <c r="W184" s="49"/>
      <c r="X184" s="28" t="s">
        <v>212</v>
      </c>
      <c r="Y184" s="26" t="s">
        <v>217</v>
      </c>
      <c r="Z184" s="26" t="s">
        <v>13</v>
      </c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spans="1:36">
      <c r="A185" s="25" t="str">
        <f t="shared" si="34"/>
        <v>VSG01C-23324E2.02</v>
      </c>
      <c r="B185" s="26">
        <v>100</v>
      </c>
      <c r="C185" s="26">
        <v>2</v>
      </c>
      <c r="D185" s="26" t="s">
        <v>229</v>
      </c>
      <c r="E185" s="29">
        <v>45250</v>
      </c>
      <c r="F185" s="30">
        <f t="shared" si="33"/>
        <v>324</v>
      </c>
      <c r="G185" s="26" t="s">
        <v>227</v>
      </c>
      <c r="H185" s="26" t="s">
        <v>63</v>
      </c>
      <c r="I185" s="26">
        <f t="shared" si="35"/>
        <v>1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49">
        <v>0.13</v>
      </c>
      <c r="W185" s="49"/>
      <c r="X185" s="28" t="s">
        <v>212</v>
      </c>
      <c r="Y185" s="26" t="s">
        <v>217</v>
      </c>
      <c r="Z185" s="26" t="s">
        <v>13</v>
      </c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spans="1:36">
      <c r="A186" s="25" t="str">
        <f t="shared" si="34"/>
        <v>VSG01C-23324E2.03</v>
      </c>
      <c r="B186" s="26">
        <v>100</v>
      </c>
      <c r="C186" s="26">
        <v>3</v>
      </c>
      <c r="D186" s="26" t="s">
        <v>231</v>
      </c>
      <c r="E186" s="29">
        <v>45250</v>
      </c>
      <c r="F186" s="30">
        <f t="shared" si="33"/>
        <v>324</v>
      </c>
      <c r="G186" s="26" t="s">
        <v>227</v>
      </c>
      <c r="H186" s="26" t="s">
        <v>63</v>
      </c>
      <c r="I186" s="26">
        <f t="shared" si="35"/>
        <v>1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49">
        <v>0.109</v>
      </c>
      <c r="W186" s="49"/>
      <c r="X186" s="28" t="s">
        <v>212</v>
      </c>
      <c r="Y186" s="26" t="s">
        <v>217</v>
      </c>
      <c r="Z186" s="26" t="s">
        <v>13</v>
      </c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spans="1:36">
      <c r="A187" s="25" t="str">
        <f t="shared" si="34"/>
        <v>VSG01C-23324E2.04</v>
      </c>
      <c r="B187" s="26">
        <v>100</v>
      </c>
      <c r="C187" s="26">
        <v>4</v>
      </c>
      <c r="D187" s="26" t="s">
        <v>231</v>
      </c>
      <c r="E187" s="29">
        <v>45250</v>
      </c>
      <c r="F187" s="30">
        <f t="shared" si="33"/>
        <v>324</v>
      </c>
      <c r="G187" s="26" t="s">
        <v>227</v>
      </c>
      <c r="H187" s="26" t="s">
        <v>63</v>
      </c>
      <c r="I187" s="26">
        <f t="shared" si="35"/>
        <v>1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49">
        <v>0.109</v>
      </c>
      <c r="W187" s="49"/>
      <c r="X187" s="28" t="s">
        <v>212</v>
      </c>
      <c r="Y187" s="26" t="s">
        <v>217</v>
      </c>
      <c r="Z187" s="26" t="s">
        <v>13</v>
      </c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spans="1:36">
      <c r="A188" s="25" t="str">
        <f t="shared" si="34"/>
        <v>VSG01C-23324E2.05</v>
      </c>
      <c r="B188" s="26">
        <v>100</v>
      </c>
      <c r="C188" s="26">
        <v>5</v>
      </c>
      <c r="D188" s="26" t="s">
        <v>233</v>
      </c>
      <c r="E188" s="29">
        <v>45250</v>
      </c>
      <c r="F188" s="30">
        <f t="shared" si="33"/>
        <v>324</v>
      </c>
      <c r="G188" s="26" t="s">
        <v>227</v>
      </c>
      <c r="H188" s="26" t="s">
        <v>63</v>
      </c>
      <c r="I188" s="26">
        <f t="shared" si="35"/>
        <v>1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49">
        <v>0.109</v>
      </c>
      <c r="W188" s="49"/>
      <c r="X188" s="28" t="s">
        <v>212</v>
      </c>
      <c r="Y188" s="26" t="s">
        <v>217</v>
      </c>
      <c r="Z188" s="26" t="s">
        <v>13</v>
      </c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spans="1:36">
      <c r="A189" s="25" t="str">
        <f t="shared" si="34"/>
        <v>VSG01C-23324E2.06</v>
      </c>
      <c r="B189" s="26">
        <v>100</v>
      </c>
      <c r="C189" s="26">
        <v>6</v>
      </c>
      <c r="D189" s="26" t="s">
        <v>233</v>
      </c>
      <c r="E189" s="29">
        <v>45250</v>
      </c>
      <c r="F189" s="30">
        <f t="shared" si="33"/>
        <v>324</v>
      </c>
      <c r="G189" s="26" t="s">
        <v>227</v>
      </c>
      <c r="H189" s="26" t="s">
        <v>63</v>
      </c>
      <c r="I189" s="26">
        <f t="shared" si="35"/>
        <v>1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49">
        <v>0.109</v>
      </c>
      <c r="W189" s="49"/>
      <c r="X189" s="28" t="s">
        <v>212</v>
      </c>
      <c r="Y189" s="26" t="s">
        <v>217</v>
      </c>
      <c r="Z189" s="26" t="s">
        <v>13</v>
      </c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spans="1:36">
      <c r="A190" s="25" t="str">
        <f t="shared" si="34"/>
        <v>VSG01C-23324E2.07</v>
      </c>
      <c r="B190" s="26">
        <v>100</v>
      </c>
      <c r="C190" s="26">
        <v>7</v>
      </c>
      <c r="D190" s="26" t="s">
        <v>234</v>
      </c>
      <c r="E190" s="29">
        <v>45250</v>
      </c>
      <c r="F190" s="30">
        <f t="shared" si="33"/>
        <v>324</v>
      </c>
      <c r="G190" s="26" t="s">
        <v>227</v>
      </c>
      <c r="H190" s="26" t="s">
        <v>63</v>
      </c>
      <c r="I190" s="26">
        <f t="shared" si="35"/>
        <v>1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>
        <v>0.1</v>
      </c>
      <c r="W190" s="26"/>
      <c r="X190" s="28" t="s">
        <v>212</v>
      </c>
      <c r="Y190" s="26" t="s">
        <v>217</v>
      </c>
      <c r="Z190" s="26" t="s">
        <v>13</v>
      </c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spans="1:36">
      <c r="A191" s="25" t="str">
        <f t="shared" si="34"/>
        <v>VSG01C-23324E2.08</v>
      </c>
      <c r="B191" s="26">
        <v>100</v>
      </c>
      <c r="C191" s="26">
        <v>8</v>
      </c>
      <c r="D191" s="26" t="s">
        <v>234</v>
      </c>
      <c r="E191" s="29">
        <v>45250</v>
      </c>
      <c r="F191" s="30">
        <f t="shared" si="33"/>
        <v>324</v>
      </c>
      <c r="G191" s="26" t="s">
        <v>227</v>
      </c>
      <c r="H191" s="26" t="s">
        <v>63</v>
      </c>
      <c r="I191" s="26">
        <f t="shared" si="35"/>
        <v>1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>
        <v>0.1</v>
      </c>
      <c r="W191" s="26"/>
      <c r="X191" s="28" t="s">
        <v>212</v>
      </c>
      <c r="Y191" s="26" t="s">
        <v>217</v>
      </c>
      <c r="Z191" s="26" t="s">
        <v>13</v>
      </c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spans="1:36">
      <c r="A192" s="25" t="str">
        <f t="shared" si="34"/>
        <v>VSG01C-23324E2.09</v>
      </c>
      <c r="B192" s="26">
        <v>100</v>
      </c>
      <c r="C192" s="26">
        <v>9</v>
      </c>
      <c r="D192" s="26" t="s">
        <v>234</v>
      </c>
      <c r="E192" s="29">
        <v>45250</v>
      </c>
      <c r="F192" s="30">
        <f t="shared" si="33"/>
        <v>324</v>
      </c>
      <c r="G192" s="26" t="s">
        <v>227</v>
      </c>
      <c r="H192" s="26" t="s">
        <v>63</v>
      </c>
      <c r="I192" s="26">
        <f t="shared" si="35"/>
        <v>1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>
        <v>0.1</v>
      </c>
      <c r="W192" s="26"/>
      <c r="X192" s="28" t="s">
        <v>212</v>
      </c>
      <c r="Y192" s="26" t="s">
        <v>217</v>
      </c>
      <c r="Z192" s="26" t="s">
        <v>13</v>
      </c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spans="1:36">
      <c r="A193" s="25" t="str">
        <f t="shared" si="34"/>
        <v>VSG01C-23324E2.10</v>
      </c>
      <c r="B193" s="26">
        <v>100</v>
      </c>
      <c r="C193" s="26">
        <v>10</v>
      </c>
      <c r="D193" s="26" t="s">
        <v>234</v>
      </c>
      <c r="E193" s="29">
        <v>45250</v>
      </c>
      <c r="F193" s="30">
        <f t="shared" si="33"/>
        <v>324</v>
      </c>
      <c r="G193" s="26" t="s">
        <v>227</v>
      </c>
      <c r="H193" s="26" t="s">
        <v>63</v>
      </c>
      <c r="I193" s="26">
        <f t="shared" si="35"/>
        <v>1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>
        <v>0.1</v>
      </c>
      <c r="W193" s="26"/>
      <c r="X193" s="28" t="s">
        <v>212</v>
      </c>
      <c r="Y193" s="26" t="s">
        <v>217</v>
      </c>
      <c r="Z193" s="26" t="s">
        <v>13</v>
      </c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spans="1:36">
      <c r="A194" s="25" t="str">
        <f t="shared" si="34"/>
        <v>VSG01C-23324E2.11</v>
      </c>
      <c r="B194" s="26">
        <v>100</v>
      </c>
      <c r="C194" s="26">
        <v>11</v>
      </c>
      <c r="D194" s="26" t="s">
        <v>234</v>
      </c>
      <c r="E194" s="29">
        <v>45250</v>
      </c>
      <c r="F194" s="30">
        <f t="shared" si="33"/>
        <v>324</v>
      </c>
      <c r="G194" s="26" t="s">
        <v>227</v>
      </c>
      <c r="H194" s="26" t="s">
        <v>63</v>
      </c>
      <c r="I194" s="26">
        <f t="shared" si="35"/>
        <v>1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>
        <v>0.1</v>
      </c>
      <c r="W194" s="26"/>
      <c r="X194" s="28" t="s">
        <v>212</v>
      </c>
      <c r="Y194" s="26" t="s">
        <v>217</v>
      </c>
      <c r="Z194" s="26" t="s">
        <v>13</v>
      </c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spans="1:36">
      <c r="A195" s="25" t="str">
        <f t="shared" si="34"/>
        <v>VSG01C-23324E2.12</v>
      </c>
      <c r="B195" s="26">
        <v>100</v>
      </c>
      <c r="C195" s="26">
        <v>12</v>
      </c>
      <c r="D195" s="26" t="s">
        <v>234</v>
      </c>
      <c r="E195" s="29">
        <v>45250</v>
      </c>
      <c r="F195" s="30">
        <f t="shared" si="33"/>
        <v>324</v>
      </c>
      <c r="G195" s="26" t="s">
        <v>227</v>
      </c>
      <c r="H195" s="26" t="s">
        <v>63</v>
      </c>
      <c r="I195" s="26">
        <f t="shared" si="35"/>
        <v>1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>
        <v>0.1</v>
      </c>
      <c r="W195" s="26"/>
      <c r="X195" s="28" t="s">
        <v>212</v>
      </c>
      <c r="Y195" s="26" t="s">
        <v>217</v>
      </c>
      <c r="Z195" s="26" t="s">
        <v>13</v>
      </c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spans="1:36">
      <c r="A196" s="25" t="str">
        <f t="shared" si="34"/>
        <v>VSG01C-23324E2.13</v>
      </c>
      <c r="B196" s="26">
        <v>100</v>
      </c>
      <c r="C196" s="26">
        <v>13</v>
      </c>
      <c r="D196" s="26" t="s">
        <v>228</v>
      </c>
      <c r="E196" s="29">
        <v>45250</v>
      </c>
      <c r="F196" s="30">
        <f t="shared" si="33"/>
        <v>324</v>
      </c>
      <c r="G196" s="26" t="s">
        <v>227</v>
      </c>
      <c r="H196" s="26" t="s">
        <v>63</v>
      </c>
      <c r="I196" s="26">
        <f t="shared" si="35"/>
        <v>1</v>
      </c>
      <c r="J196" s="44">
        <f>AVERAGE(BenchGDE!$L196:$S196)</f>
        <v>178.5</v>
      </c>
      <c r="K196" s="41">
        <f>STDEV(BenchGDE!$L196:$S196)</f>
        <v>1.9148542155126762</v>
      </c>
      <c r="L196" s="26">
        <v>177</v>
      </c>
      <c r="M196" s="26">
        <v>177</v>
      </c>
      <c r="N196" s="26">
        <v>179</v>
      </c>
      <c r="O196" s="26">
        <v>181</v>
      </c>
      <c r="P196" s="26"/>
      <c r="Q196" s="26"/>
      <c r="R196" s="26"/>
      <c r="S196" s="26"/>
      <c r="T196" s="26"/>
      <c r="U196" s="26">
        <f>AVERAGE(0.173,0.196,0.192,0.187)</f>
        <v>0.187</v>
      </c>
      <c r="V196" s="26">
        <v>0.19</v>
      </c>
      <c r="W196" s="26"/>
      <c r="X196" s="28" t="s">
        <v>212</v>
      </c>
      <c r="Y196" s="26" t="s">
        <v>217</v>
      </c>
      <c r="Z196" s="26" t="s">
        <v>13</v>
      </c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spans="1:36">
      <c r="A197" s="25" t="str">
        <f t="shared" si="34"/>
        <v>VSG01C-23324E2.14</v>
      </c>
      <c r="B197" s="26">
        <v>100</v>
      </c>
      <c r="C197" s="26">
        <v>14</v>
      </c>
      <c r="D197" s="26" t="s">
        <v>228</v>
      </c>
      <c r="E197" s="29">
        <v>45250</v>
      </c>
      <c r="F197" s="30">
        <f t="shared" si="33"/>
        <v>324</v>
      </c>
      <c r="G197" s="26" t="s">
        <v>227</v>
      </c>
      <c r="H197" s="26" t="s">
        <v>63</v>
      </c>
      <c r="I197" s="26">
        <f t="shared" si="35"/>
        <v>1</v>
      </c>
      <c r="J197" s="44">
        <f>AVERAGE(BenchGDE!$L197:$S197)</f>
        <v>178.66666666666666</v>
      </c>
      <c r="K197" s="41">
        <f>STDEV(BenchGDE!$L197:$S197)</f>
        <v>1.5275252316519465</v>
      </c>
      <c r="L197" s="26">
        <v>179</v>
      </c>
      <c r="M197" s="26">
        <v>180</v>
      </c>
      <c r="N197" s="26">
        <v>177</v>
      </c>
      <c r="O197" s="26"/>
      <c r="P197" s="26"/>
      <c r="Q197" s="26"/>
      <c r="R197" s="26"/>
      <c r="S197" s="26"/>
      <c r="T197" s="26"/>
      <c r="U197" s="49">
        <f>AVERAGE(0.177,0.181,0.192,0.179)</f>
        <v>0.18225000000000002</v>
      </c>
      <c r="V197" s="26">
        <v>0.19</v>
      </c>
      <c r="W197" s="26"/>
      <c r="X197" s="28" t="s">
        <v>212</v>
      </c>
      <c r="Y197" s="26" t="s">
        <v>217</v>
      </c>
      <c r="Z197" s="26" t="s">
        <v>13</v>
      </c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spans="1:36">
      <c r="A198" s="25" t="str">
        <f>"VSG"&amp;TEXT(I198,"00")&amp;"C-23"&amp;TEXT(F198,"000")&amp;Z174&amp;"2."&amp;TEXT((C198),"00")</f>
        <v>VSG01C-23324E2.18</v>
      </c>
      <c r="B198" s="26">
        <v>100</v>
      </c>
      <c r="C198" s="26">
        <v>18</v>
      </c>
      <c r="D198" s="26" t="s">
        <v>226</v>
      </c>
      <c r="E198" s="29">
        <v>45250</v>
      </c>
      <c r="F198" s="30">
        <f t="shared" si="33"/>
        <v>324</v>
      </c>
      <c r="G198" s="26" t="s">
        <v>227</v>
      </c>
      <c r="H198" s="26" t="s">
        <v>63</v>
      </c>
      <c r="I198" s="26">
        <f t="shared" si="35"/>
        <v>1</v>
      </c>
      <c r="J198" s="26">
        <v>192</v>
      </c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>
        <v>0.1</v>
      </c>
      <c r="W198" s="26"/>
      <c r="X198" s="28" t="s">
        <v>212</v>
      </c>
      <c r="Y198" s="26" t="s">
        <v>217</v>
      </c>
      <c r="Z198" s="26" t="s">
        <v>13</v>
      </c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spans="1:36">
      <c r="A199" s="25" t="str">
        <f>"VSG"&amp;TEXT(I199,"00")&amp;"C-23"&amp;TEXT(F199,"000")&amp;Z175&amp;"2."&amp;TEXT((C199),"00")</f>
        <v>VSG01C-23324E2.19</v>
      </c>
      <c r="B199" s="26">
        <v>100</v>
      </c>
      <c r="C199" s="26">
        <v>19</v>
      </c>
      <c r="D199" s="26" t="s">
        <v>226</v>
      </c>
      <c r="E199" s="29">
        <v>45250</v>
      </c>
      <c r="F199" s="30">
        <f t="shared" si="33"/>
        <v>324</v>
      </c>
      <c r="G199" s="26" t="s">
        <v>227</v>
      </c>
      <c r="H199" s="26" t="s">
        <v>63</v>
      </c>
      <c r="I199" s="26">
        <f t="shared" si="35"/>
        <v>1</v>
      </c>
      <c r="J199" s="26">
        <v>192</v>
      </c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>
        <v>0.1</v>
      </c>
      <c r="W199" s="26"/>
      <c r="X199" s="28" t="s">
        <v>212</v>
      </c>
      <c r="Y199" s="26" t="s">
        <v>217</v>
      </c>
      <c r="Z199" s="26" t="s">
        <v>13</v>
      </c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spans="1:36">
      <c r="A200" s="25" t="str">
        <f>"VSG"&amp;TEXT(I200,"00")&amp;"C-23"&amp;TEXT(F200,"000")&amp;Z176&amp;"2."&amp;TEXT((C200),"00")</f>
        <v>VSG01C-23324E2.20</v>
      </c>
      <c r="B200" s="26">
        <v>100</v>
      </c>
      <c r="C200" s="26">
        <v>20</v>
      </c>
      <c r="D200" s="26" t="s">
        <v>226</v>
      </c>
      <c r="E200" s="29">
        <v>45250</v>
      </c>
      <c r="F200" s="30">
        <f t="shared" si="33"/>
        <v>324</v>
      </c>
      <c r="G200" s="26" t="s">
        <v>227</v>
      </c>
      <c r="H200" s="26" t="s">
        <v>63</v>
      </c>
      <c r="I200" s="26">
        <f t="shared" si="35"/>
        <v>1</v>
      </c>
      <c r="J200" s="26">
        <v>188</v>
      </c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>
        <v>0.1</v>
      </c>
      <c r="W200" s="26"/>
      <c r="X200" s="28" t="s">
        <v>212</v>
      </c>
      <c r="Y200" s="26" t="s">
        <v>217</v>
      </c>
      <c r="Z200" s="26" t="s">
        <v>13</v>
      </c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spans="1:36">
      <c r="A201" s="25" t="str">
        <f>"VSG"&amp;TEXT(I201,"00")&amp;"C-23"&amp;TEXT(F201,"000")&amp;Z182&amp;"2."&amp;TEXT((C201),"00")</f>
        <v>VSG01C-23324E2.21</v>
      </c>
      <c r="B201" s="26">
        <v>100</v>
      </c>
      <c r="C201" s="26">
        <v>21</v>
      </c>
      <c r="D201" s="26" t="s">
        <v>226</v>
      </c>
      <c r="E201" s="29">
        <v>45250</v>
      </c>
      <c r="F201" s="30">
        <f t="shared" si="33"/>
        <v>324</v>
      </c>
      <c r="G201" s="26" t="s">
        <v>227</v>
      </c>
      <c r="H201" s="26" t="s">
        <v>63</v>
      </c>
      <c r="I201" s="26">
        <f t="shared" si="35"/>
        <v>1</v>
      </c>
      <c r="J201" s="26">
        <v>172</v>
      </c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>
        <v>0.1</v>
      </c>
      <c r="W201" s="26"/>
      <c r="X201" s="28" t="s">
        <v>212</v>
      </c>
      <c r="Y201" s="26" t="s">
        <v>217</v>
      </c>
      <c r="Z201" s="26" t="s">
        <v>13</v>
      </c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spans="1:36">
      <c r="A202" s="25" t="str">
        <f t="shared" ref="A202:A224" si="36">"VSG"&amp;TEXT(I202,"00")&amp;"C-23"&amp;TEXT(F202,"000")&amp;Z202&amp;"2."&amp;TEXT((C202),"00")</f>
        <v>VSG01C-23331E2.01</v>
      </c>
      <c r="B202" s="26">
        <v>100</v>
      </c>
      <c r="C202" s="26">
        <v>1</v>
      </c>
      <c r="D202" s="26" t="s">
        <v>235</v>
      </c>
      <c r="E202" s="29">
        <v>45257</v>
      </c>
      <c r="F202" s="30">
        <f t="shared" si="33"/>
        <v>331</v>
      </c>
      <c r="G202" s="26" t="s">
        <v>236</v>
      </c>
      <c r="H202" s="26" t="s">
        <v>63</v>
      </c>
      <c r="I202" s="26">
        <f t="shared" si="35"/>
        <v>1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>
        <v>0.02</v>
      </c>
      <c r="W202" s="26"/>
      <c r="X202" s="28"/>
      <c r="Y202" s="26" t="s">
        <v>217</v>
      </c>
      <c r="Z202" s="26" t="s">
        <v>13</v>
      </c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spans="1:36">
      <c r="A203" s="25" t="str">
        <f t="shared" si="36"/>
        <v>VSG01C-23331E2.02</v>
      </c>
      <c r="B203" s="26">
        <v>100</v>
      </c>
      <c r="C203" s="26">
        <v>2</v>
      </c>
      <c r="D203" s="26" t="s">
        <v>235</v>
      </c>
      <c r="E203" s="29">
        <v>45257</v>
      </c>
      <c r="F203" s="30">
        <f t="shared" si="33"/>
        <v>331</v>
      </c>
      <c r="G203" s="26" t="s">
        <v>236</v>
      </c>
      <c r="H203" s="26" t="s">
        <v>63</v>
      </c>
      <c r="I203" s="26">
        <f t="shared" si="35"/>
        <v>1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>
        <v>0.02</v>
      </c>
      <c r="W203" s="26"/>
      <c r="X203" s="28"/>
      <c r="Y203" s="26" t="s">
        <v>217</v>
      </c>
      <c r="Z203" s="26" t="s">
        <v>13</v>
      </c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spans="1:36" ht="15" customHeight="1">
      <c r="A204" s="25" t="str">
        <f t="shared" si="36"/>
        <v>VSG01C-23331E2.03</v>
      </c>
      <c r="B204" s="26">
        <v>100</v>
      </c>
      <c r="C204" s="26">
        <v>3</v>
      </c>
      <c r="D204" s="26" t="s">
        <v>235</v>
      </c>
      <c r="E204" s="29">
        <v>45257</v>
      </c>
      <c r="F204" s="30">
        <f t="shared" si="33"/>
        <v>331</v>
      </c>
      <c r="G204" s="26" t="s">
        <v>236</v>
      </c>
      <c r="H204" s="26" t="s">
        <v>63</v>
      </c>
      <c r="I204" s="26">
        <f t="shared" si="35"/>
        <v>1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>
        <v>0.02</v>
      </c>
      <c r="W204" s="26"/>
      <c r="X204" s="28"/>
      <c r="Y204" s="26" t="s">
        <v>217</v>
      </c>
      <c r="Z204" s="26" t="s">
        <v>13</v>
      </c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spans="1:36" ht="15" customHeight="1">
      <c r="A205" s="25" t="str">
        <f t="shared" si="36"/>
        <v>VSG01C-23331E2.04</v>
      </c>
      <c r="B205" s="26">
        <v>100</v>
      </c>
      <c r="C205" s="26">
        <v>4</v>
      </c>
      <c r="D205" s="26" t="s">
        <v>237</v>
      </c>
      <c r="E205" s="29">
        <v>45257</v>
      </c>
      <c r="F205" s="30">
        <f t="shared" si="33"/>
        <v>331</v>
      </c>
      <c r="G205" s="26" t="s">
        <v>236</v>
      </c>
      <c r="H205" s="26" t="s">
        <v>63</v>
      </c>
      <c r="I205" s="26">
        <f t="shared" si="35"/>
        <v>1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>
        <v>0.02</v>
      </c>
      <c r="W205" s="26"/>
      <c r="X205" s="28"/>
      <c r="Y205" s="26" t="s">
        <v>217</v>
      </c>
      <c r="Z205" s="26" t="s">
        <v>13</v>
      </c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spans="1:36" ht="15" customHeight="1">
      <c r="A206" s="25" t="str">
        <f t="shared" si="36"/>
        <v>VSG01C-23331E2.05</v>
      </c>
      <c r="B206" s="26">
        <v>100</v>
      </c>
      <c r="C206" s="26">
        <v>5</v>
      </c>
      <c r="D206" s="26" t="s">
        <v>237</v>
      </c>
      <c r="E206" s="29">
        <v>45257</v>
      </c>
      <c r="F206" s="30">
        <f t="shared" si="33"/>
        <v>331</v>
      </c>
      <c r="G206" s="26" t="s">
        <v>236</v>
      </c>
      <c r="H206" s="26" t="s">
        <v>63</v>
      </c>
      <c r="I206" s="26">
        <f t="shared" si="35"/>
        <v>1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>
        <v>0.02</v>
      </c>
      <c r="W206" s="26"/>
      <c r="X206" s="28"/>
      <c r="Y206" s="26" t="s">
        <v>217</v>
      </c>
      <c r="Z206" s="26" t="s">
        <v>13</v>
      </c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spans="1:36" ht="15" customHeight="1">
      <c r="A207" s="25" t="str">
        <f t="shared" si="36"/>
        <v>VSG01C-23331E2.06</v>
      </c>
      <c r="B207" s="26">
        <v>100</v>
      </c>
      <c r="C207" s="26">
        <v>6</v>
      </c>
      <c r="D207" s="26" t="s">
        <v>238</v>
      </c>
      <c r="E207" s="29">
        <v>45257</v>
      </c>
      <c r="F207" s="30">
        <f t="shared" si="33"/>
        <v>331</v>
      </c>
      <c r="G207" s="26" t="s">
        <v>236</v>
      </c>
      <c r="H207" s="26" t="s">
        <v>63</v>
      </c>
      <c r="I207" s="26">
        <f t="shared" si="35"/>
        <v>1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>
        <v>0.02</v>
      </c>
      <c r="W207" s="26"/>
      <c r="X207" s="28"/>
      <c r="Y207" s="26" t="s">
        <v>217</v>
      </c>
      <c r="Z207" s="26" t="s">
        <v>13</v>
      </c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spans="1:36" ht="15" customHeight="1">
      <c r="A208" s="25" t="str">
        <f t="shared" si="36"/>
        <v>VSG01C-23352E2.01</v>
      </c>
      <c r="B208" s="26">
        <v>100</v>
      </c>
      <c r="C208" s="26">
        <v>1</v>
      </c>
      <c r="D208" s="26" t="s">
        <v>239</v>
      </c>
      <c r="E208" s="29">
        <v>45278</v>
      </c>
      <c r="F208" s="30">
        <f t="shared" si="33"/>
        <v>352</v>
      </c>
      <c r="G208" s="26" t="s">
        <v>240</v>
      </c>
      <c r="H208" s="26" t="s">
        <v>63</v>
      </c>
      <c r="I208" s="26">
        <v>1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8" t="s">
        <v>241</v>
      </c>
      <c r="Y208" s="26" t="s">
        <v>217</v>
      </c>
      <c r="Z208" s="26" t="s">
        <v>13</v>
      </c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spans="1:36" ht="15" customHeight="1">
      <c r="A209" s="25" t="str">
        <f t="shared" si="36"/>
        <v>VSG01C-23352E2.02</v>
      </c>
      <c r="B209" s="26">
        <v>100</v>
      </c>
      <c r="C209" s="26">
        <v>2</v>
      </c>
      <c r="D209" s="26" t="s">
        <v>239</v>
      </c>
      <c r="E209" s="29">
        <v>45278</v>
      </c>
      <c r="F209" s="30">
        <f t="shared" si="33"/>
        <v>352</v>
      </c>
      <c r="G209" s="26" t="s">
        <v>240</v>
      </c>
      <c r="H209" s="26" t="s">
        <v>63</v>
      </c>
      <c r="I209" s="26">
        <v>1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8" t="s">
        <v>241</v>
      </c>
      <c r="Y209" s="26" t="s">
        <v>217</v>
      </c>
      <c r="Z209" s="26" t="s">
        <v>13</v>
      </c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spans="1:36" ht="15" customHeight="1">
      <c r="A210" s="25" t="str">
        <f t="shared" si="36"/>
        <v>VSG01C-23352E2.03</v>
      </c>
      <c r="B210" s="26">
        <v>100</v>
      </c>
      <c r="C210" s="26">
        <v>3</v>
      </c>
      <c r="D210" s="26" t="s">
        <v>239</v>
      </c>
      <c r="E210" s="29">
        <v>45278</v>
      </c>
      <c r="F210" s="30">
        <f t="shared" si="33"/>
        <v>352</v>
      </c>
      <c r="G210" s="26" t="s">
        <v>240</v>
      </c>
      <c r="H210" s="26" t="s">
        <v>63</v>
      </c>
      <c r="I210" s="26">
        <v>1</v>
      </c>
      <c r="J210" s="31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8" t="s">
        <v>241</v>
      </c>
      <c r="Y210" s="26" t="s">
        <v>217</v>
      </c>
      <c r="Z210" s="26" t="s">
        <v>13</v>
      </c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spans="1:36" ht="15" customHeight="1">
      <c r="A211" s="25" t="str">
        <f t="shared" si="36"/>
        <v>VSG01C-23352E2.04</v>
      </c>
      <c r="B211" s="26">
        <v>100</v>
      </c>
      <c r="C211" s="26">
        <v>4</v>
      </c>
      <c r="D211" s="26" t="s">
        <v>242</v>
      </c>
      <c r="E211" s="29">
        <v>45278</v>
      </c>
      <c r="F211" s="30">
        <f t="shared" si="33"/>
        <v>352</v>
      </c>
      <c r="G211" s="26" t="s">
        <v>240</v>
      </c>
      <c r="H211" s="26" t="s">
        <v>63</v>
      </c>
      <c r="I211" s="26">
        <v>1</v>
      </c>
      <c r="J211" s="31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8" t="s">
        <v>241</v>
      </c>
      <c r="Y211" s="26" t="s">
        <v>217</v>
      </c>
      <c r="Z211" s="26" t="s">
        <v>13</v>
      </c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spans="1:36" ht="15" customHeight="1">
      <c r="A212" s="25" t="str">
        <f t="shared" si="36"/>
        <v>VSG01C-23352E2.05</v>
      </c>
      <c r="B212" s="26">
        <v>100</v>
      </c>
      <c r="C212" s="26">
        <v>5</v>
      </c>
      <c r="D212" s="26" t="s">
        <v>242</v>
      </c>
      <c r="E212" s="29">
        <v>45278</v>
      </c>
      <c r="F212" s="30">
        <f t="shared" si="33"/>
        <v>352</v>
      </c>
      <c r="G212" s="26" t="s">
        <v>240</v>
      </c>
      <c r="H212" s="26" t="s">
        <v>63</v>
      </c>
      <c r="I212" s="26">
        <v>1</v>
      </c>
      <c r="J212" s="31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8" t="s">
        <v>241</v>
      </c>
      <c r="Y212" s="26" t="s">
        <v>217</v>
      </c>
      <c r="Z212" s="26" t="s">
        <v>13</v>
      </c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spans="1:36" ht="15" customHeight="1">
      <c r="A213" s="25" t="str">
        <f t="shared" si="36"/>
        <v>VSG01C-23352E2.06</v>
      </c>
      <c r="B213" s="26">
        <v>100</v>
      </c>
      <c r="C213" s="26">
        <v>6</v>
      </c>
      <c r="D213" s="26" t="s">
        <v>242</v>
      </c>
      <c r="E213" s="29">
        <v>45278</v>
      </c>
      <c r="F213" s="30">
        <f t="shared" ref="F213:F229" si="37">E213-DATE(YEAR(E213),1,0)</f>
        <v>352</v>
      </c>
      <c r="G213" s="26" t="s">
        <v>240</v>
      </c>
      <c r="H213" s="26" t="s">
        <v>63</v>
      </c>
      <c r="I213" s="26">
        <v>1</v>
      </c>
      <c r="J213" s="31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8" t="s">
        <v>241</v>
      </c>
      <c r="Y213" s="26" t="s">
        <v>217</v>
      </c>
      <c r="Z213" s="26" t="s">
        <v>13</v>
      </c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spans="1:36" ht="15" customHeight="1">
      <c r="A214" s="25" t="str">
        <f t="shared" si="36"/>
        <v>VSG01C-23022E2.01</v>
      </c>
      <c r="B214" s="26">
        <v>100</v>
      </c>
      <c r="C214" s="26">
        <v>1</v>
      </c>
      <c r="D214" s="26" t="s">
        <v>243</v>
      </c>
      <c r="E214" s="29">
        <v>45313</v>
      </c>
      <c r="F214" s="30">
        <f t="shared" si="37"/>
        <v>22</v>
      </c>
      <c r="G214" s="26" t="s">
        <v>244</v>
      </c>
      <c r="H214" s="26" t="s">
        <v>63</v>
      </c>
      <c r="I214" s="26">
        <f t="shared" ref="I214:I224" si="38">IF(B214=100,1,(IF(B214=600,2,3)))</f>
        <v>1</v>
      </c>
      <c r="J214" s="40"/>
      <c r="K214" s="41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>
        <v>0.15</v>
      </c>
      <c r="W214" s="26"/>
      <c r="X214" s="28" t="s">
        <v>245</v>
      </c>
      <c r="Y214" s="26" t="s">
        <v>217</v>
      </c>
      <c r="Z214" s="26" t="s">
        <v>13</v>
      </c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spans="1:36" ht="15" customHeight="1">
      <c r="A215" s="25" t="str">
        <f t="shared" si="36"/>
        <v>VSG01C-23022E2.02</v>
      </c>
      <c r="B215" s="26">
        <v>100</v>
      </c>
      <c r="C215" s="26">
        <v>2</v>
      </c>
      <c r="D215" s="26" t="s">
        <v>243</v>
      </c>
      <c r="E215" s="29">
        <v>45313</v>
      </c>
      <c r="F215" s="30">
        <f t="shared" si="37"/>
        <v>22</v>
      </c>
      <c r="G215" s="26" t="s">
        <v>244</v>
      </c>
      <c r="H215" s="26" t="s">
        <v>63</v>
      </c>
      <c r="I215" s="26">
        <f t="shared" si="38"/>
        <v>1</v>
      </c>
      <c r="J215" s="40"/>
      <c r="K215" s="41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>
        <v>0.15</v>
      </c>
      <c r="W215" s="26"/>
      <c r="X215" s="28" t="s">
        <v>245</v>
      </c>
      <c r="Y215" s="26" t="s">
        <v>217</v>
      </c>
      <c r="Z215" s="26" t="s">
        <v>13</v>
      </c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spans="1:36" ht="15" customHeight="1">
      <c r="A216" s="25" t="str">
        <f t="shared" si="36"/>
        <v>VSG01C-23022E2.03</v>
      </c>
      <c r="B216" s="26">
        <v>100</v>
      </c>
      <c r="C216" s="26">
        <v>3</v>
      </c>
      <c r="D216" s="26" t="s">
        <v>243</v>
      </c>
      <c r="E216" s="29">
        <v>45313</v>
      </c>
      <c r="F216" s="30">
        <f t="shared" si="37"/>
        <v>22</v>
      </c>
      <c r="G216" s="26" t="s">
        <v>244</v>
      </c>
      <c r="H216" s="26" t="s">
        <v>63</v>
      </c>
      <c r="I216" s="26">
        <f t="shared" si="38"/>
        <v>1</v>
      </c>
      <c r="J216" s="40"/>
      <c r="K216" s="41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>
        <v>0.15</v>
      </c>
      <c r="W216" s="26"/>
      <c r="X216" s="28" t="s">
        <v>245</v>
      </c>
      <c r="Y216" s="26" t="s">
        <v>217</v>
      </c>
      <c r="Z216" s="26" t="s">
        <v>13</v>
      </c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spans="1:36" ht="15" customHeight="1">
      <c r="A217" s="25" t="str">
        <f t="shared" si="36"/>
        <v>VSG01C-23022E2.04</v>
      </c>
      <c r="B217" s="26">
        <v>100</v>
      </c>
      <c r="C217" s="26">
        <v>4</v>
      </c>
      <c r="D217" s="26" t="s">
        <v>243</v>
      </c>
      <c r="E217" s="29">
        <v>45313</v>
      </c>
      <c r="F217" s="30">
        <f t="shared" si="37"/>
        <v>22</v>
      </c>
      <c r="G217" s="26" t="s">
        <v>244</v>
      </c>
      <c r="H217" s="26" t="s">
        <v>63</v>
      </c>
      <c r="I217" s="26">
        <f t="shared" si="38"/>
        <v>1</v>
      </c>
      <c r="J217" s="40"/>
      <c r="K217" s="41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>
        <v>0.15</v>
      </c>
      <c r="W217" s="26"/>
      <c r="X217" s="28" t="s">
        <v>245</v>
      </c>
      <c r="Y217" s="26" t="s">
        <v>217</v>
      </c>
      <c r="Z217" s="26" t="s">
        <v>13</v>
      </c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spans="1:36" ht="15" customHeight="1">
      <c r="A218" s="25" t="str">
        <f t="shared" si="36"/>
        <v>VSG01C-23022E2.05</v>
      </c>
      <c r="B218" s="26">
        <v>100</v>
      </c>
      <c r="C218" s="26">
        <v>5</v>
      </c>
      <c r="D218" s="26" t="s">
        <v>243</v>
      </c>
      <c r="E218" s="29">
        <v>45313</v>
      </c>
      <c r="F218" s="30">
        <f t="shared" si="37"/>
        <v>22</v>
      </c>
      <c r="G218" s="26" t="s">
        <v>244</v>
      </c>
      <c r="H218" s="26" t="s">
        <v>63</v>
      </c>
      <c r="I218" s="26">
        <f t="shared" si="38"/>
        <v>1</v>
      </c>
      <c r="J218" s="40"/>
      <c r="K218" s="41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>
        <v>0.15</v>
      </c>
      <c r="W218" s="26"/>
      <c r="X218" s="28" t="s">
        <v>245</v>
      </c>
      <c r="Y218" s="26" t="s">
        <v>217</v>
      </c>
      <c r="Z218" s="26" t="s">
        <v>13</v>
      </c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spans="1:36" ht="15" customHeight="1">
      <c r="A219" s="25" t="str">
        <f t="shared" si="36"/>
        <v>VSG01C-23022E2.06</v>
      </c>
      <c r="B219" s="26">
        <v>100</v>
      </c>
      <c r="C219" s="26">
        <v>6</v>
      </c>
      <c r="D219" s="26" t="s">
        <v>243</v>
      </c>
      <c r="E219" s="29">
        <v>45313</v>
      </c>
      <c r="F219" s="30">
        <f t="shared" si="37"/>
        <v>22</v>
      </c>
      <c r="G219" s="26" t="s">
        <v>244</v>
      </c>
      <c r="H219" s="26" t="s">
        <v>63</v>
      </c>
      <c r="I219" s="26">
        <f t="shared" si="38"/>
        <v>1</v>
      </c>
      <c r="J219" s="40"/>
      <c r="K219" s="41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>
        <v>0.15</v>
      </c>
      <c r="W219" s="26"/>
      <c r="X219" s="28" t="s">
        <v>245</v>
      </c>
      <c r="Y219" s="26" t="s">
        <v>217</v>
      </c>
      <c r="Z219" s="26" t="s">
        <v>13</v>
      </c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spans="1:36" ht="15" customHeight="1">
      <c r="A220" s="25" t="str">
        <f t="shared" si="36"/>
        <v>VSG01C-23022E2.07</v>
      </c>
      <c r="B220" s="26">
        <v>100</v>
      </c>
      <c r="C220" s="26">
        <v>7</v>
      </c>
      <c r="D220" s="26" t="s">
        <v>246</v>
      </c>
      <c r="E220" s="29">
        <v>45313</v>
      </c>
      <c r="F220" s="30">
        <f t="shared" si="37"/>
        <v>22</v>
      </c>
      <c r="G220" s="26" t="s">
        <v>244</v>
      </c>
      <c r="H220" s="26" t="s">
        <v>63</v>
      </c>
      <c r="I220" s="26">
        <f t="shared" si="38"/>
        <v>1</v>
      </c>
      <c r="J220" s="40"/>
      <c r="K220" s="41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>
        <v>0.15</v>
      </c>
      <c r="W220" s="26"/>
      <c r="X220" s="28" t="s">
        <v>245</v>
      </c>
      <c r="Y220" s="26" t="s">
        <v>217</v>
      </c>
      <c r="Z220" s="26" t="s">
        <v>13</v>
      </c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spans="1:36" ht="15" customHeight="1">
      <c r="A221" s="25" t="str">
        <f t="shared" si="36"/>
        <v>VSG01C-23022E2.08</v>
      </c>
      <c r="B221" s="26">
        <v>100</v>
      </c>
      <c r="C221" s="26">
        <v>8</v>
      </c>
      <c r="D221" s="26" t="s">
        <v>246</v>
      </c>
      <c r="E221" s="29">
        <v>45313</v>
      </c>
      <c r="F221" s="30">
        <f t="shared" si="37"/>
        <v>22</v>
      </c>
      <c r="G221" s="26" t="s">
        <v>244</v>
      </c>
      <c r="H221" s="26" t="s">
        <v>63</v>
      </c>
      <c r="I221" s="26">
        <f t="shared" si="38"/>
        <v>1</v>
      </c>
      <c r="J221" s="40"/>
      <c r="K221" s="41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>
        <v>0.15</v>
      </c>
      <c r="W221" s="26"/>
      <c r="X221" s="28" t="s">
        <v>245</v>
      </c>
      <c r="Y221" s="26" t="s">
        <v>217</v>
      </c>
      <c r="Z221" s="26" t="s">
        <v>13</v>
      </c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spans="1:36" ht="15" customHeight="1">
      <c r="A222" s="25" t="str">
        <f t="shared" si="36"/>
        <v>VSG01C-23022E2.09</v>
      </c>
      <c r="B222" s="26">
        <v>100</v>
      </c>
      <c r="C222" s="26">
        <v>9</v>
      </c>
      <c r="D222" s="26" t="s">
        <v>246</v>
      </c>
      <c r="E222" s="29">
        <v>45313</v>
      </c>
      <c r="F222" s="30">
        <f t="shared" si="37"/>
        <v>22</v>
      </c>
      <c r="G222" s="26" t="s">
        <v>244</v>
      </c>
      <c r="H222" s="26" t="s">
        <v>63</v>
      </c>
      <c r="I222" s="26">
        <f t="shared" si="38"/>
        <v>1</v>
      </c>
      <c r="J222" s="40"/>
      <c r="K222" s="41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>
        <v>0.15</v>
      </c>
      <c r="W222" s="26"/>
      <c r="X222" s="28" t="s">
        <v>245</v>
      </c>
      <c r="Y222" s="26" t="s">
        <v>217</v>
      </c>
      <c r="Z222" s="26" t="s">
        <v>13</v>
      </c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spans="1:36" ht="15" customHeight="1">
      <c r="A223" s="25" t="str">
        <f t="shared" si="36"/>
        <v>VSG01C-23022E2.10</v>
      </c>
      <c r="B223" s="26">
        <v>100</v>
      </c>
      <c r="C223" s="26">
        <v>10</v>
      </c>
      <c r="D223" s="26" t="s">
        <v>246</v>
      </c>
      <c r="E223" s="29">
        <v>45313</v>
      </c>
      <c r="F223" s="30">
        <f t="shared" si="37"/>
        <v>22</v>
      </c>
      <c r="G223" s="26" t="s">
        <v>244</v>
      </c>
      <c r="H223" s="26" t="s">
        <v>63</v>
      </c>
      <c r="I223" s="26">
        <f t="shared" si="38"/>
        <v>1</v>
      </c>
      <c r="J223" s="40"/>
      <c r="K223" s="41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>
        <v>0.15</v>
      </c>
      <c r="W223" s="26"/>
      <c r="X223" s="28" t="s">
        <v>245</v>
      </c>
      <c r="Y223" s="26" t="s">
        <v>217</v>
      </c>
      <c r="Z223" s="26" t="s">
        <v>13</v>
      </c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spans="1:36" ht="15" customHeight="1">
      <c r="A224" s="25" t="str">
        <f t="shared" si="36"/>
        <v>VSG01C-23022E2.11</v>
      </c>
      <c r="B224" s="26">
        <v>100</v>
      </c>
      <c r="C224" s="26">
        <v>11</v>
      </c>
      <c r="D224" s="26" t="s">
        <v>246</v>
      </c>
      <c r="E224" s="29">
        <v>45313</v>
      </c>
      <c r="F224" s="30">
        <f t="shared" si="37"/>
        <v>22</v>
      </c>
      <c r="G224" s="26" t="s">
        <v>244</v>
      </c>
      <c r="H224" s="26" t="s">
        <v>63</v>
      </c>
      <c r="I224" s="26">
        <f t="shared" si="38"/>
        <v>1</v>
      </c>
      <c r="J224" s="40"/>
      <c r="K224" s="41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>
        <v>0.15</v>
      </c>
      <c r="W224" s="26"/>
      <c r="X224" s="28" t="s">
        <v>245</v>
      </c>
      <c r="Y224" s="26" t="s">
        <v>217</v>
      </c>
      <c r="Z224" s="26" t="s">
        <v>13</v>
      </c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spans="1:36" ht="15" customHeight="1">
      <c r="A225" s="25" t="str">
        <f>"VSG"&amp;TEXT(I225,"00")&amp;"C-"&amp;TEXT(BenchGDE!$E225,"yy")&amp;TEXT(F225,"000")&amp;Z225&amp;"2."&amp;TEXT((C225),"00")</f>
        <v>VSG01C-24026B2.01</v>
      </c>
      <c r="B225" s="26">
        <v>100</v>
      </c>
      <c r="C225" s="26">
        <v>1</v>
      </c>
      <c r="D225" s="26" t="s">
        <v>247</v>
      </c>
      <c r="E225" s="29">
        <v>45317</v>
      </c>
      <c r="F225" s="30">
        <f t="shared" si="37"/>
        <v>26</v>
      </c>
      <c r="G225" s="26" t="s">
        <v>244</v>
      </c>
      <c r="H225" s="26" t="s">
        <v>63</v>
      </c>
      <c r="I225" s="26">
        <v>1</v>
      </c>
      <c r="J225" s="40"/>
      <c r="K225" s="41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>
        <v>0.12</v>
      </c>
      <c r="W225" s="26"/>
      <c r="X225" s="28" t="s">
        <v>245</v>
      </c>
      <c r="Y225" s="26" t="s">
        <v>11</v>
      </c>
      <c r="Z225" s="26" t="s">
        <v>10</v>
      </c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spans="1:36" ht="15" customHeight="1">
      <c r="A226" s="25" t="str">
        <f>"VSG"&amp;TEXT(I226,"00")&amp;"C-"&amp;TEXT(BenchGDE!$E226,"yy")&amp;TEXT(F226,"000")&amp;Z226&amp;"2."&amp;TEXT((C226),"00")</f>
        <v>VSG01C-24026B2.02</v>
      </c>
      <c r="B226" s="26">
        <v>100</v>
      </c>
      <c r="C226" s="26">
        <v>2</v>
      </c>
      <c r="D226" s="26" t="s">
        <v>247</v>
      </c>
      <c r="E226" s="29">
        <v>45317</v>
      </c>
      <c r="F226" s="30">
        <f t="shared" si="37"/>
        <v>26</v>
      </c>
      <c r="G226" s="26" t="s">
        <v>244</v>
      </c>
      <c r="H226" s="26" t="s">
        <v>63</v>
      </c>
      <c r="I226" s="26">
        <v>1</v>
      </c>
      <c r="J226" s="40"/>
      <c r="K226" s="41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>
        <v>0.12</v>
      </c>
      <c r="W226" s="26"/>
      <c r="X226" s="28" t="s">
        <v>245</v>
      </c>
      <c r="Y226" s="26" t="s">
        <v>11</v>
      </c>
      <c r="Z226" s="26" t="s">
        <v>10</v>
      </c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spans="1:36" ht="15" customHeight="1">
      <c r="A227" s="25" t="str">
        <f>"VSG"&amp;TEXT(I227,"00")&amp;"C-"&amp;TEXT(BenchGDE!$E227,"yy")&amp;TEXT(F227,"000")&amp;Z227&amp;"2."&amp;TEXT((C227),"00")</f>
        <v>VSG01C-24026B2.03</v>
      </c>
      <c r="B227" s="26">
        <v>100</v>
      </c>
      <c r="C227" s="26">
        <v>3</v>
      </c>
      <c r="D227" s="26" t="s">
        <v>247</v>
      </c>
      <c r="E227" s="29">
        <v>45317</v>
      </c>
      <c r="F227" s="30">
        <f t="shared" si="37"/>
        <v>26</v>
      </c>
      <c r="G227" s="26" t="s">
        <v>244</v>
      </c>
      <c r="H227" s="26" t="s">
        <v>63</v>
      </c>
      <c r="I227" s="26">
        <v>1</v>
      </c>
      <c r="J227" s="40"/>
      <c r="K227" s="41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>
        <v>0.12</v>
      </c>
      <c r="W227" s="26"/>
      <c r="X227" s="28" t="s">
        <v>245</v>
      </c>
      <c r="Y227" s="26" t="s">
        <v>11</v>
      </c>
      <c r="Z227" s="26" t="s">
        <v>10</v>
      </c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spans="1:36" ht="15" customHeight="1">
      <c r="A228" s="25" t="str">
        <f>"VSG"&amp;TEXT(I228,"00")&amp;"C-"&amp;TEXT(BenchGDE!$E228,"yy")&amp;TEXT(F228,"000")&amp;Z228&amp;"2."&amp;TEXT((C228),"00")</f>
        <v>VSG01C-24026B2.04</v>
      </c>
      <c r="B228" s="26">
        <v>100</v>
      </c>
      <c r="C228" s="26">
        <v>4</v>
      </c>
      <c r="D228" s="26" t="s">
        <v>247</v>
      </c>
      <c r="E228" s="29">
        <v>45317</v>
      </c>
      <c r="F228" s="30">
        <f t="shared" si="37"/>
        <v>26</v>
      </c>
      <c r="G228" s="26" t="s">
        <v>244</v>
      </c>
      <c r="H228" s="26" t="s">
        <v>63</v>
      </c>
      <c r="I228" s="26">
        <v>1</v>
      </c>
      <c r="J228" s="40"/>
      <c r="K228" s="41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>
        <v>0.12</v>
      </c>
      <c r="W228" s="26"/>
      <c r="X228" s="28" t="s">
        <v>245</v>
      </c>
      <c r="Y228" s="26" t="s">
        <v>11</v>
      </c>
      <c r="Z228" s="26" t="s">
        <v>10</v>
      </c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spans="1:36" ht="15" customHeight="1">
      <c r="A229" s="25" t="str">
        <f>"VSG"&amp;TEXT(I229,"00")&amp;"C-"&amp;TEXT(BenchGDE!$E229,"yy")&amp;TEXT(F229,"000")&amp;Z229&amp;"2."&amp;TEXT((C229),"00")</f>
        <v>VSG01C-24026B2.05</v>
      </c>
      <c r="B229" s="26">
        <v>100</v>
      </c>
      <c r="C229" s="26">
        <v>5</v>
      </c>
      <c r="D229" s="26" t="s">
        <v>248</v>
      </c>
      <c r="E229" s="29">
        <v>45317</v>
      </c>
      <c r="F229" s="30">
        <f t="shared" si="37"/>
        <v>26</v>
      </c>
      <c r="G229" s="26" t="s">
        <v>244</v>
      </c>
      <c r="H229" s="26" t="s">
        <v>63</v>
      </c>
      <c r="I229" s="26">
        <f>IF(B229=100,1,(IF(B229=600,2,3)))</f>
        <v>1</v>
      </c>
      <c r="J229" s="40"/>
      <c r="K229" s="41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 t="s">
        <v>249</v>
      </c>
      <c r="W229" s="26"/>
      <c r="X229" s="28" t="s">
        <v>245</v>
      </c>
      <c r="Y229" s="26" t="s">
        <v>11</v>
      </c>
      <c r="Z229" s="26" t="s">
        <v>10</v>
      </c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spans="1:36" ht="15" customHeight="1">
      <c r="A230" s="25" t="str">
        <f>"VSG"&amp;TEXT(I230,"00")&amp;"C-"&amp;TEXT(BenchGDE!$E230,"yy")&amp;TEXT(F230,"000")&amp;Z230&amp;"2."&amp;TEXT((C230),"00")</f>
        <v>VSG01C-24026B2.06</v>
      </c>
      <c r="B230" s="26">
        <v>100</v>
      </c>
      <c r="C230" s="26">
        <v>6</v>
      </c>
      <c r="D230" s="26" t="s">
        <v>248</v>
      </c>
      <c r="E230" s="29">
        <v>45317</v>
      </c>
      <c r="F230" s="30">
        <v>26</v>
      </c>
      <c r="G230" s="26" t="s">
        <v>244</v>
      </c>
      <c r="H230" s="26" t="s">
        <v>63</v>
      </c>
      <c r="I230" s="26">
        <v>1</v>
      </c>
      <c r="J230" s="31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 t="s">
        <v>249</v>
      </c>
      <c r="W230" s="26"/>
      <c r="X230" s="28" t="s">
        <v>245</v>
      </c>
      <c r="Y230" s="26" t="s">
        <v>11</v>
      </c>
      <c r="Z230" s="26" t="s">
        <v>10</v>
      </c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spans="1:36" ht="15" customHeight="1">
      <c r="A231" s="25" t="str">
        <f>"VSG"&amp;TEXT(I231,"00")&amp;"C-"&amp;TEXT(BenchGDE!$E231,"yy")&amp;TEXT(F231,"000")&amp;Z231&amp;"2."&amp;TEXT((C231),"00")</f>
        <v>VSG01C-24026B2.07</v>
      </c>
      <c r="B231" s="26">
        <v>100</v>
      </c>
      <c r="C231" s="26">
        <v>7</v>
      </c>
      <c r="D231" s="26" t="s">
        <v>248</v>
      </c>
      <c r="E231" s="29">
        <v>45317</v>
      </c>
      <c r="F231" s="30">
        <v>26</v>
      </c>
      <c r="G231" s="26" t="s">
        <v>244</v>
      </c>
      <c r="H231" s="26" t="s">
        <v>63</v>
      </c>
      <c r="I231" s="26">
        <v>1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 t="s">
        <v>249</v>
      </c>
      <c r="W231" s="26"/>
      <c r="X231" s="28" t="s">
        <v>245</v>
      </c>
      <c r="Y231" s="26" t="s">
        <v>11</v>
      </c>
      <c r="Z231" s="26" t="s">
        <v>10</v>
      </c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spans="1:36" ht="15" customHeight="1">
      <c r="A232" s="25" t="str">
        <f>"VSG"&amp;TEXT(I232,"00")&amp;"C-"&amp;TEXT(BenchGDE!$E232,"yy")&amp;TEXT(F232,"000")&amp;Z232&amp;"2."&amp;TEXT((C232),"00")</f>
        <v>VSG01C-24026B2.08</v>
      </c>
      <c r="B232" s="26">
        <v>100</v>
      </c>
      <c r="C232" s="26">
        <v>8</v>
      </c>
      <c r="D232" s="26" t="s">
        <v>248</v>
      </c>
      <c r="E232" s="29">
        <v>45317</v>
      </c>
      <c r="F232" s="30">
        <v>26</v>
      </c>
      <c r="G232" s="26" t="s">
        <v>244</v>
      </c>
      <c r="H232" s="26" t="s">
        <v>63</v>
      </c>
      <c r="I232" s="26">
        <v>1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 t="s">
        <v>249</v>
      </c>
      <c r="W232" s="26"/>
      <c r="X232" s="28" t="s">
        <v>245</v>
      </c>
      <c r="Y232" s="26" t="s">
        <v>11</v>
      </c>
      <c r="Z232" s="26" t="s">
        <v>10</v>
      </c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spans="1:36" ht="15" customHeight="1">
      <c r="A233" s="25" t="str">
        <f>"VSG"&amp;TEXT(I233,"00")&amp;"C-"&amp;TEXT(BenchGDE!$E233,"yy")&amp;TEXT(F233,"000")&amp;Z233&amp;"2."&amp;TEXT((C233),"00")</f>
        <v>VSG01C-24046B2.01</v>
      </c>
      <c r="B233" s="26">
        <v>100</v>
      </c>
      <c r="C233" s="26">
        <v>1</v>
      </c>
      <c r="D233" s="26" t="s">
        <v>250</v>
      </c>
      <c r="E233" s="29">
        <v>45337</v>
      </c>
      <c r="F233" s="30">
        <f t="shared" ref="F233:F296" si="39">E233-DATE(YEAR(E233),1,0)</f>
        <v>46</v>
      </c>
      <c r="G233" s="26" t="s">
        <v>251</v>
      </c>
      <c r="H233" s="26" t="s">
        <v>63</v>
      </c>
      <c r="I233" s="26">
        <v>1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 t="s">
        <v>249</v>
      </c>
      <c r="W233" s="26"/>
      <c r="X233" s="28" t="s">
        <v>245</v>
      </c>
      <c r="Y233" s="26" t="s">
        <v>11</v>
      </c>
      <c r="Z233" s="26" t="s">
        <v>10</v>
      </c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spans="1:36" ht="15" customHeight="1">
      <c r="A234" s="25" t="str">
        <f>"VSG"&amp;TEXT(I234,"00")&amp;"C-"&amp;TEXT(BenchGDE!$E234,"yy")&amp;TEXT(F234,"000")&amp;Z234&amp;"2."&amp;TEXT((C234),"00")</f>
        <v>VSG01C-24046B2.02</v>
      </c>
      <c r="B234" s="26">
        <v>100</v>
      </c>
      <c r="C234" s="26">
        <v>2</v>
      </c>
      <c r="D234" s="50" t="s">
        <v>250</v>
      </c>
      <c r="E234" s="29">
        <v>45337</v>
      </c>
      <c r="F234" s="30">
        <f t="shared" si="39"/>
        <v>46</v>
      </c>
      <c r="G234" s="26" t="s">
        <v>251</v>
      </c>
      <c r="H234" s="26" t="s">
        <v>63</v>
      </c>
      <c r="I234" s="26">
        <v>1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 t="s">
        <v>249</v>
      </c>
      <c r="W234" s="26"/>
      <c r="X234" s="28" t="s">
        <v>245</v>
      </c>
      <c r="Y234" s="26" t="s">
        <v>11</v>
      </c>
      <c r="Z234" s="26" t="s">
        <v>10</v>
      </c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spans="1:36" ht="15" customHeight="1">
      <c r="A235" s="25" t="str">
        <f>"VSG"&amp;TEXT(I235,"00")&amp;"C-"&amp;TEXT(BenchGDE!$E235,"yy")&amp;TEXT(F235,"000")&amp;Z235&amp;"2."&amp;TEXT((C235),"00")</f>
        <v>VSG01C-24046B2.03</v>
      </c>
      <c r="B235" s="26">
        <v>100</v>
      </c>
      <c r="C235" s="26">
        <v>3</v>
      </c>
      <c r="D235" s="50" t="s">
        <v>250</v>
      </c>
      <c r="E235" s="29">
        <v>45337</v>
      </c>
      <c r="F235" s="30">
        <f t="shared" si="39"/>
        <v>46</v>
      </c>
      <c r="G235" s="26" t="s">
        <v>251</v>
      </c>
      <c r="H235" s="26" t="s">
        <v>63</v>
      </c>
      <c r="I235" s="26">
        <v>1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 t="s">
        <v>249</v>
      </c>
      <c r="W235" s="26"/>
      <c r="X235" s="28" t="s">
        <v>245</v>
      </c>
      <c r="Y235" s="26" t="s">
        <v>11</v>
      </c>
      <c r="Z235" s="26" t="s">
        <v>10</v>
      </c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spans="1:36" ht="15" customHeight="1">
      <c r="A236" s="25" t="str">
        <f>"VSG"&amp;TEXT(I236,"00")&amp;"C-"&amp;TEXT(BenchGDE!$E236,"yy")&amp;TEXT(F236,"000")&amp;Z236&amp;"2."&amp;TEXT((C236),"00")</f>
        <v>VSG01C-24046B2.04</v>
      </c>
      <c r="B236" s="26">
        <v>100</v>
      </c>
      <c r="C236" s="26">
        <v>4</v>
      </c>
      <c r="D236" s="50" t="s">
        <v>250</v>
      </c>
      <c r="E236" s="29">
        <v>45337</v>
      </c>
      <c r="F236" s="30">
        <f t="shared" si="39"/>
        <v>46</v>
      </c>
      <c r="G236" s="26" t="s">
        <v>251</v>
      </c>
      <c r="H236" s="26" t="s">
        <v>63</v>
      </c>
      <c r="I236" s="26">
        <v>1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 t="s">
        <v>249</v>
      </c>
      <c r="W236" s="26"/>
      <c r="X236" s="28" t="s">
        <v>245</v>
      </c>
      <c r="Y236" s="26" t="s">
        <v>11</v>
      </c>
      <c r="Z236" s="26" t="s">
        <v>10</v>
      </c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spans="1:36" ht="15" hidden="1" customHeight="1">
      <c r="A237" s="25" t="str">
        <f>"VSG"&amp;TEXT(I237,"00")&amp;"C-"&amp;TEXT(BenchGDE!$E237,"yy")&amp;TEXT(F237,"000")&amp;Z237&amp;"2."&amp;TEXT((C237),"00")</f>
        <v>VSG02C-24050E2.01</v>
      </c>
      <c r="B237" s="26">
        <v>600</v>
      </c>
      <c r="C237" s="26">
        <v>1</v>
      </c>
      <c r="D237" s="26" t="s">
        <v>252</v>
      </c>
      <c r="E237" s="29">
        <v>45341</v>
      </c>
      <c r="F237" s="30">
        <f t="shared" si="39"/>
        <v>50</v>
      </c>
      <c r="G237" s="26" t="s">
        <v>253</v>
      </c>
      <c r="H237" s="26" t="s">
        <v>63</v>
      </c>
      <c r="I237" s="26">
        <v>2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8" t="s">
        <v>245</v>
      </c>
      <c r="Y237" s="26" t="s">
        <v>14</v>
      </c>
      <c r="Z237" s="26" t="s">
        <v>13</v>
      </c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spans="1:36" ht="15" hidden="1" customHeight="1">
      <c r="A238" s="25" t="str">
        <f>"VSG"&amp;TEXT(I238,"00")&amp;"C-"&amp;TEXT(BenchGDE!$E238,"yy")&amp;TEXT(F238,"000")&amp;Z238&amp;"2."&amp;TEXT((C238),"00")</f>
        <v>VSG02C-24050E2.02</v>
      </c>
      <c r="B238" s="26">
        <v>600</v>
      </c>
      <c r="C238" s="26">
        <v>2</v>
      </c>
      <c r="D238" s="26" t="s">
        <v>254</v>
      </c>
      <c r="E238" s="29">
        <v>45341</v>
      </c>
      <c r="F238" s="30">
        <f t="shared" si="39"/>
        <v>50</v>
      </c>
      <c r="G238" s="26" t="s">
        <v>255</v>
      </c>
      <c r="H238" s="26" t="s">
        <v>63</v>
      </c>
      <c r="I238" s="26">
        <v>2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8" t="s">
        <v>245</v>
      </c>
      <c r="Y238" s="26" t="s">
        <v>14</v>
      </c>
      <c r="Z238" s="26" t="s">
        <v>13</v>
      </c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spans="1:36" ht="15" customHeight="1">
      <c r="A239" s="25" t="str">
        <f>"VSG"&amp;TEXT(I239,"00")&amp;"C-"&amp;TEXT(BenchGDE!$E239,"yy")&amp;TEXT(F239,"000")&amp;Z239&amp;"2."&amp;TEXT((C239),"00")</f>
        <v>VSG01C-24050F2.01</v>
      </c>
      <c r="B239" s="26">
        <v>100</v>
      </c>
      <c r="C239" s="26">
        <v>1</v>
      </c>
      <c r="D239" s="26" t="s">
        <v>252</v>
      </c>
      <c r="E239" s="29">
        <v>45341</v>
      </c>
      <c r="F239" s="30">
        <f t="shared" si="39"/>
        <v>50</v>
      </c>
      <c r="G239" s="26" t="s">
        <v>256</v>
      </c>
      <c r="H239" s="26" t="s">
        <v>63</v>
      </c>
      <c r="I239" s="26">
        <v>1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49"/>
      <c r="T239" s="49"/>
      <c r="U239" s="49"/>
      <c r="V239" s="49">
        <v>0.13</v>
      </c>
      <c r="W239" s="49"/>
      <c r="X239" s="28" t="s">
        <v>257</v>
      </c>
      <c r="Y239" s="26" t="s">
        <v>17</v>
      </c>
      <c r="Z239" s="26" t="s">
        <v>16</v>
      </c>
      <c r="AA239" s="26"/>
      <c r="AB239" s="26"/>
      <c r="AC239" s="26"/>
      <c r="AD239" s="26"/>
      <c r="AE239" s="26" t="s">
        <v>258</v>
      </c>
      <c r="AF239" s="26"/>
      <c r="AG239" s="26"/>
      <c r="AH239" s="26"/>
      <c r="AI239" s="26"/>
      <c r="AJ239" s="26"/>
    </row>
    <row r="240" spans="1:36" ht="15" customHeight="1">
      <c r="A240" s="25" t="str">
        <f>"VSG"&amp;TEXT(I240,"00")&amp;"C-"&amp;TEXT(BenchGDE!$E240,"yy")&amp;TEXT(F240,"000")&amp;Z240&amp;"2."&amp;TEXT((C240),"00")</f>
        <v>VSG01C-24050F2.02</v>
      </c>
      <c r="B240" s="26">
        <v>100</v>
      </c>
      <c r="C240" s="26">
        <v>2</v>
      </c>
      <c r="D240" s="26" t="s">
        <v>254</v>
      </c>
      <c r="E240" s="29">
        <v>45341</v>
      </c>
      <c r="F240" s="30">
        <f t="shared" si="39"/>
        <v>50</v>
      </c>
      <c r="G240" s="26" t="s">
        <v>256</v>
      </c>
      <c r="H240" s="26" t="s">
        <v>63</v>
      </c>
      <c r="I240" s="26">
        <v>1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49"/>
      <c r="T240" s="49"/>
      <c r="U240" s="49"/>
      <c r="V240" s="49">
        <v>0.12</v>
      </c>
      <c r="W240" s="49"/>
      <c r="X240" s="28" t="s">
        <v>257</v>
      </c>
      <c r="Y240" s="26" t="s">
        <v>17</v>
      </c>
      <c r="Z240" s="26" t="s">
        <v>16</v>
      </c>
      <c r="AA240" s="26"/>
      <c r="AB240" s="26"/>
      <c r="AC240" s="26"/>
      <c r="AD240" s="26"/>
      <c r="AE240" s="26" t="s">
        <v>258</v>
      </c>
      <c r="AF240" s="26"/>
      <c r="AG240" s="26"/>
      <c r="AH240" s="26"/>
      <c r="AI240" s="26"/>
      <c r="AJ240" s="26"/>
    </row>
    <row r="241" spans="1:36" ht="15" hidden="1" customHeight="1">
      <c r="A241" s="25" t="str">
        <f>"VSG"&amp;TEXT(I241,"00")&amp;"C-"&amp;TEXT(BenchGDE!$E241,"yy")&amp;TEXT(F241,"000")&amp;Z241&amp;"2."&amp;TEXT((C241),"00")</f>
        <v>VSG02C-24054B2.01</v>
      </c>
      <c r="B241" s="26">
        <v>600</v>
      </c>
      <c r="C241" s="26">
        <v>1</v>
      </c>
      <c r="D241" s="26" t="s">
        <v>259</v>
      </c>
      <c r="E241" s="29">
        <v>45345</v>
      </c>
      <c r="F241" s="30">
        <f t="shared" si="39"/>
        <v>54</v>
      </c>
      <c r="G241" s="26" t="s">
        <v>260</v>
      </c>
      <c r="H241" s="26" t="s">
        <v>63</v>
      </c>
      <c r="I241" s="26">
        <v>2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>
        <v>0.126</v>
      </c>
      <c r="W241" s="26"/>
      <c r="X241" s="28" t="s">
        <v>245</v>
      </c>
      <c r="Y241" s="26" t="s">
        <v>11</v>
      </c>
      <c r="Z241" s="26" t="s">
        <v>10</v>
      </c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spans="1:36" ht="15" hidden="1" customHeight="1">
      <c r="A242" s="25" t="str">
        <f>"VSG"&amp;TEXT(I242,"00")&amp;"C-"&amp;TEXT(BenchGDE!$E242,"yy")&amp;TEXT(F242,"000")&amp;Z242&amp;"2."&amp;TEXT((C242),"00")</f>
        <v>VSG02C-24054B2.04</v>
      </c>
      <c r="B242" s="26">
        <v>600</v>
      </c>
      <c r="C242" s="26">
        <v>4</v>
      </c>
      <c r="D242" s="26" t="s">
        <v>261</v>
      </c>
      <c r="E242" s="29">
        <v>45345</v>
      </c>
      <c r="F242" s="30">
        <f t="shared" si="39"/>
        <v>54</v>
      </c>
      <c r="G242" s="26" t="s">
        <v>260</v>
      </c>
      <c r="H242" s="26" t="s">
        <v>63</v>
      </c>
      <c r="I242" s="26">
        <v>2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>
        <v>0.1</v>
      </c>
      <c r="W242" s="26"/>
      <c r="X242" s="28" t="s">
        <v>245</v>
      </c>
      <c r="Y242" s="26" t="s">
        <v>11</v>
      </c>
      <c r="Z242" s="26" t="s">
        <v>10</v>
      </c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spans="1:36" ht="15" hidden="1" customHeight="1">
      <c r="A243" s="25" t="str">
        <f>"VSG"&amp;TEXT(I243,"00")&amp;"C-"&amp;TEXT(BenchGDE!$E243,"yy")&amp;TEXT(F243,"000")&amp;Z243&amp;"2."&amp;TEXT((C243),"00")</f>
        <v>VSG02C-24054B2.05</v>
      </c>
      <c r="B243" s="26">
        <v>600</v>
      </c>
      <c r="C243" s="26">
        <v>5</v>
      </c>
      <c r="D243" s="26" t="s">
        <v>262</v>
      </c>
      <c r="E243" s="29">
        <v>45345</v>
      </c>
      <c r="F243" s="30">
        <f t="shared" si="39"/>
        <v>54</v>
      </c>
      <c r="G243" s="26" t="s">
        <v>260</v>
      </c>
      <c r="H243" s="26" t="s">
        <v>63</v>
      </c>
      <c r="I243" s="26">
        <v>2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>
        <v>0.1</v>
      </c>
      <c r="W243" s="26"/>
      <c r="X243" s="28" t="s">
        <v>245</v>
      </c>
      <c r="Y243" s="26" t="s">
        <v>11</v>
      </c>
      <c r="Z243" s="26" t="s">
        <v>10</v>
      </c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spans="1:36" ht="15" hidden="1" customHeight="1">
      <c r="A244" s="25" t="str">
        <f>"VSG"&amp;TEXT(I244,"00")&amp;"C-"&amp;TEXT(BenchGDE!$E244,"yy")&amp;TEXT(F244,"000")&amp;Z244&amp;"2."&amp;TEXT((C244),"00")</f>
        <v>VSG02C-24054B2.06</v>
      </c>
      <c r="B244" s="26">
        <v>600</v>
      </c>
      <c r="C244" s="26">
        <v>6</v>
      </c>
      <c r="D244" s="26" t="s">
        <v>263</v>
      </c>
      <c r="E244" s="29">
        <v>45345</v>
      </c>
      <c r="F244" s="30">
        <f t="shared" si="39"/>
        <v>54</v>
      </c>
      <c r="G244" s="26" t="s">
        <v>260</v>
      </c>
      <c r="H244" s="26" t="s">
        <v>63</v>
      </c>
      <c r="I244" s="26">
        <v>2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>
        <v>0.127</v>
      </c>
      <c r="W244" s="26"/>
      <c r="X244" s="28" t="s">
        <v>245</v>
      </c>
      <c r="Y244" s="26" t="s">
        <v>11</v>
      </c>
      <c r="Z244" s="26" t="s">
        <v>10</v>
      </c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spans="1:36" ht="15" hidden="1" customHeight="1">
      <c r="A245" s="25" t="str">
        <f>"VSG"&amp;TEXT(I245,"00")&amp;"C-"&amp;TEXT(BenchGDE!$E245,"yy")&amp;TEXT(F245,"000")&amp;Z245&amp;"2."&amp;TEXT((C245),"00")</f>
        <v>VSG02C-24054B2.07</v>
      </c>
      <c r="B245" s="26">
        <v>600</v>
      </c>
      <c r="C245" s="26">
        <v>7</v>
      </c>
      <c r="D245" s="26" t="s">
        <v>264</v>
      </c>
      <c r="E245" s="29">
        <v>45345</v>
      </c>
      <c r="F245" s="30">
        <f t="shared" si="39"/>
        <v>54</v>
      </c>
      <c r="G245" s="26" t="s">
        <v>260</v>
      </c>
      <c r="H245" s="26" t="s">
        <v>63</v>
      </c>
      <c r="I245" s="26">
        <v>2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>
        <v>0.14399999999999999</v>
      </c>
      <c r="W245" s="26"/>
      <c r="X245" s="28" t="s">
        <v>245</v>
      </c>
      <c r="Y245" s="26" t="s">
        <v>11</v>
      </c>
      <c r="Z245" s="26" t="s">
        <v>10</v>
      </c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spans="1:36" s="64" customFormat="1" ht="15" hidden="1" customHeight="1">
      <c r="A246" s="58" t="str">
        <f>"VSG"&amp;TEXT(I246,"00")&amp;"C-"&amp;TEXT(BenchGDE!$E246,"yy")&amp;TEXT(F246,"000")&amp;Z246&amp;"2."&amp;TEXT((C246),"00")</f>
        <v>VSG02C-24064F2.01</v>
      </c>
      <c r="B246" s="59">
        <v>600</v>
      </c>
      <c r="C246" s="59">
        <v>1</v>
      </c>
      <c r="D246" s="59" t="s">
        <v>265</v>
      </c>
      <c r="E246" s="60">
        <v>45355</v>
      </c>
      <c r="F246" s="61">
        <f t="shared" si="39"/>
        <v>64</v>
      </c>
      <c r="G246" s="59" t="s">
        <v>266</v>
      </c>
      <c r="H246" s="59" t="s">
        <v>63</v>
      </c>
      <c r="I246" s="59">
        <v>2</v>
      </c>
      <c r="J246" s="59"/>
      <c r="K246" s="59"/>
      <c r="L246" s="59"/>
      <c r="M246" s="59"/>
      <c r="N246" s="59"/>
      <c r="O246" s="59"/>
      <c r="P246" s="59"/>
      <c r="Q246" s="59"/>
      <c r="R246" s="59"/>
      <c r="S246" s="62"/>
      <c r="T246" s="62"/>
      <c r="U246" s="62">
        <v>0.20724999999999999</v>
      </c>
      <c r="V246" s="62">
        <v>0.115</v>
      </c>
      <c r="W246" s="62"/>
      <c r="X246" s="63" t="s">
        <v>245</v>
      </c>
      <c r="Y246" s="59" t="s">
        <v>11</v>
      </c>
      <c r="Z246" s="59" t="s">
        <v>16</v>
      </c>
      <c r="AA246" s="59"/>
      <c r="AB246" s="59"/>
      <c r="AC246" s="59"/>
      <c r="AD246" s="59"/>
      <c r="AE246" s="59" t="s">
        <v>258</v>
      </c>
      <c r="AF246" s="59"/>
      <c r="AG246" s="59"/>
      <c r="AH246" s="59"/>
      <c r="AI246" s="59"/>
      <c r="AJ246" s="59"/>
    </row>
    <row r="247" spans="1:36" s="64" customFormat="1" ht="15" hidden="1" customHeight="1">
      <c r="A247" s="58" t="str">
        <f>"VSG"&amp;TEXT(I247,"00")&amp;"C-"&amp;TEXT(BenchGDE!$E247,"yy")&amp;TEXT(F247,"000")&amp;Z247&amp;"2."&amp;TEXT((C247),"00")</f>
        <v>VSG02C-24064F2.02</v>
      </c>
      <c r="B247" s="59">
        <v>600</v>
      </c>
      <c r="C247" s="59">
        <v>2</v>
      </c>
      <c r="D247" s="59" t="s">
        <v>267</v>
      </c>
      <c r="E247" s="60">
        <v>45355</v>
      </c>
      <c r="F247" s="61">
        <f t="shared" si="39"/>
        <v>64</v>
      </c>
      <c r="G247" s="59" t="s">
        <v>266</v>
      </c>
      <c r="H247" s="59" t="s">
        <v>63</v>
      </c>
      <c r="I247" s="59">
        <v>2</v>
      </c>
      <c r="J247" s="59"/>
      <c r="K247" s="59"/>
      <c r="L247" s="59"/>
      <c r="M247" s="59"/>
      <c r="N247" s="59"/>
      <c r="O247" s="59"/>
      <c r="P247" s="59"/>
      <c r="Q247" s="59"/>
      <c r="R247" s="59"/>
      <c r="S247" s="62"/>
      <c r="T247" s="62"/>
      <c r="U247" s="62">
        <v>0.20224999999999999</v>
      </c>
      <c r="V247" s="62">
        <v>0.115</v>
      </c>
      <c r="W247" s="62"/>
      <c r="X247" s="63" t="s">
        <v>245</v>
      </c>
      <c r="Y247" s="59" t="s">
        <v>11</v>
      </c>
      <c r="Z247" s="59" t="s">
        <v>16</v>
      </c>
      <c r="AA247" s="59"/>
      <c r="AB247" s="59"/>
      <c r="AC247" s="59"/>
      <c r="AD247" s="59"/>
      <c r="AE247" s="59" t="s">
        <v>258</v>
      </c>
      <c r="AF247" s="59"/>
      <c r="AG247" s="59"/>
      <c r="AH247" s="59"/>
      <c r="AI247" s="59"/>
      <c r="AJ247" s="59"/>
    </row>
    <row r="248" spans="1:36" s="64" customFormat="1" ht="15" hidden="1" customHeight="1">
      <c r="A248" s="58" t="str">
        <f>"VSG"&amp;TEXT(I248,"00")&amp;"C-"&amp;TEXT(BenchGDE!$E248,"yy")&amp;TEXT(F248,"000")&amp;Z248&amp;"2."&amp;TEXT((C248),"00")</f>
        <v>VSG02C-24064F2.03</v>
      </c>
      <c r="B248" s="59">
        <v>600</v>
      </c>
      <c r="C248" s="59">
        <v>3</v>
      </c>
      <c r="D248" s="59" t="s">
        <v>268</v>
      </c>
      <c r="E248" s="60">
        <v>45355</v>
      </c>
      <c r="F248" s="61">
        <f t="shared" si="39"/>
        <v>64</v>
      </c>
      <c r="G248" s="59" t="s">
        <v>266</v>
      </c>
      <c r="H248" s="59" t="s">
        <v>63</v>
      </c>
      <c r="I248" s="59">
        <v>2</v>
      </c>
      <c r="J248" s="59"/>
      <c r="K248" s="59"/>
      <c r="L248" s="59"/>
      <c r="M248" s="59"/>
      <c r="N248" s="59"/>
      <c r="O248" s="59"/>
      <c r="P248" s="59"/>
      <c r="Q248" s="59"/>
      <c r="R248" s="59"/>
      <c r="S248" s="62"/>
      <c r="T248" s="62"/>
      <c r="U248" s="62">
        <v>0.20624999999999999</v>
      </c>
      <c r="V248" s="62">
        <v>0.13400000000000001</v>
      </c>
      <c r="W248" s="62"/>
      <c r="X248" s="63" t="s">
        <v>245</v>
      </c>
      <c r="Y248" s="59" t="s">
        <v>11</v>
      </c>
      <c r="Z248" s="59" t="s">
        <v>16</v>
      </c>
      <c r="AA248" s="59"/>
      <c r="AB248" s="59"/>
      <c r="AC248" s="59"/>
      <c r="AD248" s="59"/>
      <c r="AE248" s="59" t="s">
        <v>258</v>
      </c>
      <c r="AF248" s="59"/>
      <c r="AG248" s="59"/>
      <c r="AH248" s="59"/>
      <c r="AI248" s="59"/>
      <c r="AJ248" s="59"/>
    </row>
    <row r="249" spans="1:36" s="64" customFormat="1" ht="15" hidden="1" customHeight="1">
      <c r="A249" s="58" t="str">
        <f>"VSG"&amp;TEXT(I249,"00")&amp;"C-"&amp;TEXT(BenchGDE!$E249,"yy")&amp;TEXT(F249,"000")&amp;Z249&amp;"2."&amp;TEXT((C249),"00")</f>
        <v>VSG02C-24064F2.04</v>
      </c>
      <c r="B249" s="59">
        <v>600</v>
      </c>
      <c r="C249" s="59">
        <v>4</v>
      </c>
      <c r="D249" s="59" t="s">
        <v>269</v>
      </c>
      <c r="E249" s="60">
        <v>45355</v>
      </c>
      <c r="F249" s="61">
        <f t="shared" si="39"/>
        <v>64</v>
      </c>
      <c r="G249" s="59" t="s">
        <v>266</v>
      </c>
      <c r="H249" s="59" t="s">
        <v>63</v>
      </c>
      <c r="I249" s="59">
        <v>2</v>
      </c>
      <c r="J249" s="59"/>
      <c r="K249" s="59"/>
      <c r="L249" s="59"/>
      <c r="M249" s="59"/>
      <c r="N249" s="59"/>
      <c r="O249" s="59"/>
      <c r="P249" s="59"/>
      <c r="Q249" s="59"/>
      <c r="R249" s="59"/>
      <c r="S249" s="62"/>
      <c r="T249" s="62"/>
      <c r="U249" s="62">
        <v>0.19450000000000001</v>
      </c>
      <c r="V249" s="62">
        <v>0.14399999999999999</v>
      </c>
      <c r="W249" s="62"/>
      <c r="X249" s="63" t="s">
        <v>245</v>
      </c>
      <c r="Y249" s="59" t="s">
        <v>11</v>
      </c>
      <c r="Z249" s="59" t="s">
        <v>16</v>
      </c>
      <c r="AA249" s="59"/>
      <c r="AB249" s="59"/>
      <c r="AC249" s="59"/>
      <c r="AD249" s="59"/>
      <c r="AE249" s="59" t="s">
        <v>258</v>
      </c>
      <c r="AF249" s="59"/>
      <c r="AG249" s="59"/>
      <c r="AH249" s="59"/>
      <c r="AI249" s="59"/>
      <c r="AJ249" s="59"/>
    </row>
    <row r="250" spans="1:36" s="64" customFormat="1" ht="15" hidden="1" customHeight="1">
      <c r="A250" s="58" t="str">
        <f>"VSG"&amp;TEXT(I250,"00")&amp;"C-"&amp;TEXT(BenchGDE!$E250,"yy")&amp;TEXT(F250,"000")&amp;Z250&amp;"2."&amp;TEXT((C250),"00")</f>
        <v>VSG02C-24064F2.05</v>
      </c>
      <c r="B250" s="59">
        <v>600</v>
      </c>
      <c r="C250" s="59">
        <v>5</v>
      </c>
      <c r="D250" s="59" t="s">
        <v>270</v>
      </c>
      <c r="E250" s="60">
        <v>45355</v>
      </c>
      <c r="F250" s="61">
        <f t="shared" si="39"/>
        <v>64</v>
      </c>
      <c r="G250" s="59" t="s">
        <v>266</v>
      </c>
      <c r="H250" s="59" t="s">
        <v>63</v>
      </c>
      <c r="I250" s="59">
        <v>2</v>
      </c>
      <c r="J250" s="59"/>
      <c r="K250" s="59"/>
      <c r="L250" s="59"/>
      <c r="M250" s="59"/>
      <c r="N250" s="59"/>
      <c r="O250" s="59"/>
      <c r="P250" s="59"/>
      <c r="Q250" s="59"/>
      <c r="R250" s="59"/>
      <c r="S250" s="62"/>
      <c r="T250" s="62"/>
      <c r="U250" s="62">
        <v>0.1925</v>
      </c>
      <c r="V250" s="62">
        <v>0.16</v>
      </c>
      <c r="W250" s="62"/>
      <c r="X250" s="63" t="s">
        <v>245</v>
      </c>
      <c r="Y250" s="59" t="s">
        <v>11</v>
      </c>
      <c r="Z250" s="59" t="s">
        <v>16</v>
      </c>
      <c r="AA250" s="59"/>
      <c r="AB250" s="59"/>
      <c r="AC250" s="59"/>
      <c r="AD250" s="59"/>
      <c r="AE250" s="59" t="s">
        <v>258</v>
      </c>
      <c r="AF250" s="59"/>
      <c r="AG250" s="59"/>
      <c r="AH250" s="59"/>
      <c r="AI250" s="59"/>
      <c r="AJ250" s="59"/>
    </row>
    <row r="251" spans="1:36" s="64" customFormat="1" ht="15" hidden="1" customHeight="1">
      <c r="A251" s="58" t="str">
        <f>"VSG"&amp;TEXT(I251,"00")&amp;"C-"&amp;TEXT(BenchGDE!$E251,"yy")&amp;TEXT(F251,"000")&amp;Z251&amp;"2."&amp;TEXT((C251),"00")</f>
        <v>VSG02C-24064F2.06</v>
      </c>
      <c r="B251" s="59">
        <v>600</v>
      </c>
      <c r="C251" s="59">
        <v>6</v>
      </c>
      <c r="D251" s="59" t="s">
        <v>271</v>
      </c>
      <c r="E251" s="60">
        <v>45355</v>
      </c>
      <c r="F251" s="61">
        <f t="shared" si="39"/>
        <v>64</v>
      </c>
      <c r="G251" s="59" t="s">
        <v>266</v>
      </c>
      <c r="H251" s="59" t="s">
        <v>63</v>
      </c>
      <c r="I251" s="59">
        <v>2</v>
      </c>
      <c r="J251" s="59"/>
      <c r="K251" s="59"/>
      <c r="L251" s="59"/>
      <c r="M251" s="59"/>
      <c r="N251" s="59"/>
      <c r="O251" s="59"/>
      <c r="P251" s="59"/>
      <c r="Q251" s="59"/>
      <c r="R251" s="59"/>
      <c r="S251" s="62"/>
      <c r="T251" s="62"/>
      <c r="U251" s="62">
        <v>0.21099999999999999</v>
      </c>
      <c r="V251" s="62">
        <v>0.125</v>
      </c>
      <c r="W251" s="62"/>
      <c r="X251" s="63" t="s">
        <v>245</v>
      </c>
      <c r="Y251" s="59" t="s">
        <v>11</v>
      </c>
      <c r="Z251" s="59" t="s">
        <v>16</v>
      </c>
      <c r="AA251" s="59"/>
      <c r="AB251" s="59"/>
      <c r="AC251" s="59"/>
      <c r="AD251" s="59"/>
      <c r="AE251" s="59" t="s">
        <v>258</v>
      </c>
      <c r="AF251" s="59"/>
      <c r="AG251" s="59"/>
      <c r="AH251" s="59"/>
      <c r="AI251" s="59"/>
      <c r="AJ251" s="59"/>
    </row>
    <row r="252" spans="1:36" s="64" customFormat="1" ht="15" hidden="1" customHeight="1">
      <c r="A252" s="58" t="str">
        <f>"VSG"&amp;TEXT(I252,"00")&amp;"C-"&amp;TEXT(BenchGDE!$E252,"yy")&amp;TEXT(F252,"000")&amp;Z252&amp;"2."&amp;TEXT((C252),"00")</f>
        <v>VSG02C-24064F2.07</v>
      </c>
      <c r="B252" s="59">
        <v>600</v>
      </c>
      <c r="C252" s="59">
        <v>7</v>
      </c>
      <c r="D252" s="59" t="s">
        <v>272</v>
      </c>
      <c r="E252" s="60">
        <v>45355</v>
      </c>
      <c r="F252" s="61">
        <f t="shared" si="39"/>
        <v>64</v>
      </c>
      <c r="G252" s="59" t="s">
        <v>266</v>
      </c>
      <c r="H252" s="59" t="s">
        <v>63</v>
      </c>
      <c r="I252" s="59">
        <v>2</v>
      </c>
      <c r="J252" s="59"/>
      <c r="K252" s="59"/>
      <c r="L252" s="59"/>
      <c r="M252" s="59"/>
      <c r="N252" s="59"/>
      <c r="O252" s="59"/>
      <c r="P252" s="59"/>
      <c r="Q252" s="59"/>
      <c r="R252" s="59"/>
      <c r="S252" s="62"/>
      <c r="T252" s="62"/>
      <c r="U252" s="62">
        <v>0.23549999999999999</v>
      </c>
      <c r="V252" s="62">
        <v>0.15</v>
      </c>
      <c r="W252" s="62"/>
      <c r="X252" s="63" t="s">
        <v>245</v>
      </c>
      <c r="Y252" s="59" t="s">
        <v>11</v>
      </c>
      <c r="Z252" s="59" t="s">
        <v>16</v>
      </c>
      <c r="AA252" s="59"/>
      <c r="AB252" s="59"/>
      <c r="AC252" s="59"/>
      <c r="AD252" s="59"/>
      <c r="AE252" s="59" t="s">
        <v>258</v>
      </c>
      <c r="AF252" s="59"/>
      <c r="AG252" s="59"/>
      <c r="AH252" s="59"/>
      <c r="AI252" s="59"/>
      <c r="AJ252" s="59"/>
    </row>
    <row r="253" spans="1:36" s="64" customFormat="1" ht="15" hidden="1" customHeight="1">
      <c r="A253" s="58" t="str">
        <f>"VSG"&amp;TEXT(I253,"00")&amp;"C-"&amp;TEXT(BenchGDE!$E253,"yy")&amp;TEXT(F253,"000")&amp;Z253&amp;"2."&amp;TEXT((C253),"00")</f>
        <v>VSG02C-24064F2.08</v>
      </c>
      <c r="B253" s="59">
        <v>600</v>
      </c>
      <c r="C253" s="59">
        <v>8</v>
      </c>
      <c r="D253" s="59" t="s">
        <v>273</v>
      </c>
      <c r="E253" s="60">
        <v>45355</v>
      </c>
      <c r="F253" s="61">
        <f t="shared" si="39"/>
        <v>64</v>
      </c>
      <c r="G253" s="59" t="s">
        <v>266</v>
      </c>
      <c r="H253" s="59" t="s">
        <v>63</v>
      </c>
      <c r="I253" s="59">
        <v>2</v>
      </c>
      <c r="J253" s="59"/>
      <c r="K253" s="59"/>
      <c r="L253" s="59"/>
      <c r="M253" s="59"/>
      <c r="N253" s="59"/>
      <c r="O253" s="59"/>
      <c r="P253" s="59"/>
      <c r="Q253" s="59"/>
      <c r="R253" s="59"/>
      <c r="S253" s="62"/>
      <c r="T253" s="62"/>
      <c r="U253" s="62">
        <v>0.20249999999999999</v>
      </c>
      <c r="V253" s="62">
        <v>0.115</v>
      </c>
      <c r="W253" s="62"/>
      <c r="X253" s="63" t="s">
        <v>245</v>
      </c>
      <c r="Y253" s="59" t="s">
        <v>11</v>
      </c>
      <c r="Z253" s="59" t="s">
        <v>16</v>
      </c>
      <c r="AA253" s="59"/>
      <c r="AB253" s="59"/>
      <c r="AC253" s="59"/>
      <c r="AD253" s="59"/>
      <c r="AE253" s="59" t="s">
        <v>258</v>
      </c>
      <c r="AF253" s="59"/>
      <c r="AG253" s="59"/>
      <c r="AH253" s="59"/>
      <c r="AI253" s="59"/>
      <c r="AJ253" s="59"/>
    </row>
    <row r="254" spans="1:36" s="64" customFormat="1" ht="15" hidden="1" customHeight="1">
      <c r="A254" s="58" t="str">
        <f>"VSG"&amp;TEXT(I254,"00")&amp;"C-"&amp;TEXT(BenchGDE!$E254,"yy")&amp;TEXT(F254,"000")&amp;Z254&amp;"2."&amp;TEXT((C254),"00")</f>
        <v>VSG02C-24064F2.09</v>
      </c>
      <c r="B254" s="59">
        <v>600</v>
      </c>
      <c r="C254" s="59">
        <v>9</v>
      </c>
      <c r="D254" s="59" t="s">
        <v>274</v>
      </c>
      <c r="E254" s="60">
        <v>45355</v>
      </c>
      <c r="F254" s="61">
        <f t="shared" si="39"/>
        <v>64</v>
      </c>
      <c r="G254" s="59" t="s">
        <v>266</v>
      </c>
      <c r="H254" s="59" t="s">
        <v>63</v>
      </c>
      <c r="I254" s="59">
        <v>2</v>
      </c>
      <c r="J254" s="59"/>
      <c r="K254" s="59"/>
      <c r="L254" s="59"/>
      <c r="M254" s="59"/>
      <c r="N254" s="59"/>
      <c r="O254" s="59"/>
      <c r="P254" s="59"/>
      <c r="Q254" s="59"/>
      <c r="R254" s="59"/>
      <c r="S254" s="62"/>
      <c r="T254" s="62"/>
      <c r="U254" s="62">
        <v>0.2205</v>
      </c>
      <c r="V254" s="62">
        <v>0.15</v>
      </c>
      <c r="W254" s="62"/>
      <c r="X254" s="63" t="s">
        <v>245</v>
      </c>
      <c r="Y254" s="59" t="s">
        <v>11</v>
      </c>
      <c r="Z254" s="59" t="s">
        <v>16</v>
      </c>
      <c r="AA254" s="59"/>
      <c r="AB254" s="59"/>
      <c r="AC254" s="59"/>
      <c r="AD254" s="59"/>
      <c r="AE254" s="59" t="s">
        <v>258</v>
      </c>
      <c r="AF254" s="59"/>
      <c r="AG254" s="59"/>
      <c r="AH254" s="59"/>
      <c r="AI254" s="59"/>
      <c r="AJ254" s="59"/>
    </row>
    <row r="255" spans="1:36" s="64" customFormat="1" ht="15" hidden="1" customHeight="1">
      <c r="A255" s="58" t="str">
        <f>"VSG"&amp;TEXT(I255,"00")&amp;"C-"&amp;TEXT(BenchGDE!$E255,"yy")&amp;TEXT(F255,"000")&amp;Z255&amp;"2."&amp;TEXT((C255),"00")</f>
        <v>VSG02C-24064F2.10</v>
      </c>
      <c r="B255" s="59">
        <v>600</v>
      </c>
      <c r="C255" s="59">
        <v>10</v>
      </c>
      <c r="D255" s="59" t="s">
        <v>275</v>
      </c>
      <c r="E255" s="60">
        <v>45355</v>
      </c>
      <c r="F255" s="61">
        <f t="shared" si="39"/>
        <v>64</v>
      </c>
      <c r="G255" s="59" t="s">
        <v>266</v>
      </c>
      <c r="H255" s="59" t="s">
        <v>63</v>
      </c>
      <c r="I255" s="59">
        <v>2</v>
      </c>
      <c r="J255" s="59"/>
      <c r="K255" s="59"/>
      <c r="L255" s="59"/>
      <c r="M255" s="59"/>
      <c r="N255" s="59"/>
      <c r="O255" s="59"/>
      <c r="P255" s="59"/>
      <c r="Q255" s="59"/>
      <c r="R255" s="59"/>
      <c r="S255" s="62"/>
      <c r="T255" s="62"/>
      <c r="U255" s="62">
        <v>0.20124999999999998</v>
      </c>
      <c r="V255" s="62">
        <v>0.115</v>
      </c>
      <c r="W255" s="62"/>
      <c r="X255" s="63" t="s">
        <v>245</v>
      </c>
      <c r="Y255" s="59" t="s">
        <v>11</v>
      </c>
      <c r="Z255" s="59" t="s">
        <v>16</v>
      </c>
      <c r="AA255" s="59"/>
      <c r="AB255" s="59"/>
      <c r="AC255" s="59"/>
      <c r="AD255" s="59"/>
      <c r="AE255" s="59" t="s">
        <v>258</v>
      </c>
      <c r="AF255" s="59"/>
      <c r="AG255" s="59"/>
      <c r="AH255" s="59"/>
      <c r="AI255" s="59"/>
      <c r="AJ255" s="59"/>
    </row>
    <row r="256" spans="1:36" s="64" customFormat="1" ht="15" hidden="1" customHeight="1">
      <c r="A256" s="58" t="str">
        <f>"VSG"&amp;TEXT(I256,"00")&amp;"C-"&amp;TEXT(BenchGDE!$E256,"yy")&amp;TEXT(F256,"000")&amp;Z256&amp;"2."&amp;TEXT((C256),"00")</f>
        <v>VSG02C-24064F2.11</v>
      </c>
      <c r="B256" s="59">
        <v>600</v>
      </c>
      <c r="C256" s="59">
        <v>11</v>
      </c>
      <c r="D256" s="59" t="s">
        <v>276</v>
      </c>
      <c r="E256" s="60">
        <v>45355</v>
      </c>
      <c r="F256" s="61">
        <f t="shared" si="39"/>
        <v>64</v>
      </c>
      <c r="G256" s="59" t="s">
        <v>266</v>
      </c>
      <c r="H256" s="59" t="s">
        <v>63</v>
      </c>
      <c r="I256" s="59">
        <v>2</v>
      </c>
      <c r="J256" s="59"/>
      <c r="K256" s="59"/>
      <c r="L256" s="59"/>
      <c r="M256" s="59"/>
      <c r="N256" s="59"/>
      <c r="O256" s="59"/>
      <c r="P256" s="59"/>
      <c r="Q256" s="59"/>
      <c r="R256" s="59"/>
      <c r="S256" s="62"/>
      <c r="T256" s="62"/>
      <c r="U256" s="62">
        <v>0.20899999999999999</v>
      </c>
      <c r="V256" s="62">
        <v>0.16</v>
      </c>
      <c r="W256" s="62"/>
      <c r="X256" s="63" t="s">
        <v>245</v>
      </c>
      <c r="Y256" s="59" t="s">
        <v>11</v>
      </c>
      <c r="Z256" s="59" t="s">
        <v>16</v>
      </c>
      <c r="AA256" s="59"/>
      <c r="AB256" s="59"/>
      <c r="AC256" s="59"/>
      <c r="AD256" s="59"/>
      <c r="AE256" s="59" t="s">
        <v>258</v>
      </c>
      <c r="AF256" s="59"/>
      <c r="AG256" s="59"/>
      <c r="AH256" s="59"/>
      <c r="AI256" s="59"/>
      <c r="AJ256" s="59"/>
    </row>
    <row r="257" spans="1:36" s="64" customFormat="1" ht="15" hidden="1" customHeight="1">
      <c r="A257" s="58" t="str">
        <f>"VSG"&amp;TEXT(I257,"00")&amp;"C-"&amp;TEXT(BenchGDE!$E257,"yy")&amp;TEXT(F257,"000")&amp;Z257&amp;"2."&amp;TEXT((C257),"00")</f>
        <v>VSG02C-24064F2.12</v>
      </c>
      <c r="B257" s="59">
        <v>600</v>
      </c>
      <c r="C257" s="59">
        <v>12</v>
      </c>
      <c r="D257" s="59" t="s">
        <v>277</v>
      </c>
      <c r="E257" s="60">
        <v>45355</v>
      </c>
      <c r="F257" s="61">
        <f t="shared" si="39"/>
        <v>64</v>
      </c>
      <c r="G257" s="59" t="s">
        <v>266</v>
      </c>
      <c r="H257" s="59" t="s">
        <v>63</v>
      </c>
      <c r="I257" s="59">
        <v>2</v>
      </c>
      <c r="J257" s="59"/>
      <c r="K257" s="59"/>
      <c r="L257" s="59"/>
      <c r="M257" s="59"/>
      <c r="N257" s="59"/>
      <c r="O257" s="59"/>
      <c r="P257" s="59"/>
      <c r="Q257" s="59"/>
      <c r="R257" s="59"/>
      <c r="S257" s="62"/>
      <c r="T257" s="62"/>
      <c r="U257" s="62">
        <v>0.19624999999999998</v>
      </c>
      <c r="V257" s="62">
        <v>0.1</v>
      </c>
      <c r="W257" s="62"/>
      <c r="X257" s="63" t="s">
        <v>245</v>
      </c>
      <c r="Y257" s="59" t="s">
        <v>11</v>
      </c>
      <c r="Z257" s="59" t="s">
        <v>16</v>
      </c>
      <c r="AA257" s="59"/>
      <c r="AB257" s="59"/>
      <c r="AC257" s="59"/>
      <c r="AD257" s="59"/>
      <c r="AE257" s="59" t="s">
        <v>258</v>
      </c>
      <c r="AF257" s="59"/>
      <c r="AG257" s="59"/>
      <c r="AH257" s="59"/>
      <c r="AI257" s="59"/>
      <c r="AJ257" s="59"/>
    </row>
    <row r="258" spans="1:36" s="64" customFormat="1" ht="15" hidden="1" customHeight="1">
      <c r="A258" s="58" t="str">
        <f>"VSG"&amp;TEXT(I258,"00")&amp;"C-"&amp;TEXT(BenchGDE!$E258,"yy")&amp;TEXT(F258,"000")&amp;Z258&amp;"2."&amp;TEXT((C258),"00")</f>
        <v>VSG02C-24064F2.13</v>
      </c>
      <c r="B258" s="59">
        <v>600</v>
      </c>
      <c r="C258" s="59">
        <v>13</v>
      </c>
      <c r="D258" s="59" t="s">
        <v>278</v>
      </c>
      <c r="E258" s="60">
        <v>45355</v>
      </c>
      <c r="F258" s="61">
        <f t="shared" si="39"/>
        <v>64</v>
      </c>
      <c r="G258" s="59" t="s">
        <v>266</v>
      </c>
      <c r="H258" s="59" t="s">
        <v>63</v>
      </c>
      <c r="I258" s="59">
        <v>2</v>
      </c>
      <c r="J258" s="59"/>
      <c r="K258" s="59"/>
      <c r="L258" s="59"/>
      <c r="M258" s="59"/>
      <c r="N258" s="59"/>
      <c r="O258" s="59"/>
      <c r="P258" s="59"/>
      <c r="Q258" s="59"/>
      <c r="R258" s="59"/>
      <c r="S258" s="62"/>
      <c r="T258" s="62"/>
      <c r="U258" s="62">
        <v>0.18874999999999997</v>
      </c>
      <c r="V258" s="62">
        <v>0.14000000000000001</v>
      </c>
      <c r="W258" s="62"/>
      <c r="X258" s="63" t="s">
        <v>245</v>
      </c>
      <c r="Y258" s="59" t="s">
        <v>11</v>
      </c>
      <c r="Z258" s="59" t="s">
        <v>16</v>
      </c>
      <c r="AA258" s="59"/>
      <c r="AB258" s="59"/>
      <c r="AC258" s="59"/>
      <c r="AD258" s="59"/>
      <c r="AE258" s="59" t="s">
        <v>258</v>
      </c>
      <c r="AF258" s="59"/>
      <c r="AG258" s="59"/>
      <c r="AH258" s="59"/>
      <c r="AI258" s="59"/>
      <c r="AJ258" s="59"/>
    </row>
    <row r="259" spans="1:36" s="64" customFormat="1" ht="15" hidden="1" customHeight="1">
      <c r="A259" s="58" t="str">
        <f>"VSG"&amp;TEXT(I259,"00")&amp;"C-"&amp;TEXT(BenchGDE!$E259,"yy")&amp;TEXT(F259,"000")&amp;Z259&amp;"2."&amp;TEXT((C259),"00")</f>
        <v>VSG02C-24064F2.14</v>
      </c>
      <c r="B259" s="59">
        <v>600</v>
      </c>
      <c r="C259" s="59">
        <v>14</v>
      </c>
      <c r="D259" s="59" t="s">
        <v>279</v>
      </c>
      <c r="E259" s="60">
        <v>45355</v>
      </c>
      <c r="F259" s="61">
        <f t="shared" si="39"/>
        <v>64</v>
      </c>
      <c r="G259" s="59" t="s">
        <v>266</v>
      </c>
      <c r="H259" s="59" t="s">
        <v>63</v>
      </c>
      <c r="I259" s="59">
        <v>2</v>
      </c>
      <c r="J259" s="59"/>
      <c r="K259" s="59"/>
      <c r="L259" s="59"/>
      <c r="M259" s="59"/>
      <c r="N259" s="59"/>
      <c r="O259" s="59"/>
      <c r="P259" s="59"/>
      <c r="Q259" s="59"/>
      <c r="R259" s="59"/>
      <c r="S259" s="62"/>
      <c r="T259" s="62"/>
      <c r="U259" s="62">
        <v>0.215</v>
      </c>
      <c r="V259" s="62">
        <v>0.13400000000000001</v>
      </c>
      <c r="W259" s="62"/>
      <c r="X259" s="63" t="s">
        <v>245</v>
      </c>
      <c r="Y259" s="59" t="s">
        <v>11</v>
      </c>
      <c r="Z259" s="59" t="s">
        <v>16</v>
      </c>
      <c r="AA259" s="59"/>
      <c r="AB259" s="59"/>
      <c r="AC259" s="59"/>
      <c r="AD259" s="59"/>
      <c r="AE259" s="59" t="s">
        <v>258</v>
      </c>
      <c r="AF259" s="59"/>
      <c r="AG259" s="59"/>
      <c r="AH259" s="59"/>
      <c r="AI259" s="59"/>
      <c r="AJ259" s="59"/>
    </row>
    <row r="260" spans="1:36" s="64" customFormat="1" ht="15" hidden="1" customHeight="1">
      <c r="A260" s="58" t="str">
        <f>"VSG"&amp;TEXT(I260,"00")&amp;"C-"&amp;TEXT(BenchGDE!$E260,"yy")&amp;TEXT(F260,"000")&amp;Z260&amp;"2."&amp;TEXT((C260),"00")</f>
        <v>VSG02C-24064F2.15</v>
      </c>
      <c r="B260" s="59">
        <v>600</v>
      </c>
      <c r="C260" s="59">
        <v>15</v>
      </c>
      <c r="D260" s="59" t="s">
        <v>280</v>
      </c>
      <c r="E260" s="60">
        <v>45355</v>
      </c>
      <c r="F260" s="61">
        <f t="shared" si="39"/>
        <v>64</v>
      </c>
      <c r="G260" s="59" t="s">
        <v>266</v>
      </c>
      <c r="H260" s="59" t="s">
        <v>63</v>
      </c>
      <c r="I260" s="59">
        <v>2</v>
      </c>
      <c r="J260" s="59"/>
      <c r="K260" s="59"/>
      <c r="L260" s="59"/>
      <c r="M260" s="59"/>
      <c r="N260" s="59"/>
      <c r="O260" s="59"/>
      <c r="P260" s="59"/>
      <c r="Q260" s="59"/>
      <c r="R260" s="59"/>
      <c r="S260" s="62"/>
      <c r="T260" s="62"/>
      <c r="U260" s="62">
        <v>0.20649999999999999</v>
      </c>
      <c r="V260" s="62">
        <v>0.11</v>
      </c>
      <c r="W260" s="62"/>
      <c r="X260" s="63" t="s">
        <v>245</v>
      </c>
      <c r="Y260" s="59" t="s">
        <v>11</v>
      </c>
      <c r="Z260" s="59" t="s">
        <v>16</v>
      </c>
      <c r="AA260" s="59"/>
      <c r="AB260" s="59"/>
      <c r="AC260" s="59"/>
      <c r="AD260" s="59"/>
      <c r="AE260" s="59" t="s">
        <v>258</v>
      </c>
      <c r="AF260" s="59"/>
      <c r="AG260" s="59"/>
      <c r="AH260" s="59"/>
      <c r="AI260" s="59"/>
      <c r="AJ260" s="59"/>
    </row>
    <row r="261" spans="1:36" s="64" customFormat="1" ht="15" hidden="1" customHeight="1">
      <c r="A261" s="58" t="str">
        <f>"VSG"&amp;TEXT(I261,"00")&amp;"C-"&amp;TEXT(BenchGDE!$E261,"yy")&amp;TEXT(F261,"000")&amp;Z261&amp;"2."&amp;TEXT((C261),"00")</f>
        <v>VSG02C-24064F2.16</v>
      </c>
      <c r="B261" s="59">
        <v>600</v>
      </c>
      <c r="C261" s="59">
        <v>16</v>
      </c>
      <c r="D261" s="59" t="s">
        <v>281</v>
      </c>
      <c r="E261" s="60">
        <v>45355</v>
      </c>
      <c r="F261" s="61">
        <f t="shared" si="39"/>
        <v>64</v>
      </c>
      <c r="G261" s="59" t="s">
        <v>266</v>
      </c>
      <c r="H261" s="59" t="s">
        <v>63</v>
      </c>
      <c r="I261" s="59">
        <v>2</v>
      </c>
      <c r="J261" s="59"/>
      <c r="K261" s="59"/>
      <c r="L261" s="59"/>
      <c r="M261" s="59"/>
      <c r="N261" s="59"/>
      <c r="O261" s="59"/>
      <c r="P261" s="59"/>
      <c r="Q261" s="59"/>
      <c r="R261" s="59"/>
      <c r="S261" s="62"/>
      <c r="T261" s="62"/>
      <c r="U261" s="62">
        <v>0.20050000000000001</v>
      </c>
      <c r="V261" s="62">
        <v>0.16400000000000001</v>
      </c>
      <c r="W261" s="62"/>
      <c r="X261" s="63" t="s">
        <v>245</v>
      </c>
      <c r="Y261" s="59" t="s">
        <v>11</v>
      </c>
      <c r="Z261" s="59" t="s">
        <v>16</v>
      </c>
      <c r="AA261" s="59"/>
      <c r="AB261" s="59"/>
      <c r="AC261" s="59"/>
      <c r="AD261" s="59"/>
      <c r="AE261" s="59" t="s">
        <v>258</v>
      </c>
      <c r="AF261" s="59"/>
      <c r="AG261" s="59"/>
      <c r="AH261" s="59"/>
      <c r="AI261" s="59"/>
      <c r="AJ261" s="59"/>
    </row>
    <row r="262" spans="1:36" s="64" customFormat="1" ht="15" hidden="1" customHeight="1">
      <c r="A262" s="58" t="str">
        <f>"VSG"&amp;TEXT(I262,"00")&amp;"C-"&amp;TEXT(BenchGDE!$E262,"yy")&amp;TEXT(F262,"000")&amp;Z262&amp;"2."&amp;TEXT((C262),"00")</f>
        <v>VSG02C-24064F2.17</v>
      </c>
      <c r="B262" s="59">
        <v>600</v>
      </c>
      <c r="C262" s="59">
        <v>17</v>
      </c>
      <c r="D262" s="59" t="s">
        <v>282</v>
      </c>
      <c r="E262" s="60">
        <v>45355</v>
      </c>
      <c r="F262" s="61">
        <f t="shared" si="39"/>
        <v>64</v>
      </c>
      <c r="G262" s="59" t="s">
        <v>266</v>
      </c>
      <c r="H262" s="59" t="s">
        <v>63</v>
      </c>
      <c r="I262" s="59">
        <v>2</v>
      </c>
      <c r="J262" s="59"/>
      <c r="K262" s="59"/>
      <c r="L262" s="59"/>
      <c r="M262" s="59"/>
      <c r="N262" s="59"/>
      <c r="O262" s="59"/>
      <c r="P262" s="59"/>
      <c r="Q262" s="59"/>
      <c r="R262" s="59"/>
      <c r="S262" s="62"/>
      <c r="T262" s="62"/>
      <c r="U262" s="62">
        <v>0.20849999999999999</v>
      </c>
      <c r="V262" s="62">
        <v>0.125</v>
      </c>
      <c r="W262" s="62"/>
      <c r="X262" s="63" t="s">
        <v>245</v>
      </c>
      <c r="Y262" s="59" t="s">
        <v>11</v>
      </c>
      <c r="Z262" s="59" t="s">
        <v>16</v>
      </c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</row>
    <row r="263" spans="1:36" s="64" customFormat="1" ht="15" hidden="1" customHeight="1">
      <c r="A263" s="58" t="str">
        <f>"VSG"&amp;TEXT(I263,"00")&amp;"C-"&amp;TEXT(BenchGDE!$E263,"yy")&amp;TEXT(F263,"000")&amp;Z263&amp;"2."&amp;TEXT((C263),"00")</f>
        <v>VSG02C-24064F2.18</v>
      </c>
      <c r="B263" s="59">
        <v>600</v>
      </c>
      <c r="C263" s="59">
        <v>18</v>
      </c>
      <c r="D263" s="59" t="s">
        <v>283</v>
      </c>
      <c r="E263" s="60">
        <v>45355</v>
      </c>
      <c r="F263" s="61">
        <f t="shared" si="39"/>
        <v>64</v>
      </c>
      <c r="G263" s="59" t="s">
        <v>266</v>
      </c>
      <c r="H263" s="59" t="s">
        <v>63</v>
      </c>
      <c r="I263" s="59">
        <v>2</v>
      </c>
      <c r="J263" s="59"/>
      <c r="K263" s="59"/>
      <c r="L263" s="59"/>
      <c r="M263" s="59"/>
      <c r="N263" s="59"/>
      <c r="O263" s="59"/>
      <c r="P263" s="59"/>
      <c r="Q263" s="59"/>
      <c r="R263" s="59"/>
      <c r="S263" s="62"/>
      <c r="T263" s="62"/>
      <c r="U263" s="62">
        <v>0.19524999999999998</v>
      </c>
      <c r="V263" s="62">
        <v>0.17</v>
      </c>
      <c r="W263" s="62"/>
      <c r="X263" s="63" t="s">
        <v>245</v>
      </c>
      <c r="Y263" s="59" t="s">
        <v>11</v>
      </c>
      <c r="Z263" s="59" t="s">
        <v>16</v>
      </c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</row>
    <row r="264" spans="1:36" s="64" customFormat="1" ht="15" hidden="1" customHeight="1">
      <c r="A264" s="58" t="str">
        <f>"VSG"&amp;TEXT(I264,"00")&amp;"C-"&amp;TEXT(BenchGDE!$E264,"yy")&amp;TEXT(F264,"000")&amp;Z264&amp;"2."&amp;TEXT((C264),"00")</f>
        <v>VSG02C-24064F2.19</v>
      </c>
      <c r="B264" s="59">
        <v>600</v>
      </c>
      <c r="C264" s="59">
        <v>19</v>
      </c>
      <c r="D264" s="59" t="s">
        <v>284</v>
      </c>
      <c r="E264" s="60">
        <v>45355</v>
      </c>
      <c r="F264" s="61">
        <f t="shared" si="39"/>
        <v>64</v>
      </c>
      <c r="G264" s="59" t="s">
        <v>266</v>
      </c>
      <c r="H264" s="59" t="s">
        <v>63</v>
      </c>
      <c r="I264" s="59">
        <v>2</v>
      </c>
      <c r="J264" s="59"/>
      <c r="K264" s="59"/>
      <c r="L264" s="59"/>
      <c r="M264" s="59"/>
      <c r="N264" s="59"/>
      <c r="O264" s="59"/>
      <c r="P264" s="59"/>
      <c r="Q264" s="59"/>
      <c r="R264" s="59"/>
      <c r="S264" s="62"/>
      <c r="T264" s="62"/>
      <c r="U264" s="62">
        <v>0.20924999999999999</v>
      </c>
      <c r="V264" s="62">
        <v>0.21</v>
      </c>
      <c r="W264" s="62"/>
      <c r="X264" s="63" t="s">
        <v>245</v>
      </c>
      <c r="Y264" s="59" t="s">
        <v>11</v>
      </c>
      <c r="Z264" s="59" t="s">
        <v>16</v>
      </c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</row>
    <row r="265" spans="1:36" s="64" customFormat="1" ht="15" hidden="1" customHeight="1">
      <c r="A265" s="58" t="str">
        <f>"VSG"&amp;TEXT(I265,"00")&amp;"C-"&amp;TEXT(BenchGDE!$E265,"yy")&amp;TEXT(F265,"000")&amp;Z265&amp;"2."&amp;TEXT((C265),"00")</f>
        <v>VSG02C-24064F2.20</v>
      </c>
      <c r="B265" s="59">
        <v>600</v>
      </c>
      <c r="C265" s="59">
        <v>20</v>
      </c>
      <c r="D265" s="59" t="s">
        <v>285</v>
      </c>
      <c r="E265" s="60">
        <v>45355</v>
      </c>
      <c r="F265" s="61">
        <f t="shared" si="39"/>
        <v>64</v>
      </c>
      <c r="G265" s="59" t="s">
        <v>266</v>
      </c>
      <c r="H265" s="59" t="s">
        <v>63</v>
      </c>
      <c r="I265" s="59">
        <v>2</v>
      </c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62">
        <v>0.19874999999999998</v>
      </c>
      <c r="V265" s="62">
        <v>0.16</v>
      </c>
      <c r="W265" s="62"/>
      <c r="X265" s="63" t="s">
        <v>245</v>
      </c>
      <c r="Y265" s="59" t="s">
        <v>11</v>
      </c>
      <c r="Z265" s="59" t="s">
        <v>16</v>
      </c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</row>
    <row r="266" spans="1:36" s="64" customFormat="1" ht="15" hidden="1" customHeight="1">
      <c r="A266" s="58" t="str">
        <f>"VSG"&amp;TEXT(I266,"00")&amp;"C-"&amp;TEXT(BenchGDE!$E266,"yy")&amp;TEXT(F266,"000")&amp;Z266&amp;"2."&amp;TEXT((C266),"00")</f>
        <v>VSG02C-24064F2.21</v>
      </c>
      <c r="B266" s="59">
        <v>600</v>
      </c>
      <c r="C266" s="59">
        <v>21</v>
      </c>
      <c r="D266" s="59" t="s">
        <v>286</v>
      </c>
      <c r="E266" s="60">
        <v>45355</v>
      </c>
      <c r="F266" s="61">
        <f t="shared" si="39"/>
        <v>64</v>
      </c>
      <c r="G266" s="59" t="s">
        <v>266</v>
      </c>
      <c r="H266" s="59" t="s">
        <v>63</v>
      </c>
      <c r="I266" s="59">
        <v>2</v>
      </c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62">
        <v>0.20624999999999999</v>
      </c>
      <c r="V266" s="62">
        <v>0.15</v>
      </c>
      <c r="W266" s="62"/>
      <c r="X266" s="63" t="s">
        <v>245</v>
      </c>
      <c r="Y266" s="59" t="s">
        <v>11</v>
      </c>
      <c r="Z266" s="59" t="s">
        <v>16</v>
      </c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</row>
    <row r="267" spans="1:36" s="64" customFormat="1" ht="15" hidden="1" customHeight="1">
      <c r="A267" s="58" t="str">
        <f>"VSG"&amp;TEXT(I267,"00")&amp;"C-"&amp;TEXT(BenchGDE!$E267,"yy")&amp;TEXT(F267,"000")&amp;Z267&amp;"2."&amp;TEXT((C267),"00")</f>
        <v>VSG02C-24064F2.22</v>
      </c>
      <c r="B267" s="59">
        <v>600</v>
      </c>
      <c r="C267" s="59">
        <v>22</v>
      </c>
      <c r="D267" s="59" t="s">
        <v>287</v>
      </c>
      <c r="E267" s="60">
        <v>45355</v>
      </c>
      <c r="F267" s="61">
        <f t="shared" si="39"/>
        <v>64</v>
      </c>
      <c r="G267" s="59" t="s">
        <v>266</v>
      </c>
      <c r="H267" s="59" t="s">
        <v>63</v>
      </c>
      <c r="I267" s="59">
        <v>2</v>
      </c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62">
        <v>0.17175000000000001</v>
      </c>
      <c r="V267" s="62">
        <v>0.04</v>
      </c>
      <c r="W267" s="62"/>
      <c r="X267" s="63" t="s">
        <v>245</v>
      </c>
      <c r="Y267" s="59" t="s">
        <v>11</v>
      </c>
      <c r="Z267" s="59" t="s">
        <v>16</v>
      </c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</row>
    <row r="268" spans="1:36" s="64" customFormat="1" ht="15" hidden="1" customHeight="1">
      <c r="A268" s="58" t="str">
        <f>"VSG"&amp;TEXT(I268,"00")&amp;"C-"&amp;TEXT(BenchGDE!$E268,"yy")&amp;TEXT(F268,"000")&amp;Z268&amp;"2."&amp;TEXT((C268),"00")</f>
        <v>VSG02C-24064F2.23</v>
      </c>
      <c r="B268" s="59">
        <v>600</v>
      </c>
      <c r="C268" s="59">
        <v>23</v>
      </c>
      <c r="D268" s="59" t="s">
        <v>288</v>
      </c>
      <c r="E268" s="60">
        <v>45355</v>
      </c>
      <c r="F268" s="61">
        <f t="shared" si="39"/>
        <v>64</v>
      </c>
      <c r="G268" s="59" t="s">
        <v>266</v>
      </c>
      <c r="H268" s="59" t="s">
        <v>63</v>
      </c>
      <c r="I268" s="59">
        <v>2</v>
      </c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62">
        <v>0.19674999999999998</v>
      </c>
      <c r="V268" s="62">
        <v>0.13400000000000001</v>
      </c>
      <c r="W268" s="62"/>
      <c r="X268" s="63" t="s">
        <v>245</v>
      </c>
      <c r="Y268" s="59" t="s">
        <v>11</v>
      </c>
      <c r="Z268" s="59" t="s">
        <v>16</v>
      </c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</row>
    <row r="269" spans="1:36" s="64" customFormat="1" ht="15" hidden="1" customHeight="1">
      <c r="A269" s="58" t="str">
        <f>"VSG"&amp;TEXT(I269,"00")&amp;"C-"&amp;TEXT(BenchGDE!$E269,"yy")&amp;TEXT(F269,"000")&amp;Z269&amp;"2."&amp;TEXT((C269),"00")</f>
        <v>VSG02C-24064F2.24</v>
      </c>
      <c r="B269" s="59">
        <v>600</v>
      </c>
      <c r="C269" s="59">
        <v>24</v>
      </c>
      <c r="D269" s="59" t="s">
        <v>289</v>
      </c>
      <c r="E269" s="60">
        <v>45355</v>
      </c>
      <c r="F269" s="61">
        <f t="shared" si="39"/>
        <v>64</v>
      </c>
      <c r="G269" s="59" t="s">
        <v>266</v>
      </c>
      <c r="H269" s="59" t="s">
        <v>63</v>
      </c>
      <c r="I269" s="59">
        <v>2</v>
      </c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62">
        <v>0.21174999999999999</v>
      </c>
      <c r="V269" s="62">
        <v>0.14399999999999999</v>
      </c>
      <c r="W269" s="62"/>
      <c r="X269" s="63" t="s">
        <v>245</v>
      </c>
      <c r="Y269" s="59" t="s">
        <v>11</v>
      </c>
      <c r="Z269" s="59" t="s">
        <v>16</v>
      </c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</row>
    <row r="270" spans="1:36" ht="15" customHeight="1">
      <c r="A270" s="25" t="str">
        <f>"VSG"&amp;TEXT(I270,"00")&amp;"C-"&amp;TEXT(BenchGDE!$E270,"yy")&amp;TEXT(F270,"000")&amp;Z270&amp;"2."&amp;TEXT((C270),"00")</f>
        <v>VSG01C-24064F2.01</v>
      </c>
      <c r="B270" s="26">
        <v>100</v>
      </c>
      <c r="C270" s="26">
        <v>1</v>
      </c>
      <c r="D270" s="26" t="s">
        <v>274</v>
      </c>
      <c r="E270" s="29">
        <v>45355</v>
      </c>
      <c r="F270" s="30">
        <f t="shared" si="39"/>
        <v>64</v>
      </c>
      <c r="G270" s="26" t="s">
        <v>266</v>
      </c>
      <c r="H270" s="26" t="s">
        <v>63</v>
      </c>
      <c r="I270" s="26">
        <v>1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49"/>
      <c r="T270" s="49"/>
      <c r="U270" s="62">
        <v>0.21174999999999999</v>
      </c>
      <c r="V270" s="49">
        <v>0.15</v>
      </c>
      <c r="W270" s="49"/>
      <c r="X270" s="28" t="s">
        <v>245</v>
      </c>
      <c r="Y270" s="26" t="s">
        <v>11</v>
      </c>
      <c r="Z270" s="26" t="s">
        <v>16</v>
      </c>
      <c r="AA270" s="26"/>
      <c r="AB270" s="26"/>
      <c r="AC270" s="26"/>
      <c r="AD270" s="26"/>
      <c r="AE270" s="26" t="s">
        <v>258</v>
      </c>
      <c r="AF270" s="26"/>
      <c r="AG270" s="26"/>
      <c r="AH270" s="26"/>
      <c r="AI270" s="26"/>
      <c r="AJ270" s="26"/>
    </row>
    <row r="271" spans="1:36" ht="15" customHeight="1">
      <c r="A271" s="25" t="str">
        <f>"VSG"&amp;TEXT(I271,"00")&amp;"C-"&amp;TEXT(BenchGDE!$E271,"yy")&amp;TEXT(F271,"000")&amp;Z271&amp;"2."&amp;TEXT((C271),"00")</f>
        <v>VSG01C-24064F2.02</v>
      </c>
      <c r="B271" s="26">
        <v>100</v>
      </c>
      <c r="C271" s="26">
        <v>2</v>
      </c>
      <c r="D271" s="26" t="s">
        <v>274</v>
      </c>
      <c r="E271" s="29">
        <v>45355</v>
      </c>
      <c r="F271" s="30">
        <f t="shared" si="39"/>
        <v>64</v>
      </c>
      <c r="G271" s="26" t="s">
        <v>266</v>
      </c>
      <c r="H271" s="26" t="s">
        <v>63</v>
      </c>
      <c r="I271" s="26">
        <v>1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49"/>
      <c r="T271" s="49"/>
      <c r="U271" s="62">
        <v>0.21174999999999999</v>
      </c>
      <c r="V271" s="49">
        <v>0.15</v>
      </c>
      <c r="W271" s="49"/>
      <c r="X271" s="28" t="s">
        <v>245</v>
      </c>
      <c r="Y271" s="26" t="s">
        <v>11</v>
      </c>
      <c r="Z271" s="26" t="s">
        <v>16</v>
      </c>
      <c r="AA271" s="26"/>
      <c r="AB271" s="26"/>
      <c r="AC271" s="26"/>
      <c r="AD271" s="26"/>
      <c r="AE271" s="26" t="s">
        <v>258</v>
      </c>
      <c r="AF271" s="26"/>
      <c r="AG271" s="26"/>
      <c r="AH271" s="26"/>
      <c r="AI271" s="26"/>
      <c r="AJ271" s="26"/>
    </row>
    <row r="272" spans="1:36" ht="15" customHeight="1">
      <c r="A272" s="25" t="str">
        <f>"VSG"&amp;TEXT(I272,"00")&amp;"C-"&amp;TEXT(BenchGDE!$E272,"yy")&amp;TEXT(F272,"000")&amp;Z272&amp;"2."&amp;TEXT((C272),"00")</f>
        <v>VSG01C-24064F2.03</v>
      </c>
      <c r="B272" s="26">
        <v>100</v>
      </c>
      <c r="C272" s="26">
        <v>3</v>
      </c>
      <c r="D272" s="26" t="s">
        <v>275</v>
      </c>
      <c r="E272" s="29">
        <v>45355</v>
      </c>
      <c r="F272" s="30">
        <f t="shared" si="39"/>
        <v>64</v>
      </c>
      <c r="G272" s="26" t="s">
        <v>266</v>
      </c>
      <c r="H272" s="26" t="s">
        <v>63</v>
      </c>
      <c r="I272" s="26">
        <v>1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49"/>
      <c r="T272" s="49"/>
      <c r="U272" s="62">
        <v>0.21174999999999999</v>
      </c>
      <c r="V272" s="49">
        <v>0.115</v>
      </c>
      <c r="W272" s="49"/>
      <c r="X272" s="28" t="s">
        <v>245</v>
      </c>
      <c r="Y272" s="26" t="s">
        <v>11</v>
      </c>
      <c r="Z272" s="26" t="s">
        <v>16</v>
      </c>
      <c r="AA272" s="26"/>
      <c r="AB272" s="26"/>
      <c r="AC272" s="26"/>
      <c r="AD272" s="26"/>
      <c r="AE272" s="26" t="s">
        <v>258</v>
      </c>
      <c r="AF272" s="26"/>
      <c r="AG272" s="26"/>
      <c r="AH272" s="26"/>
      <c r="AI272" s="26"/>
      <c r="AJ272" s="26"/>
    </row>
    <row r="273" spans="1:36" ht="15" customHeight="1">
      <c r="A273" s="25" t="str">
        <f>"VSG"&amp;TEXT(I273,"00")&amp;"C-"&amp;TEXT(BenchGDE!$E273,"yy")&amp;TEXT(F273,"000")&amp;Z273&amp;"2."&amp;TEXT((C273),"00")</f>
        <v>VSG01C-24064F2.04</v>
      </c>
      <c r="B273" s="26">
        <v>100</v>
      </c>
      <c r="C273" s="26">
        <v>4</v>
      </c>
      <c r="D273" s="26" t="s">
        <v>272</v>
      </c>
      <c r="E273" s="29">
        <v>45355</v>
      </c>
      <c r="F273" s="30">
        <f t="shared" si="39"/>
        <v>64</v>
      </c>
      <c r="G273" s="26" t="s">
        <v>266</v>
      </c>
      <c r="H273" s="26" t="s">
        <v>63</v>
      </c>
      <c r="I273" s="26">
        <v>1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49"/>
      <c r="T273" s="49"/>
      <c r="U273" s="62">
        <v>0.21174999999999999</v>
      </c>
      <c r="V273" s="49">
        <v>0.15</v>
      </c>
      <c r="W273" s="49"/>
      <c r="X273" s="28" t="s">
        <v>245</v>
      </c>
      <c r="Y273" s="26" t="s">
        <v>11</v>
      </c>
      <c r="Z273" s="26" t="s">
        <v>16</v>
      </c>
      <c r="AA273" s="26"/>
      <c r="AB273" s="26"/>
      <c r="AC273" s="26"/>
      <c r="AD273" s="26"/>
      <c r="AE273" s="26" t="s">
        <v>258</v>
      </c>
      <c r="AF273" s="26"/>
      <c r="AG273" s="26"/>
      <c r="AH273" s="26"/>
      <c r="AI273" s="26"/>
      <c r="AJ273" s="26"/>
    </row>
    <row r="274" spans="1:36" ht="15" customHeight="1">
      <c r="A274" s="25" t="str">
        <f>"VSG"&amp;TEXT(I274,"00")&amp;"C-"&amp;TEXT(BenchGDE!$E274,"yy")&amp;TEXT(F274,"000")&amp;Z274&amp;"2."&amp;TEXT((C274),"00")</f>
        <v>VSG01C-24064F2.05</v>
      </c>
      <c r="B274" s="26">
        <v>100</v>
      </c>
      <c r="C274" s="26">
        <v>5</v>
      </c>
      <c r="D274" s="26" t="s">
        <v>272</v>
      </c>
      <c r="E274" s="29">
        <v>45355</v>
      </c>
      <c r="F274" s="30">
        <f t="shared" si="39"/>
        <v>64</v>
      </c>
      <c r="G274" s="26" t="s">
        <v>266</v>
      </c>
      <c r="H274" s="26" t="s">
        <v>63</v>
      </c>
      <c r="I274" s="26">
        <v>1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49"/>
      <c r="T274" s="49"/>
      <c r="U274" s="62">
        <v>0.21174999999999999</v>
      </c>
      <c r="V274" s="49">
        <v>0.15</v>
      </c>
      <c r="W274" s="49"/>
      <c r="X274" s="28" t="s">
        <v>245</v>
      </c>
      <c r="Y274" s="26" t="s">
        <v>11</v>
      </c>
      <c r="Z274" s="26" t="s">
        <v>16</v>
      </c>
      <c r="AA274" s="26"/>
      <c r="AB274" s="26"/>
      <c r="AC274" s="26"/>
      <c r="AD274" s="26"/>
      <c r="AE274" s="26" t="s">
        <v>258</v>
      </c>
      <c r="AF274" s="26"/>
      <c r="AG274" s="26"/>
      <c r="AH274" s="26"/>
      <c r="AI274" s="26"/>
      <c r="AJ274" s="26"/>
    </row>
    <row r="275" spans="1:36" ht="15" customHeight="1">
      <c r="A275" s="25" t="str">
        <f>"VSG"&amp;TEXT(I275,"00")&amp;"C-"&amp;TEXT(BenchGDE!$E275,"yy")&amp;TEXT(F275,"000")&amp;Z275&amp;"2."&amp;TEXT((C275),"00")</f>
        <v>VSG01C-24064F2.01</v>
      </c>
      <c r="B275" s="26">
        <v>100</v>
      </c>
      <c r="C275" s="26">
        <v>1</v>
      </c>
      <c r="D275" s="26" t="s">
        <v>290</v>
      </c>
      <c r="E275" s="29">
        <v>45355</v>
      </c>
      <c r="F275" s="30">
        <f t="shared" si="39"/>
        <v>64</v>
      </c>
      <c r="G275" s="26" t="s">
        <v>266</v>
      </c>
      <c r="H275" s="26" t="s">
        <v>63</v>
      </c>
      <c r="I275" s="26">
        <v>1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49"/>
      <c r="T275" s="49"/>
      <c r="U275" s="49">
        <v>0.20399999999999999</v>
      </c>
      <c r="V275" s="49">
        <f>AVERAGE(0.21,0.144,0.17,0.134,0.125,0.164,0.15,0.11,0.16,0.134,0.14,0.15,0.1,0.125,0.16,0.16,0.115,0.144,0.15,0.134,0.115,0.115,0.115)</f>
        <v>0.14017391304347832</v>
      </c>
      <c r="W275" s="49"/>
      <c r="X275" s="28" t="s">
        <v>245</v>
      </c>
      <c r="Y275" s="26" t="s">
        <v>11</v>
      </c>
      <c r="Z275" s="26" t="s">
        <v>16</v>
      </c>
      <c r="AA275" s="26"/>
      <c r="AB275" s="26"/>
      <c r="AC275" s="26"/>
      <c r="AD275" s="26"/>
      <c r="AE275" s="26" t="s">
        <v>258</v>
      </c>
      <c r="AF275" s="26"/>
      <c r="AG275" s="26"/>
      <c r="AH275" s="26"/>
      <c r="AI275" s="26"/>
      <c r="AJ275" s="26"/>
    </row>
    <row r="276" spans="1:36" ht="15" customHeight="1">
      <c r="A276" s="25" t="str">
        <f>"VSG"&amp;TEXT(I276,"00")&amp;"C-"&amp;TEXT(BenchGDE!$E276,"yy")&amp;TEXT(F276,"000")&amp;Z276&amp;"2."&amp;TEXT((C276),"00")</f>
        <v>VSG01C-24074F2.06</v>
      </c>
      <c r="B276" s="26">
        <v>100</v>
      </c>
      <c r="C276" s="26">
        <v>6</v>
      </c>
      <c r="D276" s="26" t="s">
        <v>291</v>
      </c>
      <c r="E276" s="29">
        <v>45365</v>
      </c>
      <c r="F276" s="30">
        <f t="shared" si="39"/>
        <v>74</v>
      </c>
      <c r="G276" s="26" t="s">
        <v>292</v>
      </c>
      <c r="H276" s="26" t="s">
        <v>63</v>
      </c>
      <c r="I276" s="26">
        <v>1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49"/>
      <c r="T276" s="49"/>
      <c r="U276" s="49"/>
      <c r="V276" s="49">
        <v>0.218</v>
      </c>
      <c r="W276" s="49"/>
      <c r="X276" s="28" t="s">
        <v>245</v>
      </c>
      <c r="Y276" s="26" t="s">
        <v>293</v>
      </c>
      <c r="Z276" s="26" t="s">
        <v>16</v>
      </c>
      <c r="AA276" s="26"/>
      <c r="AB276" s="26"/>
      <c r="AC276" s="26"/>
      <c r="AD276" s="26"/>
      <c r="AE276" s="26" t="s">
        <v>294</v>
      </c>
      <c r="AF276" s="26"/>
      <c r="AG276" s="26"/>
      <c r="AH276" s="26"/>
      <c r="AI276" s="26"/>
      <c r="AJ276" s="26"/>
    </row>
    <row r="277" spans="1:36" ht="15" hidden="1" customHeight="1">
      <c r="A277" s="25"/>
      <c r="B277" s="26"/>
      <c r="C277" s="26"/>
      <c r="D277" s="26"/>
      <c r="E277" s="26"/>
      <c r="F277" s="30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8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</row>
    <row r="278" spans="1:36" ht="15" hidden="1" customHeight="1">
      <c r="A278" s="25" t="str">
        <f>"VSG"&amp;TEXT(I278,"00")&amp;"C-"&amp;TEXT(BenchGDE!$E278,"yy")&amp;TEXT(F278,"000")&amp;Z278&amp;"2."&amp;TEXT((C278),"00")</f>
        <v>VSG02C-24092F2.01</v>
      </c>
      <c r="B278" s="26">
        <v>600</v>
      </c>
      <c r="C278" s="26">
        <v>1</v>
      </c>
      <c r="D278" s="26" t="s">
        <v>295</v>
      </c>
      <c r="E278" s="29">
        <v>45383</v>
      </c>
      <c r="F278" s="30">
        <f t="shared" si="39"/>
        <v>92</v>
      </c>
      <c r="G278" s="26" t="s">
        <v>296</v>
      </c>
      <c r="H278" s="26" t="s">
        <v>63</v>
      </c>
      <c r="I278" s="26">
        <v>2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>
        <v>0.13400000000000001</v>
      </c>
      <c r="W278" s="26"/>
      <c r="X278" s="28" t="s">
        <v>297</v>
      </c>
      <c r="Y278" s="26" t="s">
        <v>293</v>
      </c>
      <c r="Z278" s="26" t="s">
        <v>16</v>
      </c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</row>
    <row r="279" spans="1:36" ht="15" hidden="1" customHeight="1">
      <c r="A279" s="25" t="str">
        <f>"VSG"&amp;TEXT(I279,"00")&amp;"C-"&amp;TEXT(BenchGDE!$E279,"yy")&amp;TEXT(F279,"000")&amp;Z279&amp;"2."&amp;TEXT((C279),"00")</f>
        <v>VSG02C-24092F2.02</v>
      </c>
      <c r="B279" s="26">
        <v>600</v>
      </c>
      <c r="C279" s="26">
        <v>2</v>
      </c>
      <c r="D279" s="26" t="s">
        <v>298</v>
      </c>
      <c r="E279" s="29">
        <v>45383</v>
      </c>
      <c r="F279" s="30">
        <f t="shared" si="39"/>
        <v>92</v>
      </c>
      <c r="G279" s="26" t="s">
        <v>296</v>
      </c>
      <c r="H279" s="26" t="s">
        <v>299</v>
      </c>
      <c r="I279" s="26">
        <v>2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>
        <v>0.16</v>
      </c>
      <c r="W279" s="26"/>
      <c r="X279" s="28" t="s">
        <v>300</v>
      </c>
      <c r="Y279" s="26" t="s">
        <v>293</v>
      </c>
      <c r="Z279" s="26" t="s">
        <v>16</v>
      </c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</row>
    <row r="280" spans="1:36" ht="15" hidden="1" customHeight="1">
      <c r="A280" s="25" t="str">
        <f>"VSG"&amp;TEXT(I280,"00")&amp;"C-"&amp;TEXT(BenchGDE!$E280,"yy")&amp;TEXT(F280,"000")&amp;Z280&amp;"2."&amp;TEXT((C280),"00")</f>
        <v>VSG02C-24092F2.03</v>
      </c>
      <c r="B280" s="26">
        <v>600</v>
      </c>
      <c r="C280" s="26">
        <v>3</v>
      </c>
      <c r="D280" s="26" t="s">
        <v>301</v>
      </c>
      <c r="E280" s="29">
        <v>45383</v>
      </c>
      <c r="F280" s="30">
        <f t="shared" si="39"/>
        <v>92</v>
      </c>
      <c r="G280" s="26" t="s">
        <v>302</v>
      </c>
      <c r="H280" s="26" t="s">
        <v>303</v>
      </c>
      <c r="I280" s="26">
        <v>2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>
        <v>0.16</v>
      </c>
      <c r="W280" s="26"/>
      <c r="X280" s="28" t="s">
        <v>304</v>
      </c>
      <c r="Y280" s="26" t="s">
        <v>293</v>
      </c>
      <c r="Z280" s="26" t="s">
        <v>16</v>
      </c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</row>
    <row r="281" spans="1:36" ht="15" hidden="1" customHeight="1">
      <c r="A281" s="25" t="str">
        <f>"VSG"&amp;TEXT(I281,"00")&amp;"C-"&amp;TEXT(BenchGDE!$E281,"yy")&amp;TEXT(F281,"000")&amp;Z281&amp;"2."&amp;TEXT((C281),"00")</f>
        <v>VSG02C-24092F2.04</v>
      </c>
      <c r="B281" s="26">
        <v>600</v>
      </c>
      <c r="C281" s="26">
        <v>4</v>
      </c>
      <c r="D281" s="26" t="s">
        <v>305</v>
      </c>
      <c r="E281" s="29">
        <v>45383</v>
      </c>
      <c r="F281" s="30">
        <f t="shared" si="39"/>
        <v>92</v>
      </c>
      <c r="G281" s="26" t="s">
        <v>306</v>
      </c>
      <c r="H281" s="26" t="s">
        <v>307</v>
      </c>
      <c r="I281" s="26">
        <v>2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8" t="s">
        <v>308</v>
      </c>
      <c r="Y281" s="26" t="s">
        <v>293</v>
      </c>
      <c r="Z281" s="26" t="s">
        <v>16</v>
      </c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</row>
    <row r="282" spans="1:36" ht="15" hidden="1" customHeight="1">
      <c r="A282" s="25" t="str">
        <f>"VSG"&amp;TEXT(I282,"00")&amp;"C-"&amp;TEXT(BenchGDE!$E282,"yy")&amp;TEXT(F282,"000")&amp;Z282&amp;"2."&amp;TEXT((C282),"00")</f>
        <v>VSG02C-24092F2.05</v>
      </c>
      <c r="B282" s="26">
        <v>600</v>
      </c>
      <c r="C282" s="26">
        <v>5</v>
      </c>
      <c r="D282" s="26" t="s">
        <v>309</v>
      </c>
      <c r="E282" s="29">
        <v>45383</v>
      </c>
      <c r="F282" s="30">
        <f t="shared" si="39"/>
        <v>92</v>
      </c>
      <c r="G282" s="26" t="s">
        <v>310</v>
      </c>
      <c r="H282" s="26" t="s">
        <v>311</v>
      </c>
      <c r="I282" s="26">
        <v>2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8" t="s">
        <v>312</v>
      </c>
      <c r="Y282" s="26" t="s">
        <v>293</v>
      </c>
      <c r="Z282" s="26" t="s">
        <v>16</v>
      </c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</row>
    <row r="283" spans="1:36" ht="15" hidden="1" customHeight="1">
      <c r="A283" s="25" t="str">
        <f>"VSG"&amp;TEXT(I283,"00")&amp;"C-"&amp;TEXT(BenchGDE!$E283,"yy")&amp;TEXT(F283,"000")&amp;Z283&amp;"2."&amp;TEXT((C283),"00")</f>
        <v>VSG02C-24092F2.06</v>
      </c>
      <c r="B283" s="26">
        <v>600</v>
      </c>
      <c r="C283" s="26">
        <v>6</v>
      </c>
      <c r="D283" s="26" t="s">
        <v>313</v>
      </c>
      <c r="E283" s="29">
        <v>45383</v>
      </c>
      <c r="F283" s="30">
        <f t="shared" si="39"/>
        <v>92</v>
      </c>
      <c r="G283" s="26" t="s">
        <v>314</v>
      </c>
      <c r="H283" s="26" t="s">
        <v>315</v>
      </c>
      <c r="I283" s="26">
        <v>2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8" t="s">
        <v>316</v>
      </c>
      <c r="Y283" s="26" t="s">
        <v>293</v>
      </c>
      <c r="Z283" s="26" t="s">
        <v>16</v>
      </c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</row>
    <row r="284" spans="1:36" s="56" customFormat="1" ht="15" hidden="1" customHeight="1">
      <c r="A284" s="51" t="str">
        <f>"VSG"&amp;TEXT(I284,"00")&amp;"C-"&amp;TEXT(BenchGDE!$E284,"yy")&amp;TEXT(F284,"000")&amp;Z284&amp;"2."&amp;TEXT((C284),"00")</f>
        <v>VSG02C-24092F2.07</v>
      </c>
      <c r="B284" s="52">
        <v>600</v>
      </c>
      <c r="C284" s="52">
        <v>7</v>
      </c>
      <c r="D284" s="52" t="s">
        <v>317</v>
      </c>
      <c r="E284" s="53">
        <v>45383</v>
      </c>
      <c r="F284" s="54">
        <f t="shared" si="39"/>
        <v>92</v>
      </c>
      <c r="G284" s="52" t="s">
        <v>318</v>
      </c>
      <c r="H284" s="52" t="s">
        <v>319</v>
      </c>
      <c r="I284" s="52">
        <v>2</v>
      </c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5" t="s">
        <v>320</v>
      </c>
      <c r="Y284" s="52" t="s">
        <v>293</v>
      </c>
      <c r="Z284" s="52" t="s">
        <v>16</v>
      </c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</row>
    <row r="285" spans="1:36" ht="15" hidden="1" customHeight="1">
      <c r="A285" s="25" t="str">
        <f>"VSG"&amp;TEXT(I285,"00")&amp;"C-"&amp;TEXT(BenchGDE!$E285,"yy")&amp;TEXT(F285,"000")&amp;Z285&amp;"2."&amp;TEXT((C285),"00")</f>
        <v>VSG02C-24092F2.08</v>
      </c>
      <c r="B285" s="26">
        <v>600</v>
      </c>
      <c r="C285" s="26">
        <v>8</v>
      </c>
      <c r="D285" s="26" t="s">
        <v>321</v>
      </c>
      <c r="E285" s="29">
        <v>45383</v>
      </c>
      <c r="F285" s="30">
        <f t="shared" si="39"/>
        <v>92</v>
      </c>
      <c r="G285" s="26" t="s">
        <v>322</v>
      </c>
      <c r="H285" s="26" t="s">
        <v>323</v>
      </c>
      <c r="I285" s="26">
        <v>2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8" t="s">
        <v>324</v>
      </c>
      <c r="Y285" s="26" t="s">
        <v>293</v>
      </c>
      <c r="Z285" s="26" t="s">
        <v>16</v>
      </c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</row>
    <row r="286" spans="1:36" ht="15" hidden="1" customHeight="1">
      <c r="A286" s="25" t="str">
        <f>"VSG"&amp;TEXT(I286,"00")&amp;"C-"&amp;TEXT(BenchGDE!$E286,"yy")&amp;TEXT(F286,"000")&amp;Z286&amp;"2."&amp;TEXT((C286),"00")</f>
        <v>VSG02C-24092F2.09</v>
      </c>
      <c r="B286" s="26">
        <v>600</v>
      </c>
      <c r="C286" s="26">
        <v>9</v>
      </c>
      <c r="D286" s="26" t="s">
        <v>325</v>
      </c>
      <c r="E286" s="29">
        <v>45383</v>
      </c>
      <c r="F286" s="30">
        <f t="shared" si="39"/>
        <v>92</v>
      </c>
      <c r="G286" s="26" t="s">
        <v>326</v>
      </c>
      <c r="H286" s="26" t="s">
        <v>327</v>
      </c>
      <c r="I286" s="26">
        <v>2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8" t="s">
        <v>328</v>
      </c>
      <c r="Y286" s="26" t="s">
        <v>293</v>
      </c>
      <c r="Z286" s="26" t="s">
        <v>16</v>
      </c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</row>
    <row r="287" spans="1:36" ht="15" hidden="1" customHeight="1">
      <c r="A287" s="25" t="str">
        <f>"VSG"&amp;TEXT(I287,"00")&amp;"C-"&amp;TEXT(BenchGDE!$E287,"yy")&amp;TEXT(F287,"000")&amp;Z287&amp;"2."&amp;TEXT((C287),"00")</f>
        <v>VSG02C-24092F2.10</v>
      </c>
      <c r="B287" s="26">
        <v>600</v>
      </c>
      <c r="C287" s="26">
        <v>10</v>
      </c>
      <c r="D287" s="26" t="s">
        <v>329</v>
      </c>
      <c r="E287" s="29">
        <v>45383</v>
      </c>
      <c r="F287" s="30">
        <f t="shared" si="39"/>
        <v>92</v>
      </c>
      <c r="G287" s="26" t="s">
        <v>330</v>
      </c>
      <c r="H287" s="26" t="s">
        <v>331</v>
      </c>
      <c r="I287" s="26">
        <v>2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8" t="s">
        <v>332</v>
      </c>
      <c r="Y287" s="26" t="s">
        <v>293</v>
      </c>
      <c r="Z287" s="26" t="s">
        <v>16</v>
      </c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</row>
    <row r="288" spans="1:36" ht="15" hidden="1" customHeight="1">
      <c r="A288" s="25" t="str">
        <f>"VSG"&amp;TEXT(I288,"00")&amp;"C-"&amp;TEXT(BenchGDE!$E288,"yy")&amp;TEXT(F288,"000")&amp;Z288&amp;"2."&amp;TEXT((C288),"00")</f>
        <v>VSG02C-24092F2.11</v>
      </c>
      <c r="B288" s="26">
        <v>600</v>
      </c>
      <c r="C288" s="26">
        <v>11</v>
      </c>
      <c r="D288" s="26" t="s">
        <v>333</v>
      </c>
      <c r="E288" s="29">
        <v>45383</v>
      </c>
      <c r="F288" s="30">
        <f t="shared" si="39"/>
        <v>92</v>
      </c>
      <c r="G288" s="26" t="s">
        <v>334</v>
      </c>
      <c r="H288" s="26" t="s">
        <v>335</v>
      </c>
      <c r="I288" s="26">
        <v>2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8" t="s">
        <v>336</v>
      </c>
      <c r="Y288" s="26" t="s">
        <v>293</v>
      </c>
      <c r="Z288" s="26" t="s">
        <v>16</v>
      </c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</row>
    <row r="289" spans="1:36" ht="15" hidden="1" customHeight="1">
      <c r="A289" s="25" t="str">
        <f>"VSG"&amp;TEXT(I289,"00")&amp;"C-"&amp;TEXT(BenchGDE!$E289,"yy")&amp;TEXT(F289,"000")&amp;Z289&amp;"2."&amp;TEXT((C289),"00")</f>
        <v>VSG02C-24092F2.12</v>
      </c>
      <c r="B289" s="26">
        <v>600</v>
      </c>
      <c r="C289" s="26">
        <v>12</v>
      </c>
      <c r="D289" s="26" t="s">
        <v>337</v>
      </c>
      <c r="E289" s="29">
        <v>45383</v>
      </c>
      <c r="F289" s="30">
        <f t="shared" si="39"/>
        <v>92</v>
      </c>
      <c r="G289" s="26" t="s">
        <v>338</v>
      </c>
      <c r="H289" s="26" t="s">
        <v>339</v>
      </c>
      <c r="I289" s="26">
        <v>2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8" t="s">
        <v>340</v>
      </c>
      <c r="Y289" s="26" t="s">
        <v>293</v>
      </c>
      <c r="Z289" s="26" t="s">
        <v>16</v>
      </c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</row>
    <row r="290" spans="1:36" ht="15" hidden="1" customHeight="1">
      <c r="A290" s="25" t="str">
        <f>"VSG"&amp;TEXT(I290,"00")&amp;"C-"&amp;TEXT(BenchGDE!$E290,"yy")&amp;TEXT(F290,"000")&amp;Z290&amp;"2."&amp;TEXT((C290),"00")</f>
        <v>VSG02C-24092F2.13</v>
      </c>
      <c r="B290" s="26">
        <v>600</v>
      </c>
      <c r="C290" s="26">
        <v>13</v>
      </c>
      <c r="D290" s="26" t="s">
        <v>341</v>
      </c>
      <c r="E290" s="29">
        <v>45383</v>
      </c>
      <c r="F290" s="30">
        <f t="shared" si="39"/>
        <v>92</v>
      </c>
      <c r="G290" s="26" t="s">
        <v>342</v>
      </c>
      <c r="H290" s="26" t="s">
        <v>343</v>
      </c>
      <c r="I290" s="26">
        <v>2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8" t="s">
        <v>344</v>
      </c>
      <c r="Y290" s="26" t="s">
        <v>293</v>
      </c>
      <c r="Z290" s="26" t="s">
        <v>16</v>
      </c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</row>
    <row r="291" spans="1:36" ht="15" hidden="1" customHeight="1">
      <c r="A291" s="25" t="str">
        <f>"VSG"&amp;TEXT(I291,"00")&amp;"C-"&amp;TEXT(BenchGDE!$E291,"yy")&amp;TEXT(F291,"000")&amp;Z291&amp;"2."&amp;TEXT((C291),"00")</f>
        <v>VSG02C-24092F2.14</v>
      </c>
      <c r="B291" s="26">
        <v>600</v>
      </c>
      <c r="C291" s="26">
        <v>14</v>
      </c>
      <c r="D291" s="26" t="s">
        <v>345</v>
      </c>
      <c r="E291" s="29">
        <v>45383</v>
      </c>
      <c r="F291" s="30">
        <f t="shared" si="39"/>
        <v>92</v>
      </c>
      <c r="G291" s="26" t="s">
        <v>346</v>
      </c>
      <c r="H291" s="26" t="s">
        <v>347</v>
      </c>
      <c r="I291" s="26">
        <v>2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8" t="s">
        <v>348</v>
      </c>
      <c r="Y291" s="26" t="s">
        <v>293</v>
      </c>
      <c r="Z291" s="26" t="s">
        <v>16</v>
      </c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</row>
    <row r="292" spans="1:36" ht="15" hidden="1" customHeight="1">
      <c r="A292" s="25" t="str">
        <f>"VSG"&amp;TEXT(I292,"00")&amp;"C-"&amp;TEXT(BenchGDE!$E292,"yy")&amp;TEXT(F292,"000")&amp;Z292&amp;"2."&amp;TEXT((C292),"00")</f>
        <v>VSG02C-24092F2.15</v>
      </c>
      <c r="B292" s="26">
        <v>600</v>
      </c>
      <c r="C292" s="26">
        <v>15</v>
      </c>
      <c r="D292" s="26" t="s">
        <v>349</v>
      </c>
      <c r="E292" s="29">
        <v>45383</v>
      </c>
      <c r="F292" s="30">
        <f t="shared" si="39"/>
        <v>92</v>
      </c>
      <c r="G292" s="26" t="s">
        <v>350</v>
      </c>
      <c r="H292" s="26" t="s">
        <v>351</v>
      </c>
      <c r="I292" s="26">
        <v>2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8" t="s">
        <v>352</v>
      </c>
      <c r="Y292" s="26" t="s">
        <v>293</v>
      </c>
      <c r="Z292" s="26" t="s">
        <v>16</v>
      </c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</row>
    <row r="293" spans="1:36" ht="15" hidden="1" customHeight="1">
      <c r="A293" s="25" t="str">
        <f>"VSG"&amp;TEXT(I293,"00")&amp;"C-"&amp;TEXT(BenchGDE!$E293,"yy")&amp;TEXT(F293,"000")&amp;Z293&amp;"2."&amp;TEXT((C293),"00")</f>
        <v>VSG02C-24092F2.16</v>
      </c>
      <c r="B293" s="26">
        <v>600</v>
      </c>
      <c r="C293" s="26">
        <v>16</v>
      </c>
      <c r="D293" s="26" t="s">
        <v>353</v>
      </c>
      <c r="E293" s="29">
        <v>45383</v>
      </c>
      <c r="F293" s="30">
        <f t="shared" si="39"/>
        <v>92</v>
      </c>
      <c r="G293" s="26" t="s">
        <v>354</v>
      </c>
      <c r="H293" s="26" t="s">
        <v>355</v>
      </c>
      <c r="I293" s="26">
        <v>2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8" t="s">
        <v>356</v>
      </c>
      <c r="Y293" s="26" t="s">
        <v>293</v>
      </c>
      <c r="Z293" s="26" t="s">
        <v>16</v>
      </c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</row>
    <row r="294" spans="1:36" ht="15" hidden="1" customHeight="1">
      <c r="A294" s="25" t="str">
        <f>"VSG"&amp;TEXT(I294,"00")&amp;"C-"&amp;TEXT(BenchGDE!$E294,"yy")&amp;TEXT(F294,"000")&amp;Z294&amp;"2."&amp;TEXT((C294),"00")</f>
        <v>VSG02C-24092F2.17</v>
      </c>
      <c r="B294" s="26">
        <v>600</v>
      </c>
      <c r="C294" s="26">
        <v>17</v>
      </c>
      <c r="D294" s="26" t="s">
        <v>357</v>
      </c>
      <c r="E294" s="29">
        <v>45383</v>
      </c>
      <c r="F294" s="30">
        <f t="shared" si="39"/>
        <v>92</v>
      </c>
      <c r="G294" s="26" t="s">
        <v>358</v>
      </c>
      <c r="H294" s="26" t="s">
        <v>359</v>
      </c>
      <c r="I294" s="26">
        <v>2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8" t="s">
        <v>360</v>
      </c>
      <c r="Y294" s="26" t="s">
        <v>293</v>
      </c>
      <c r="Z294" s="26" t="s">
        <v>16</v>
      </c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</row>
    <row r="295" spans="1:36" ht="15" hidden="1" customHeight="1">
      <c r="A295" s="25" t="str">
        <f>"VSG"&amp;TEXT(I295,"00")&amp;"C-"&amp;TEXT(BenchGDE!$E295,"yy")&amp;TEXT(F295,"000")&amp;Z295&amp;"2."&amp;TEXT((C295),"00")</f>
        <v>VSG02C-24092F2.18</v>
      </c>
      <c r="B295" s="26">
        <v>600</v>
      </c>
      <c r="C295" s="26">
        <v>18</v>
      </c>
      <c r="D295" s="26" t="s">
        <v>361</v>
      </c>
      <c r="E295" s="29">
        <v>45383</v>
      </c>
      <c r="F295" s="30">
        <f t="shared" si="39"/>
        <v>92</v>
      </c>
      <c r="G295" s="26" t="s">
        <v>362</v>
      </c>
      <c r="H295" s="26" t="s">
        <v>363</v>
      </c>
      <c r="I295" s="26">
        <v>2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8" t="s">
        <v>364</v>
      </c>
      <c r="Y295" s="26" t="s">
        <v>293</v>
      </c>
      <c r="Z295" s="26" t="s">
        <v>16</v>
      </c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</row>
    <row r="296" spans="1:36" ht="15" hidden="1" customHeight="1">
      <c r="A296" s="25" t="str">
        <f>"VSG"&amp;TEXT(I296,"00")&amp;"C-"&amp;TEXT(BenchGDE!$E296,"yy")&amp;TEXT(F296,"000")&amp;Z296&amp;"2."&amp;TEXT((C296),"00")</f>
        <v>VSG02C-24092F2.19</v>
      </c>
      <c r="B296" s="26">
        <v>600</v>
      </c>
      <c r="C296" s="26">
        <v>19</v>
      </c>
      <c r="D296" s="26" t="s">
        <v>365</v>
      </c>
      <c r="E296" s="29">
        <v>45383</v>
      </c>
      <c r="F296" s="30">
        <f t="shared" si="39"/>
        <v>92</v>
      </c>
      <c r="G296" s="26" t="s">
        <v>366</v>
      </c>
      <c r="H296" s="26" t="s">
        <v>367</v>
      </c>
      <c r="I296" s="26">
        <v>2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8" t="s">
        <v>368</v>
      </c>
      <c r="Y296" s="26" t="s">
        <v>293</v>
      </c>
      <c r="Z296" s="26" t="s">
        <v>16</v>
      </c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</row>
    <row r="297" spans="1:36" ht="15" hidden="1" customHeight="1">
      <c r="A297" s="25" t="str">
        <f>"VSG"&amp;TEXT(I297,"00")&amp;"C-"&amp;TEXT(BenchGDE!$E297,"yy")&amp;TEXT(F297,"000")&amp;Z297&amp;"2."&amp;TEXT((C297),"00")</f>
        <v>VSG02C-24092F2.20</v>
      </c>
      <c r="B297" s="26">
        <v>600</v>
      </c>
      <c r="C297" s="26">
        <v>20</v>
      </c>
      <c r="D297" s="26" t="s">
        <v>369</v>
      </c>
      <c r="E297" s="29">
        <v>45383</v>
      </c>
      <c r="F297" s="30">
        <f t="shared" ref="F297:F314" si="40">E297-DATE(YEAR(E297),1,0)</f>
        <v>92</v>
      </c>
      <c r="G297" s="26" t="s">
        <v>370</v>
      </c>
      <c r="H297" s="26" t="s">
        <v>371</v>
      </c>
      <c r="I297" s="26">
        <v>2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8" t="s">
        <v>372</v>
      </c>
      <c r="Y297" s="26" t="s">
        <v>293</v>
      </c>
      <c r="Z297" s="26" t="s">
        <v>16</v>
      </c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</row>
    <row r="298" spans="1:36" ht="15" hidden="1" customHeight="1">
      <c r="A298" s="25" t="str">
        <f>"VSG"&amp;TEXT(I298,"00")&amp;"C-"&amp;TEXT(BenchGDE!$E298,"yy")&amp;TEXT(F298,"000")&amp;Z298&amp;"2."&amp;TEXT((C298),"00")</f>
        <v>VSG02C-24092F2.21</v>
      </c>
      <c r="B298" s="26">
        <v>600</v>
      </c>
      <c r="C298" s="26">
        <v>21</v>
      </c>
      <c r="D298" s="26" t="s">
        <v>373</v>
      </c>
      <c r="E298" s="29">
        <v>45383</v>
      </c>
      <c r="F298" s="30">
        <f t="shared" si="40"/>
        <v>92</v>
      </c>
      <c r="G298" s="26" t="s">
        <v>374</v>
      </c>
      <c r="H298" s="26" t="s">
        <v>375</v>
      </c>
      <c r="I298" s="26">
        <v>2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8" t="s">
        <v>376</v>
      </c>
      <c r="Y298" s="26" t="s">
        <v>293</v>
      </c>
      <c r="Z298" s="26" t="s">
        <v>16</v>
      </c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</row>
    <row r="299" spans="1:36" ht="15" hidden="1" customHeight="1">
      <c r="A299" s="25" t="str">
        <f>"VSG"&amp;TEXT(I299,"00")&amp;"C-"&amp;TEXT(BenchGDE!$E299,"yy")&amp;TEXT(F299,"000")&amp;Z299&amp;"2."&amp;TEXT((C299),"00")</f>
        <v>VSG02C-24092F2.22</v>
      </c>
      <c r="B299" s="26">
        <v>600</v>
      </c>
      <c r="C299" s="26">
        <v>22</v>
      </c>
      <c r="D299" s="26" t="s">
        <v>377</v>
      </c>
      <c r="E299" s="29">
        <v>45383</v>
      </c>
      <c r="F299" s="30">
        <f t="shared" si="40"/>
        <v>92</v>
      </c>
      <c r="G299" s="26" t="s">
        <v>378</v>
      </c>
      <c r="H299" s="26" t="s">
        <v>379</v>
      </c>
      <c r="I299" s="26">
        <v>2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>
        <v>0.13800000000000001</v>
      </c>
      <c r="W299" s="26"/>
      <c r="X299" s="28" t="s">
        <v>380</v>
      </c>
      <c r="Y299" s="26" t="s">
        <v>293</v>
      </c>
      <c r="Z299" s="26" t="s">
        <v>16</v>
      </c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</row>
    <row r="300" spans="1:36" ht="15" hidden="1" customHeight="1">
      <c r="A300" s="25" t="str">
        <f>"VSG"&amp;TEXT(I300,"00")&amp;"C-"&amp;TEXT(BenchGDE!$E300,"yy")&amp;TEXT(F300,"000")&amp;Z300&amp;"2."&amp;TEXT((C300),"00")</f>
        <v>VSG02C-24092F2.23</v>
      </c>
      <c r="B300" s="26">
        <v>600</v>
      </c>
      <c r="C300" s="26">
        <v>23</v>
      </c>
      <c r="D300" s="26" t="s">
        <v>381</v>
      </c>
      <c r="E300" s="29">
        <v>45383</v>
      </c>
      <c r="F300" s="30">
        <f t="shared" si="40"/>
        <v>92</v>
      </c>
      <c r="G300" s="26" t="s">
        <v>382</v>
      </c>
      <c r="H300" s="26" t="s">
        <v>383</v>
      </c>
      <c r="I300" s="26">
        <v>2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>
        <v>0.155</v>
      </c>
      <c r="W300" s="26"/>
      <c r="X300" s="28" t="s">
        <v>384</v>
      </c>
      <c r="Y300" s="26" t="s">
        <v>293</v>
      </c>
      <c r="Z300" s="26" t="s">
        <v>16</v>
      </c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</row>
    <row r="301" spans="1:36" ht="15" hidden="1" customHeight="1">
      <c r="A301" s="25" t="str">
        <f>"VSG"&amp;TEXT(I301,"00")&amp;"C-"&amp;TEXT(BenchGDE!$E301,"yy")&amp;TEXT(F301,"000")&amp;Z301&amp;"2."&amp;TEXT((C301),"00")</f>
        <v>VSG02C-24092F2.24</v>
      </c>
      <c r="B301" s="26">
        <v>600</v>
      </c>
      <c r="C301" s="26">
        <v>24</v>
      </c>
      <c r="D301" s="26" t="s">
        <v>385</v>
      </c>
      <c r="E301" s="29">
        <v>45383</v>
      </c>
      <c r="F301" s="30">
        <f t="shared" si="40"/>
        <v>92</v>
      </c>
      <c r="G301" s="26" t="s">
        <v>386</v>
      </c>
      <c r="H301" s="26" t="s">
        <v>387</v>
      </c>
      <c r="I301" s="26">
        <v>2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>
        <v>0.41</v>
      </c>
      <c r="W301" s="26"/>
      <c r="X301" s="28" t="s">
        <v>388</v>
      </c>
      <c r="Y301" s="26" t="s">
        <v>293</v>
      </c>
      <c r="Z301" s="26" t="s">
        <v>16</v>
      </c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</row>
    <row r="302" spans="1:36" ht="15" hidden="1" customHeight="1">
      <c r="A302" s="25" t="str">
        <f>"VSG"&amp;TEXT(I302,"00")&amp;"C-"&amp;TEXT(BenchGDE!$E302,"yy")&amp;TEXT(F302,"000")&amp;Z302&amp;"2."&amp;TEXT((C302),"00")</f>
        <v>VSG02C-24092F2.25</v>
      </c>
      <c r="B302" s="26">
        <v>600</v>
      </c>
      <c r="C302" s="26">
        <v>25</v>
      </c>
      <c r="D302" s="26" t="s">
        <v>389</v>
      </c>
      <c r="E302" s="29">
        <v>45383</v>
      </c>
      <c r="F302" s="30">
        <f t="shared" si="40"/>
        <v>92</v>
      </c>
      <c r="G302" s="26" t="s">
        <v>390</v>
      </c>
      <c r="H302" s="26" t="s">
        <v>391</v>
      </c>
      <c r="I302" s="26">
        <v>2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>
        <v>0.16</v>
      </c>
      <c r="W302" s="26"/>
      <c r="X302" s="28" t="s">
        <v>392</v>
      </c>
      <c r="Y302" s="26" t="s">
        <v>293</v>
      </c>
      <c r="Z302" s="26" t="s">
        <v>16</v>
      </c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</row>
    <row r="303" spans="1:36" ht="15" hidden="1" customHeight="1">
      <c r="A303" s="25" t="str">
        <f>"VSG"&amp;TEXT(I303,"00")&amp;"C-"&amp;TEXT(BenchGDE!$E303,"yy")&amp;TEXT(F303,"000")&amp;Z303&amp;"2."&amp;TEXT((C303),"00")</f>
        <v>VSG02C-24092F2.26</v>
      </c>
      <c r="B303" s="26">
        <v>600</v>
      </c>
      <c r="C303" s="26">
        <v>26</v>
      </c>
      <c r="D303" s="26" t="s">
        <v>393</v>
      </c>
      <c r="E303" s="29">
        <v>45383</v>
      </c>
      <c r="F303" s="30">
        <f t="shared" si="40"/>
        <v>92</v>
      </c>
      <c r="G303" s="26" t="s">
        <v>394</v>
      </c>
      <c r="H303" s="26" t="s">
        <v>395</v>
      </c>
      <c r="I303" s="26">
        <v>2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>
        <v>0.16</v>
      </c>
      <c r="W303" s="26"/>
      <c r="X303" s="28" t="s">
        <v>396</v>
      </c>
      <c r="Y303" s="26" t="s">
        <v>293</v>
      </c>
      <c r="Z303" s="26" t="s">
        <v>16</v>
      </c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</row>
    <row r="304" spans="1:36" ht="15" hidden="1" customHeight="1">
      <c r="A304" s="25" t="str">
        <f>"VSG"&amp;TEXT(I304,"00")&amp;"C-"&amp;TEXT(BenchGDE!$E304,"yy")&amp;TEXT(F304,"000")&amp;Z304&amp;"2."&amp;TEXT((C304),"00")</f>
        <v>VSG02C-24092F2.27</v>
      </c>
      <c r="B304" s="26">
        <v>600</v>
      </c>
      <c r="C304" s="26">
        <v>27</v>
      </c>
      <c r="D304" s="26" t="s">
        <v>397</v>
      </c>
      <c r="E304" s="29">
        <v>45383</v>
      </c>
      <c r="F304" s="30">
        <f t="shared" si="40"/>
        <v>92</v>
      </c>
      <c r="G304" s="26" t="s">
        <v>398</v>
      </c>
      <c r="H304" s="26" t="s">
        <v>399</v>
      </c>
      <c r="I304" s="26">
        <v>2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8" t="s">
        <v>400</v>
      </c>
      <c r="Y304" s="26" t="s">
        <v>293</v>
      </c>
      <c r="Z304" s="26" t="s">
        <v>16</v>
      </c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</row>
    <row r="305" spans="1:36" ht="15" hidden="1" customHeight="1">
      <c r="A305" s="76" t="str">
        <f>"VSG"&amp;TEXT(I305,"00")&amp;"C-"&amp;TEXT(BenchGDE!$E305,"yy")&amp;TEXT(F305,"000")&amp;Z305&amp;"2."&amp;TEXT((C305),"00")</f>
        <v>VSG02C-24092F2.28</v>
      </c>
      <c r="B305" s="77">
        <v>600</v>
      </c>
      <c r="C305" s="77">
        <v>28</v>
      </c>
      <c r="D305" s="77" t="s">
        <v>401</v>
      </c>
      <c r="E305" s="78">
        <v>45383</v>
      </c>
      <c r="F305" s="79">
        <f t="shared" si="40"/>
        <v>92</v>
      </c>
      <c r="G305" s="77" t="s">
        <v>402</v>
      </c>
      <c r="H305" s="77" t="s">
        <v>403</v>
      </c>
      <c r="I305" s="77">
        <v>2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8" t="s">
        <v>404</v>
      </c>
      <c r="Y305" s="26" t="s">
        <v>293</v>
      </c>
      <c r="Z305" s="26" t="s">
        <v>16</v>
      </c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</row>
    <row r="306" spans="1:36" ht="15" hidden="1" customHeight="1">
      <c r="A306" s="25" t="str">
        <f>"VSG"&amp;TEXT(I306,"00")&amp;"C-"&amp;TEXT(BenchGDE!$E306,"yy")&amp;TEXT(F306,"000")&amp;Z306&amp;"2."&amp;TEXT((C306),"00")</f>
        <v>VSG02C-24092F2.29</v>
      </c>
      <c r="B306" s="26">
        <v>600</v>
      </c>
      <c r="C306" s="26">
        <v>29</v>
      </c>
      <c r="D306" s="26" t="s">
        <v>405</v>
      </c>
      <c r="E306" s="29">
        <v>45383</v>
      </c>
      <c r="F306" s="30">
        <f t="shared" si="40"/>
        <v>92</v>
      </c>
      <c r="G306" s="26" t="s">
        <v>406</v>
      </c>
      <c r="H306" s="26" t="s">
        <v>407</v>
      </c>
      <c r="I306" s="26">
        <v>2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8" t="s">
        <v>408</v>
      </c>
      <c r="Y306" s="26" t="s">
        <v>293</v>
      </c>
      <c r="Z306" s="26" t="s">
        <v>16</v>
      </c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spans="1:36" ht="15" hidden="1" customHeight="1">
      <c r="A307" s="25" t="str">
        <f>"VSG"&amp;TEXT(I307,"00")&amp;"C-"&amp;TEXT(BenchGDE!$E307,"yy")&amp;TEXT(F307,"000")&amp;Z307&amp;"2."&amp;TEXT((C307),"00")</f>
        <v>VSG02C-24092F2.30</v>
      </c>
      <c r="B307" s="26">
        <v>600</v>
      </c>
      <c r="C307" s="26">
        <v>30</v>
      </c>
      <c r="D307" s="26" t="s">
        <v>409</v>
      </c>
      <c r="E307" s="29">
        <v>45383</v>
      </c>
      <c r="F307" s="30">
        <f t="shared" si="40"/>
        <v>92</v>
      </c>
      <c r="G307" s="26" t="s">
        <v>410</v>
      </c>
      <c r="H307" s="26" t="s">
        <v>411</v>
      </c>
      <c r="I307" s="26">
        <v>2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8" t="s">
        <v>412</v>
      </c>
      <c r="Y307" s="26" t="s">
        <v>293</v>
      </c>
      <c r="Z307" s="26" t="s">
        <v>16</v>
      </c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</row>
    <row r="308" spans="1:36" ht="15" hidden="1" customHeight="1">
      <c r="A308" s="25" t="str">
        <f>"VSG"&amp;TEXT(I308,"00")&amp;"C-"&amp;TEXT(BenchGDE!$E308,"yy")&amp;TEXT(F308,"000")&amp;Z308&amp;"2."&amp;TEXT((C308),"00")</f>
        <v>VSG02C-24092F2.31</v>
      </c>
      <c r="B308" s="26">
        <v>600</v>
      </c>
      <c r="C308" s="26">
        <v>31</v>
      </c>
      <c r="D308" s="26" t="s">
        <v>413</v>
      </c>
      <c r="E308" s="29">
        <v>45383</v>
      </c>
      <c r="F308" s="30">
        <f t="shared" si="40"/>
        <v>92</v>
      </c>
      <c r="G308" s="26" t="s">
        <v>414</v>
      </c>
      <c r="H308" s="26" t="s">
        <v>415</v>
      </c>
      <c r="I308" s="26">
        <v>2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8" t="s">
        <v>416</v>
      </c>
      <c r="Y308" s="26" t="s">
        <v>293</v>
      </c>
      <c r="Z308" s="26" t="s">
        <v>16</v>
      </c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</row>
    <row r="309" spans="1:36" ht="15" hidden="1" customHeight="1">
      <c r="A309" s="25" t="str">
        <f>"VSG"&amp;TEXT(I309,"00")&amp;"C-"&amp;TEXT(BenchGDE!$E309,"yy")&amp;TEXT(F309,"000")&amp;Z309&amp;"2."&amp;TEXT((C309),"00")</f>
        <v>VSG02C-24092F2.32</v>
      </c>
      <c r="B309" s="26">
        <v>600</v>
      </c>
      <c r="C309" s="26">
        <v>32</v>
      </c>
      <c r="D309" s="26" t="s">
        <v>417</v>
      </c>
      <c r="E309" s="29">
        <v>45383</v>
      </c>
      <c r="F309" s="30">
        <f t="shared" si="40"/>
        <v>92</v>
      </c>
      <c r="G309" s="26" t="s">
        <v>418</v>
      </c>
      <c r="H309" s="26" t="s">
        <v>419</v>
      </c>
      <c r="I309" s="26">
        <v>2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8" t="s">
        <v>420</v>
      </c>
      <c r="Y309" s="26" t="s">
        <v>293</v>
      </c>
      <c r="Z309" s="26" t="s">
        <v>16</v>
      </c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spans="1:36" ht="15" hidden="1" customHeight="1">
      <c r="A310" s="25" t="str">
        <f>"VSG"&amp;TEXT(I310,"00")&amp;"C-"&amp;TEXT(BenchGDE!$E310,"yy")&amp;TEXT(F310,"000")&amp;Z310&amp;"2."&amp;TEXT((C310),"00")</f>
        <v>VSG02C-24092F2.33</v>
      </c>
      <c r="B310" s="26">
        <v>600</v>
      </c>
      <c r="C310" s="26">
        <v>33</v>
      </c>
      <c r="D310" s="26" t="s">
        <v>421</v>
      </c>
      <c r="E310" s="29">
        <v>45383</v>
      </c>
      <c r="F310" s="30">
        <f t="shared" si="40"/>
        <v>92</v>
      </c>
      <c r="G310" s="26" t="s">
        <v>422</v>
      </c>
      <c r="H310" s="26" t="s">
        <v>423</v>
      </c>
      <c r="I310" s="26">
        <v>2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8" t="s">
        <v>424</v>
      </c>
      <c r="Y310" s="26" t="s">
        <v>293</v>
      </c>
      <c r="Z310" s="26" t="s">
        <v>16</v>
      </c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spans="1:36" ht="15" hidden="1" customHeight="1">
      <c r="A311" s="25" t="str">
        <f>"VSG"&amp;TEXT(I311,"00")&amp;"C-"&amp;TEXT(BenchGDE!$E311,"yy")&amp;TEXT(F311,"000")&amp;Z311&amp;"2."&amp;TEXT((C311),"00")</f>
        <v>VSG02C-24092F2.34</v>
      </c>
      <c r="B311" s="26">
        <v>600</v>
      </c>
      <c r="C311" s="26">
        <v>34</v>
      </c>
      <c r="D311" s="26" t="s">
        <v>425</v>
      </c>
      <c r="E311" s="29">
        <v>45383</v>
      </c>
      <c r="F311" s="30">
        <f t="shared" si="40"/>
        <v>92</v>
      </c>
      <c r="G311" s="26" t="s">
        <v>426</v>
      </c>
      <c r="H311" s="26" t="s">
        <v>427</v>
      </c>
      <c r="I311" s="26">
        <v>2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8" t="s">
        <v>428</v>
      </c>
      <c r="Y311" s="26" t="s">
        <v>293</v>
      </c>
      <c r="Z311" s="26" t="s">
        <v>16</v>
      </c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</row>
    <row r="312" spans="1:36" ht="15" hidden="1" customHeight="1">
      <c r="A312" s="25" t="str">
        <f>"VSG"&amp;TEXT(I312,"00")&amp;"C-"&amp;TEXT(BenchGDE!$E312,"yy")&amp;TEXT(F312,"000")&amp;Z312&amp;"2."&amp;TEXT((C312),"00")</f>
        <v>VSG02C-24092F2.35</v>
      </c>
      <c r="B312" s="26">
        <v>600</v>
      </c>
      <c r="C312" s="26">
        <v>35</v>
      </c>
      <c r="D312" s="26" t="s">
        <v>429</v>
      </c>
      <c r="E312" s="29">
        <v>45383</v>
      </c>
      <c r="F312" s="30">
        <f t="shared" si="40"/>
        <v>92</v>
      </c>
      <c r="G312" s="26" t="s">
        <v>430</v>
      </c>
      <c r="H312" s="26" t="s">
        <v>431</v>
      </c>
      <c r="I312" s="26">
        <v>2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8" t="s">
        <v>432</v>
      </c>
      <c r="Y312" s="26" t="s">
        <v>293</v>
      </c>
      <c r="Z312" s="26" t="s">
        <v>16</v>
      </c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</row>
    <row r="313" spans="1:36" ht="15" hidden="1" customHeight="1">
      <c r="A313" s="25" t="str">
        <f>"VSG"&amp;TEXT(I313,"00")&amp;"C-"&amp;TEXT(BenchGDE!$E313,"yy")&amp;TEXT(F313,"000")&amp;Z313&amp;"2."&amp;TEXT((C313),"00")</f>
        <v>VSG02C-24092F2.36</v>
      </c>
      <c r="B313" s="26">
        <v>600</v>
      </c>
      <c r="C313" s="26">
        <v>36</v>
      </c>
      <c r="D313" s="26" t="s">
        <v>433</v>
      </c>
      <c r="E313" s="29">
        <v>45383</v>
      </c>
      <c r="F313" s="30">
        <f t="shared" si="40"/>
        <v>92</v>
      </c>
      <c r="G313" s="26" t="s">
        <v>434</v>
      </c>
      <c r="H313" s="26" t="s">
        <v>435</v>
      </c>
      <c r="I313" s="26">
        <v>2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8" t="s">
        <v>436</v>
      </c>
      <c r="Y313" s="26" t="s">
        <v>293</v>
      </c>
      <c r="Z313" s="26" t="s">
        <v>16</v>
      </c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</row>
    <row r="314" spans="1:36" ht="15" hidden="1" customHeight="1">
      <c r="A314" s="25" t="str">
        <f>"VSG"&amp;TEXT(I314,"00")&amp;"C-"&amp;TEXT(BenchGDE!$E314,"yy")&amp;TEXT(F314,"000")&amp;Z314&amp;"2."&amp;TEXT((C314),"00")</f>
        <v>VSG02C-24092F2.37</v>
      </c>
      <c r="B314" s="26">
        <v>600</v>
      </c>
      <c r="C314" s="26">
        <v>37</v>
      </c>
      <c r="D314" s="26" t="s">
        <v>437</v>
      </c>
      <c r="E314" s="29">
        <v>45383</v>
      </c>
      <c r="F314" s="30">
        <f t="shared" si="40"/>
        <v>92</v>
      </c>
      <c r="G314" s="26" t="s">
        <v>438</v>
      </c>
      <c r="H314" s="26" t="s">
        <v>439</v>
      </c>
      <c r="I314" s="26">
        <v>2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8" t="s">
        <v>440</v>
      </c>
      <c r="Y314" s="26" t="s">
        <v>293</v>
      </c>
      <c r="Z314" s="26" t="s">
        <v>16</v>
      </c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spans="1:36" ht="15" customHeight="1">
      <c r="A315" s="25" t="str">
        <f>"VSG"&amp;TEXT(I315,"00")&amp;"C-"&amp;TEXT(BenchGDE!$E315,"yy")&amp;TEXT(F315,"000")&amp;Z315&amp;"2."&amp;TEXT((C315),"00")</f>
        <v>VSG01C-24092F2.01</v>
      </c>
      <c r="B315" s="26">
        <v>100</v>
      </c>
      <c r="C315" s="26">
        <v>1</v>
      </c>
      <c r="D315" s="26" t="s">
        <v>441</v>
      </c>
      <c r="E315" s="29">
        <v>45383</v>
      </c>
      <c r="F315" s="30">
        <f>E315-DATE(YEAR(E315),1,0)</f>
        <v>92</v>
      </c>
      <c r="G315" s="26" t="s">
        <v>438</v>
      </c>
      <c r="H315" s="26" t="s">
        <v>439</v>
      </c>
      <c r="I315" s="26">
        <v>1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>
        <v>0.20699999999999999</v>
      </c>
      <c r="V315" s="26"/>
      <c r="W315" s="26"/>
      <c r="X315" s="28" t="s">
        <v>440</v>
      </c>
      <c r="Y315" s="26" t="s">
        <v>293</v>
      </c>
      <c r="Z315" s="26" t="s">
        <v>16</v>
      </c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spans="1:36" ht="15" customHeight="1">
      <c r="A316" s="25" t="str">
        <f>"VSG"&amp;TEXT(I316,"00")&amp;"C-"&amp;TEXT(BenchGDE!$E316,"yy")&amp;TEXT(F316,"000")&amp;Z316&amp;"2."&amp;TEXT((C316),"00")</f>
        <v>VSG01C-24092F2.02</v>
      </c>
      <c r="B316" s="26">
        <v>100</v>
      </c>
      <c r="C316" s="26">
        <v>2</v>
      </c>
      <c r="D316" s="26" t="s">
        <v>441</v>
      </c>
      <c r="E316" s="29">
        <v>45383</v>
      </c>
      <c r="F316" s="30">
        <f>E316-DATE(YEAR(E316),1,0)</f>
        <v>92</v>
      </c>
      <c r="G316" s="26" t="s">
        <v>438</v>
      </c>
      <c r="H316" s="26" t="s">
        <v>439</v>
      </c>
      <c r="I316" s="26">
        <v>1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>
        <v>0.2452</v>
      </c>
      <c r="V316" s="26"/>
      <c r="W316" s="26"/>
      <c r="X316" s="28" t="s">
        <v>440</v>
      </c>
      <c r="Y316" s="26" t="s">
        <v>293</v>
      </c>
      <c r="Z316" s="26" t="s">
        <v>16</v>
      </c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spans="1:36" ht="15" customHeight="1">
      <c r="A317" s="25" t="str">
        <f>"VSG"&amp;TEXT(I317,"00")&amp;"C-"&amp;TEXT(BenchGDE!$E317,"yy")&amp;TEXT(F317,"000")&amp;Z317&amp;"2."&amp;TEXT((C317),"00")</f>
        <v>VSG01C-24092F2.03</v>
      </c>
      <c r="B317" s="26">
        <v>100</v>
      </c>
      <c r="C317" s="26">
        <v>3</v>
      </c>
      <c r="D317" s="26" t="s">
        <v>441</v>
      </c>
      <c r="E317" s="29">
        <v>45383</v>
      </c>
      <c r="F317" s="30">
        <f>E317-DATE(YEAR(E317),1,0)</f>
        <v>92</v>
      </c>
      <c r="G317" s="26" t="s">
        <v>438</v>
      </c>
      <c r="H317" s="26" t="s">
        <v>439</v>
      </c>
      <c r="I317" s="26">
        <v>1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>
        <v>0.2258</v>
      </c>
      <c r="V317" s="26"/>
      <c r="W317" s="26"/>
      <c r="X317" s="28" t="s">
        <v>440</v>
      </c>
      <c r="Y317" s="26" t="s">
        <v>293</v>
      </c>
      <c r="Z317" s="26" t="s">
        <v>16</v>
      </c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spans="1:36" ht="15" customHeight="1">
      <c r="A318" s="25" t="str">
        <f>"VSG"&amp;TEXT(I318,"00")&amp;"C-"&amp;TEXT(BenchGDE!$E318,"yy")&amp;TEXT(F318,"000")&amp;Z318&amp;"2."&amp;TEXT((C318),"00")</f>
        <v>VSG01C-24064F2.07</v>
      </c>
      <c r="B318" s="26">
        <v>100</v>
      </c>
      <c r="C318" s="26">
        <v>7</v>
      </c>
      <c r="D318" s="26" t="s">
        <v>442</v>
      </c>
      <c r="E318" s="29">
        <v>45355</v>
      </c>
      <c r="F318" s="30">
        <f>E318-DATE(YEAR(E318),1,0)</f>
        <v>64</v>
      </c>
      <c r="G318" s="26" t="s">
        <v>438</v>
      </c>
      <c r="H318" s="26" t="s">
        <v>439</v>
      </c>
      <c r="I318" s="26">
        <v>1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>
        <v>0.154</v>
      </c>
      <c r="V318" s="26"/>
      <c r="W318" s="26"/>
      <c r="X318" s="28" t="s">
        <v>440</v>
      </c>
      <c r="Y318" s="26" t="s">
        <v>293</v>
      </c>
      <c r="Z318" s="26" t="s">
        <v>16</v>
      </c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spans="1:36" ht="15" customHeight="1">
      <c r="A319" s="25" t="str">
        <f>"VSG"&amp;TEXT(I319,"00")&amp;"C-"&amp;TEXT(BenchGDE!$E319,"yy")&amp;TEXT(F319,"000")&amp;Z319&amp;"2."&amp;TEXT((C319),"00")</f>
        <v>VSG01C-24064F2.08</v>
      </c>
      <c r="B319" s="26">
        <v>100</v>
      </c>
      <c r="C319" s="26">
        <v>8</v>
      </c>
      <c r="D319" s="26" t="s">
        <v>442</v>
      </c>
      <c r="E319" s="29">
        <v>45355</v>
      </c>
      <c r="F319" s="30">
        <f>E319-DATE(YEAR(E319),1,0)</f>
        <v>64</v>
      </c>
      <c r="G319" s="26" t="s">
        <v>438</v>
      </c>
      <c r="H319" s="26" t="s">
        <v>439</v>
      </c>
      <c r="I319" s="26">
        <v>1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>
        <v>0.154</v>
      </c>
      <c r="V319" s="26"/>
      <c r="W319" s="26"/>
      <c r="X319" s="28" t="s">
        <v>440</v>
      </c>
      <c r="Y319" s="26" t="s">
        <v>293</v>
      </c>
      <c r="Z319" s="26" t="s">
        <v>16</v>
      </c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spans="1:36" ht="15" hidden="1" customHeight="1">
      <c r="A320" s="25"/>
      <c r="B320" s="26"/>
      <c r="C320" s="26"/>
      <c r="D320" s="26"/>
      <c r="E320" s="26"/>
      <c r="F320" s="30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8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spans="1:36" ht="15" hidden="1" customHeight="1">
      <c r="A321" s="25" t="str">
        <f>"VSG"&amp;TEXT(I321,"00")&amp;"C-"&amp;TEXT(BenchGDE!$E321,"yy")&amp;TEXT(F321,"000")&amp;Z321&amp;"2."&amp;TEXT((C321),"00")</f>
        <v>VSG02C-24106F2.01</v>
      </c>
      <c r="B321" s="26">
        <v>600</v>
      </c>
      <c r="C321" s="26">
        <v>1</v>
      </c>
      <c r="D321" s="26" t="s">
        <v>443</v>
      </c>
      <c r="E321" s="29">
        <v>45397</v>
      </c>
      <c r="F321" s="30">
        <f>E321-DATE(YEAR(E321),1,0)</f>
        <v>106</v>
      </c>
      <c r="G321" s="26" t="s">
        <v>444</v>
      </c>
      <c r="H321" s="26" t="s">
        <v>439</v>
      </c>
      <c r="I321" s="26">
        <v>2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8" t="s">
        <v>440</v>
      </c>
      <c r="Y321" s="26" t="s">
        <v>293</v>
      </c>
      <c r="Z321" s="26" t="s">
        <v>16</v>
      </c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spans="1:36" ht="15" hidden="1" customHeight="1">
      <c r="A322" s="25" t="str">
        <f>"VSG"&amp;TEXT(I322,"00")&amp;"C-"&amp;TEXT(BenchGDE!$E322,"yy")&amp;TEXT(F322,"000")&amp;Z322&amp;"2."&amp;TEXT((C322),"00")</f>
        <v>VSG02C-24106F2.02</v>
      </c>
      <c r="B322" s="26">
        <v>600</v>
      </c>
      <c r="C322" s="26">
        <v>2</v>
      </c>
      <c r="D322" s="26" t="s">
        <v>445</v>
      </c>
      <c r="E322" s="29">
        <v>45397</v>
      </c>
      <c r="F322" s="30">
        <f t="shared" ref="F322:F336" si="41">E322-DATE(YEAR(E322),1,0)</f>
        <v>106</v>
      </c>
      <c r="G322" s="26" t="s">
        <v>444</v>
      </c>
      <c r="H322" s="26" t="s">
        <v>439</v>
      </c>
      <c r="I322" s="26">
        <v>2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8" t="s">
        <v>440</v>
      </c>
      <c r="Y322" s="26" t="s">
        <v>293</v>
      </c>
      <c r="Z322" s="26" t="s">
        <v>16</v>
      </c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spans="1:36" ht="15" hidden="1" customHeight="1">
      <c r="A323" s="25" t="str">
        <f>"VSG"&amp;TEXT(I323,"00")&amp;"C-"&amp;TEXT(BenchGDE!$E323,"yy")&amp;TEXT(F323,"000")&amp;Z323&amp;"2."&amp;TEXT((C323),"00")</f>
        <v>VSG02C-24106F2.03</v>
      </c>
      <c r="B323" s="26">
        <v>600</v>
      </c>
      <c r="C323" s="26">
        <v>3</v>
      </c>
      <c r="D323" s="26" t="s">
        <v>446</v>
      </c>
      <c r="E323" s="29">
        <v>45397</v>
      </c>
      <c r="F323" s="30">
        <f t="shared" si="41"/>
        <v>106</v>
      </c>
      <c r="G323" s="26" t="s">
        <v>444</v>
      </c>
      <c r="H323" s="26" t="s">
        <v>439</v>
      </c>
      <c r="I323" s="26">
        <v>2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8" t="s">
        <v>440</v>
      </c>
      <c r="Y323" s="26" t="s">
        <v>293</v>
      </c>
      <c r="Z323" s="26" t="s">
        <v>16</v>
      </c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spans="1:36" ht="15" hidden="1" customHeight="1">
      <c r="A324" s="25" t="str">
        <f>"VSG"&amp;TEXT(I324,"00")&amp;"C-"&amp;TEXT(BenchGDE!$E324,"yy")&amp;TEXT(F324,"000")&amp;Z324&amp;"2."&amp;TEXT((C324),"00")</f>
        <v>VSG02C-24106F2.04</v>
      </c>
      <c r="B324" s="26">
        <v>600</v>
      </c>
      <c r="C324" s="26">
        <v>4</v>
      </c>
      <c r="D324" s="26" t="s">
        <v>447</v>
      </c>
      <c r="E324" s="29">
        <v>45397</v>
      </c>
      <c r="F324" s="30">
        <f t="shared" si="41"/>
        <v>106</v>
      </c>
      <c r="G324" s="26" t="s">
        <v>444</v>
      </c>
      <c r="H324" s="26" t="s">
        <v>439</v>
      </c>
      <c r="I324" s="26">
        <v>2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8" t="s">
        <v>440</v>
      </c>
      <c r="Y324" s="26" t="s">
        <v>293</v>
      </c>
      <c r="Z324" s="26" t="s">
        <v>16</v>
      </c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spans="1:36" ht="15" hidden="1" customHeight="1">
      <c r="A325" s="25" t="str">
        <f>"VSG"&amp;TEXT(I325,"00")&amp;"C-"&amp;TEXT(BenchGDE!$E325,"yy")&amp;TEXT(F325,"000")&amp;Z325&amp;"2."&amp;TEXT((C325),"00")</f>
        <v>VSG02C-24106F2.05</v>
      </c>
      <c r="B325" s="26">
        <v>600</v>
      </c>
      <c r="C325" s="26">
        <v>5</v>
      </c>
      <c r="D325" s="26" t="s">
        <v>448</v>
      </c>
      <c r="E325" s="29">
        <v>45397</v>
      </c>
      <c r="F325" s="30">
        <f t="shared" si="41"/>
        <v>106</v>
      </c>
      <c r="G325" s="26" t="s">
        <v>444</v>
      </c>
      <c r="H325" s="26" t="s">
        <v>439</v>
      </c>
      <c r="I325" s="26">
        <v>2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8" t="s">
        <v>440</v>
      </c>
      <c r="Y325" s="26" t="s">
        <v>293</v>
      </c>
      <c r="Z325" s="26" t="s">
        <v>16</v>
      </c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spans="1:36" ht="15" hidden="1" customHeight="1">
      <c r="A326" s="25" t="str">
        <f>"VSG"&amp;TEXT(I326,"00")&amp;"C-"&amp;TEXT(BenchGDE!$E326,"yy")&amp;TEXT(F326,"000")&amp;Z326&amp;"2."&amp;TEXT((C326),"00")</f>
        <v>VSG02C-24106F2.06</v>
      </c>
      <c r="B326" s="26">
        <v>600</v>
      </c>
      <c r="C326" s="26">
        <v>6</v>
      </c>
      <c r="D326" s="26" t="s">
        <v>449</v>
      </c>
      <c r="E326" s="29">
        <v>45397</v>
      </c>
      <c r="F326" s="30">
        <f t="shared" si="41"/>
        <v>106</v>
      </c>
      <c r="G326" s="26" t="s">
        <v>444</v>
      </c>
      <c r="H326" s="26" t="s">
        <v>439</v>
      </c>
      <c r="I326" s="26">
        <v>2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8" t="s">
        <v>440</v>
      </c>
      <c r="Y326" s="26" t="s">
        <v>293</v>
      </c>
      <c r="Z326" s="26" t="s">
        <v>16</v>
      </c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spans="1:36" ht="15" hidden="1" customHeight="1">
      <c r="A327" s="25" t="str">
        <f>"VSG"&amp;TEXT(I327,"00")&amp;"C-"&amp;TEXT(BenchGDE!$E327,"yy")&amp;TEXT(F327,"000")&amp;Z327&amp;"2."&amp;TEXT((C327),"00")</f>
        <v>VSG02C-24106F2.07</v>
      </c>
      <c r="B327" s="26">
        <v>600</v>
      </c>
      <c r="C327" s="26">
        <v>7</v>
      </c>
      <c r="D327" s="26" t="s">
        <v>450</v>
      </c>
      <c r="E327" s="29">
        <v>45397</v>
      </c>
      <c r="F327" s="30">
        <f t="shared" si="41"/>
        <v>106</v>
      </c>
      <c r="G327" s="26" t="s">
        <v>444</v>
      </c>
      <c r="H327" s="26" t="s">
        <v>439</v>
      </c>
      <c r="I327" s="26">
        <v>2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8" t="s">
        <v>440</v>
      </c>
      <c r="Y327" s="26" t="s">
        <v>293</v>
      </c>
      <c r="Z327" s="26" t="s">
        <v>16</v>
      </c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spans="1:36" ht="15" hidden="1" customHeight="1">
      <c r="A328" s="25" t="str">
        <f>"VSG"&amp;TEXT(I328,"00")&amp;"C-"&amp;TEXT(BenchGDE!$E328,"yy")&amp;TEXT(F328,"000")&amp;Z328&amp;"2."&amp;TEXT((C328),"00")</f>
        <v>VSG02C-24106F2.08</v>
      </c>
      <c r="B328" s="26">
        <v>600</v>
      </c>
      <c r="C328" s="26">
        <v>8</v>
      </c>
      <c r="D328" s="26" t="s">
        <v>451</v>
      </c>
      <c r="E328" s="29">
        <v>45397</v>
      </c>
      <c r="F328" s="30">
        <f t="shared" si="41"/>
        <v>106</v>
      </c>
      <c r="G328" s="26" t="s">
        <v>444</v>
      </c>
      <c r="H328" s="26" t="s">
        <v>439</v>
      </c>
      <c r="I328" s="26">
        <v>2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>
        <v>0.15</v>
      </c>
      <c r="W328" s="26"/>
      <c r="X328" s="28" t="s">
        <v>440</v>
      </c>
      <c r="Y328" s="26" t="s">
        <v>293</v>
      </c>
      <c r="Z328" s="26" t="s">
        <v>16</v>
      </c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spans="1:36" ht="15" hidden="1" customHeight="1">
      <c r="A329" s="25" t="str">
        <f>"VSG"&amp;TEXT(I329,"00")&amp;"C-"&amp;TEXT(BenchGDE!$E329,"yy")&amp;TEXT(F329,"000")&amp;Z329&amp;"2."&amp;TEXT((C329),"00")</f>
        <v>VSG02C-24106F2.09</v>
      </c>
      <c r="B329" s="26">
        <v>600</v>
      </c>
      <c r="C329" s="26">
        <v>9</v>
      </c>
      <c r="D329" s="26" t="s">
        <v>452</v>
      </c>
      <c r="E329" s="29">
        <v>45397</v>
      </c>
      <c r="F329" s="30">
        <f t="shared" si="41"/>
        <v>106</v>
      </c>
      <c r="G329" s="26" t="s">
        <v>444</v>
      </c>
      <c r="H329" s="26" t="s">
        <v>439</v>
      </c>
      <c r="I329" s="26">
        <v>2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>
        <v>0.11</v>
      </c>
      <c r="W329" s="26"/>
      <c r="X329" s="28" t="s">
        <v>440</v>
      </c>
      <c r="Y329" s="26" t="s">
        <v>293</v>
      </c>
      <c r="Z329" s="26" t="s">
        <v>16</v>
      </c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spans="1:36" ht="15" hidden="1" customHeight="1">
      <c r="A330" s="25" t="str">
        <f>"VSG"&amp;TEXT(I330,"00")&amp;"C-"&amp;TEXT(BenchGDE!$E330,"yy")&amp;TEXT(F330,"000")&amp;Z330&amp;"2."&amp;TEXT((C330),"00")</f>
        <v>VSG02C-24106F2.10</v>
      </c>
      <c r="B330" s="26">
        <v>600</v>
      </c>
      <c r="C330" s="26">
        <v>10</v>
      </c>
      <c r="D330" s="26" t="s">
        <v>453</v>
      </c>
      <c r="E330" s="29">
        <v>45397</v>
      </c>
      <c r="F330" s="30">
        <f t="shared" si="41"/>
        <v>106</v>
      </c>
      <c r="G330" s="26" t="s">
        <v>444</v>
      </c>
      <c r="H330" s="26" t="s">
        <v>439</v>
      </c>
      <c r="I330" s="26">
        <v>2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>
        <v>0.14000000000000001</v>
      </c>
      <c r="W330" s="26"/>
      <c r="X330" s="28" t="s">
        <v>440</v>
      </c>
      <c r="Y330" s="26" t="s">
        <v>293</v>
      </c>
      <c r="Z330" s="26" t="s">
        <v>16</v>
      </c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spans="1:36" ht="15" hidden="1" customHeight="1">
      <c r="A331" s="25" t="str">
        <f>"VSG"&amp;TEXT(I331,"00")&amp;"C-"&amp;TEXT(BenchGDE!$E331,"yy")&amp;TEXT(F331,"000")&amp;Z331&amp;"2."&amp;TEXT((C331),"00")</f>
        <v>VSG02C-24106F2.11</v>
      </c>
      <c r="B331" s="26">
        <v>600</v>
      </c>
      <c r="C331" s="26">
        <v>11</v>
      </c>
      <c r="D331" s="26" t="s">
        <v>454</v>
      </c>
      <c r="E331" s="29">
        <v>45397</v>
      </c>
      <c r="F331" s="30">
        <f t="shared" si="41"/>
        <v>106</v>
      </c>
      <c r="G331" s="26" t="s">
        <v>444</v>
      </c>
      <c r="H331" s="26" t="s">
        <v>439</v>
      </c>
      <c r="I331" s="26">
        <v>2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>
        <v>0.11</v>
      </c>
      <c r="W331" s="26"/>
      <c r="X331" s="28" t="s">
        <v>440</v>
      </c>
      <c r="Y331" s="26" t="s">
        <v>293</v>
      </c>
      <c r="Z331" s="26" t="s">
        <v>16</v>
      </c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spans="1:36" ht="15" customHeight="1">
      <c r="A332" s="25" t="str">
        <f>"VSG"&amp;TEXT(I332,"00")&amp;"C-"&amp;TEXT(BenchGDE!$E332,"yy")&amp;TEXT(F332,"000")&amp;Z332&amp;"2."&amp;TEXT((C332),"00")</f>
        <v>VSG01C-24107F2.12</v>
      </c>
      <c r="B332" s="26">
        <v>100</v>
      </c>
      <c r="C332" s="26">
        <v>12</v>
      </c>
      <c r="D332" s="26" t="s">
        <v>451</v>
      </c>
      <c r="E332" s="29">
        <v>45398</v>
      </c>
      <c r="F332" s="30">
        <f t="shared" si="41"/>
        <v>107</v>
      </c>
      <c r="G332" s="26" t="s">
        <v>444</v>
      </c>
      <c r="H332" s="26" t="s">
        <v>439</v>
      </c>
      <c r="I332" s="26">
        <v>1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>
        <v>0.15</v>
      </c>
      <c r="W332" s="26"/>
      <c r="X332" s="28" t="s">
        <v>440</v>
      </c>
      <c r="Y332" s="26" t="s">
        <v>17</v>
      </c>
      <c r="Z332" s="26" t="s">
        <v>16</v>
      </c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spans="1:36" ht="15" customHeight="1">
      <c r="A333" s="25" t="str">
        <f>"VSG"&amp;TEXT(I333,"00")&amp;"C-"&amp;TEXT(BenchGDE!$E333,"yy")&amp;TEXT(F333,"000")&amp;Z333&amp;"2."&amp;TEXT((C333),"00")</f>
        <v>VSG01C-24107F2.13</v>
      </c>
      <c r="B333" s="26">
        <v>100</v>
      </c>
      <c r="C333" s="26">
        <v>13</v>
      </c>
      <c r="D333" s="26" t="s">
        <v>451</v>
      </c>
      <c r="E333" s="29">
        <v>45398</v>
      </c>
      <c r="F333" s="30">
        <f t="shared" si="41"/>
        <v>107</v>
      </c>
      <c r="G333" s="26" t="s">
        <v>444</v>
      </c>
      <c r="H333" s="26" t="s">
        <v>439</v>
      </c>
      <c r="I333" s="26">
        <v>1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>
        <v>0.15</v>
      </c>
      <c r="W333" s="26"/>
      <c r="X333" s="28" t="s">
        <v>440</v>
      </c>
      <c r="Y333" s="26" t="s">
        <v>17</v>
      </c>
      <c r="Z333" s="26" t="s">
        <v>16</v>
      </c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spans="1:36" ht="15" customHeight="1">
      <c r="A334" s="25" t="str">
        <f>"VSG"&amp;TEXT(I334,"00")&amp;"C-"&amp;TEXT(BenchGDE!$E334,"yy")&amp;TEXT(F334,"000")&amp;Z334&amp;"2."&amp;TEXT((C334),"00")</f>
        <v>VSG01C-24107F2.14</v>
      </c>
      <c r="B334" s="26">
        <v>100</v>
      </c>
      <c r="C334" s="26">
        <v>14</v>
      </c>
      <c r="D334" s="26" t="s">
        <v>454</v>
      </c>
      <c r="E334" s="29">
        <v>45398</v>
      </c>
      <c r="F334" s="30">
        <f t="shared" si="41"/>
        <v>107</v>
      </c>
      <c r="G334" s="26" t="s">
        <v>444</v>
      </c>
      <c r="H334" s="26" t="s">
        <v>439</v>
      </c>
      <c r="I334" s="26">
        <v>1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>
        <v>0.11</v>
      </c>
      <c r="W334" s="26"/>
      <c r="X334" s="28" t="s">
        <v>440</v>
      </c>
      <c r="Y334" s="26" t="s">
        <v>17</v>
      </c>
      <c r="Z334" s="26" t="s">
        <v>16</v>
      </c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spans="1:36" ht="15" customHeight="1">
      <c r="A335" s="25" t="str">
        <f>"VSG"&amp;TEXT(I335,"00")&amp;"C-"&amp;TEXT(BenchGDE!$E335,"yy")&amp;TEXT(F335,"000")&amp;Z335&amp;"2."&amp;TEXT((C335),"00")</f>
        <v>VSG01C-24107F2.15</v>
      </c>
      <c r="B335" s="26">
        <v>100</v>
      </c>
      <c r="C335" s="26">
        <v>15</v>
      </c>
      <c r="D335" s="26" t="s">
        <v>454</v>
      </c>
      <c r="E335" s="29">
        <v>45398</v>
      </c>
      <c r="F335" s="30">
        <f t="shared" si="41"/>
        <v>107</v>
      </c>
      <c r="G335" s="26" t="s">
        <v>444</v>
      </c>
      <c r="H335" s="26" t="s">
        <v>439</v>
      </c>
      <c r="I335" s="26">
        <v>1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>
        <v>0.11</v>
      </c>
      <c r="W335" s="26"/>
      <c r="X335" s="28" t="s">
        <v>440</v>
      </c>
      <c r="Y335" s="26" t="s">
        <v>17</v>
      </c>
      <c r="Z335" s="26" t="s">
        <v>16</v>
      </c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spans="1:36" ht="15" customHeight="1">
      <c r="A336" s="25" t="str">
        <f>"VSG"&amp;TEXT(I336,"00")&amp;"C-"&amp;TEXT(BenchGDE!$E336,"yy")&amp;TEXT(F336,"000")&amp;Z336&amp;"2."&amp;TEXT((C336),"00")</f>
        <v>VSG01C-24107F2.16</v>
      </c>
      <c r="B336" s="26">
        <v>100</v>
      </c>
      <c r="C336" s="26">
        <v>16</v>
      </c>
      <c r="D336" s="26" t="s">
        <v>455</v>
      </c>
      <c r="E336" s="29">
        <v>45398</v>
      </c>
      <c r="F336" s="30">
        <f t="shared" si="41"/>
        <v>107</v>
      </c>
      <c r="G336" s="26" t="s">
        <v>444</v>
      </c>
      <c r="H336" s="26" t="s">
        <v>439</v>
      </c>
      <c r="I336" s="26">
        <v>1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8" t="s">
        <v>440</v>
      </c>
      <c r="Y336" s="26" t="s">
        <v>17</v>
      </c>
      <c r="Z336" s="26" t="s">
        <v>16</v>
      </c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spans="1:36" ht="15" customHeight="1">
      <c r="A337" s="25" t="str">
        <f>"VSG"&amp;TEXT(I337,"00")&amp;"C-"&amp;TEXT(BenchGDE!$E337,"yy")&amp;TEXT(F337,"000")&amp;Z337&amp;"2."&amp;TEXT((C337),"00")</f>
        <v>VSG01C-24088F2.01</v>
      </c>
      <c r="B337" s="26">
        <v>100</v>
      </c>
      <c r="C337" s="26">
        <v>1</v>
      </c>
      <c r="D337" s="26" t="s">
        <v>456</v>
      </c>
      <c r="E337" s="29">
        <v>45379</v>
      </c>
      <c r="F337" s="30">
        <f t="shared" ref="F337:F341" si="42">E337-DATE(YEAR(E337),1,0)</f>
        <v>88</v>
      </c>
      <c r="G337" s="26" t="s">
        <v>457</v>
      </c>
      <c r="H337" s="26" t="s">
        <v>439</v>
      </c>
      <c r="I337" s="26">
        <v>1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8" t="s">
        <v>440</v>
      </c>
      <c r="Y337" s="26" t="s">
        <v>17</v>
      </c>
      <c r="Z337" s="26" t="s">
        <v>16</v>
      </c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spans="1:36" ht="15" customHeight="1">
      <c r="A338" s="25" t="str">
        <f>"VSG"&amp;TEXT(I338,"00")&amp;"C-"&amp;TEXT(BenchGDE!$E338,"yy")&amp;TEXT(F338,"000")&amp;Z338&amp;"2."&amp;TEXT((C338),"00")</f>
        <v>VSG01C-24088F2.02</v>
      </c>
      <c r="B338" s="26">
        <v>100</v>
      </c>
      <c r="C338" s="26">
        <v>2</v>
      </c>
      <c r="D338" s="26" t="s">
        <v>458</v>
      </c>
      <c r="E338" s="29">
        <v>45379</v>
      </c>
      <c r="F338" s="30">
        <f t="shared" si="42"/>
        <v>88</v>
      </c>
      <c r="G338" s="26" t="s">
        <v>457</v>
      </c>
      <c r="H338" s="26" t="s">
        <v>439</v>
      </c>
      <c r="I338" s="26">
        <v>1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8" t="s">
        <v>440</v>
      </c>
      <c r="Y338" s="26" t="s">
        <v>17</v>
      </c>
      <c r="Z338" s="26" t="s">
        <v>16</v>
      </c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spans="1:36" ht="15" customHeight="1">
      <c r="A339" s="25" t="str">
        <f>"VSG"&amp;TEXT(I339,"00")&amp;"C-"&amp;TEXT(BenchGDE!$E339,"yy")&amp;TEXT(F339,"000")&amp;Z339&amp;"2."&amp;TEXT((C339),"00")</f>
        <v>VSG01C-24088F2.03</v>
      </c>
      <c r="B339" s="26">
        <v>100</v>
      </c>
      <c r="C339" s="26">
        <v>3</v>
      </c>
      <c r="D339" s="26" t="s">
        <v>459</v>
      </c>
      <c r="E339" s="29">
        <v>45379</v>
      </c>
      <c r="F339" s="30">
        <f t="shared" si="42"/>
        <v>88</v>
      </c>
      <c r="G339" s="26" t="s">
        <v>457</v>
      </c>
      <c r="H339" s="26" t="s">
        <v>439</v>
      </c>
      <c r="I339" s="26">
        <v>1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8" t="s">
        <v>440</v>
      </c>
      <c r="Y339" s="26" t="s">
        <v>17</v>
      </c>
      <c r="Z339" s="26" t="s">
        <v>16</v>
      </c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spans="1:36" ht="15" customHeight="1">
      <c r="A340" s="25" t="str">
        <f>"VSG"&amp;TEXT(I340,"00")&amp;"C-"&amp;TEXT(BenchGDE!$E340,"yy")&amp;TEXT(F340,"000")&amp;Z340&amp;"2."&amp;TEXT((C340),"00")</f>
        <v>VSG01C-24088F2.04</v>
      </c>
      <c r="B340" s="26">
        <v>100</v>
      </c>
      <c r="C340" s="26">
        <v>4</v>
      </c>
      <c r="D340" s="26" t="s">
        <v>460</v>
      </c>
      <c r="E340" s="29">
        <v>45379</v>
      </c>
      <c r="F340" s="30">
        <f t="shared" si="42"/>
        <v>88</v>
      </c>
      <c r="G340" s="26" t="s">
        <v>457</v>
      </c>
      <c r="H340" s="26" t="s">
        <v>439</v>
      </c>
      <c r="I340" s="26">
        <v>1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8" t="s">
        <v>440</v>
      </c>
      <c r="Y340" s="26" t="s">
        <v>17</v>
      </c>
      <c r="Z340" s="26" t="s">
        <v>16</v>
      </c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spans="1:36" ht="15" customHeight="1">
      <c r="A341" s="25" t="str">
        <f>"VSG"&amp;TEXT(I341,"00")&amp;"C-"&amp;TEXT(BenchGDE!$E341,"yy")&amp;TEXT(F341,"000")&amp;Z341&amp;"2."&amp;TEXT((C341),"00")</f>
        <v>VSG01C-24088F2.05</v>
      </c>
      <c r="B341" s="26">
        <v>100</v>
      </c>
      <c r="C341" s="26">
        <v>5</v>
      </c>
      <c r="D341" s="26" t="s">
        <v>461</v>
      </c>
      <c r="E341" s="29">
        <v>45379</v>
      </c>
      <c r="F341" s="30">
        <f t="shared" si="42"/>
        <v>88</v>
      </c>
      <c r="G341" s="26" t="s">
        <v>457</v>
      </c>
      <c r="H341" s="26" t="s">
        <v>439</v>
      </c>
      <c r="I341" s="26">
        <v>1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8" t="s">
        <v>440</v>
      </c>
      <c r="Y341" s="26" t="s">
        <v>17</v>
      </c>
      <c r="Z341" s="26" t="s">
        <v>16</v>
      </c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spans="1:36" ht="15" customHeight="1">
      <c r="A342" s="25" t="str">
        <f>"VSG"&amp;TEXT(I342,"00")&amp;"C-"&amp;TEXT(BenchGDE!$E342,"yy")&amp;TEXT(F342,"000")&amp;Z342&amp;"2."&amp;TEXT((C342),"00")</f>
        <v>VSG01C-24092F2.09</v>
      </c>
      <c r="B342" s="26">
        <v>100</v>
      </c>
      <c r="C342" s="26">
        <v>9</v>
      </c>
      <c r="D342" s="26" t="s">
        <v>462</v>
      </c>
      <c r="E342" s="67">
        <v>45383</v>
      </c>
      <c r="F342" s="30">
        <f t="shared" ref="F342" si="43">E342-DATE(YEAR(E342),1,0)</f>
        <v>92</v>
      </c>
      <c r="G342" s="66" t="s">
        <v>438</v>
      </c>
      <c r="H342" s="26" t="s">
        <v>439</v>
      </c>
      <c r="I342" s="26">
        <v>1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>
        <v>0.18</v>
      </c>
      <c r="V342" s="26">
        <v>0.20200000000000001</v>
      </c>
      <c r="W342" s="26"/>
      <c r="X342" s="28" t="s">
        <v>440</v>
      </c>
      <c r="Y342" s="66" t="s">
        <v>293</v>
      </c>
      <c r="Z342" s="26" t="s">
        <v>16</v>
      </c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spans="1:36" s="74" customFormat="1" ht="15" customHeight="1">
      <c r="A343" s="68" t="str">
        <f>"VSG"&amp;TEXT(I343,"00")&amp;"C-"&amp;TEXT(BenchGDE!$E343,"yy")&amp;TEXT(F343,"000")&amp;Z343&amp;"2."&amp;TEXT((C343),"00")</f>
        <v>VSG01C-24092F2.10</v>
      </c>
      <c r="B343" s="69">
        <v>100</v>
      </c>
      <c r="C343" s="69">
        <v>10</v>
      </c>
      <c r="D343" s="69" t="s">
        <v>463</v>
      </c>
      <c r="E343" s="70">
        <v>45383</v>
      </c>
      <c r="F343" s="71">
        <f t="shared" ref="F343:F344" si="44">E343-DATE(YEAR(E343),1,0)</f>
        <v>92</v>
      </c>
      <c r="G343" s="72" t="s">
        <v>438</v>
      </c>
      <c r="H343" s="69" t="s">
        <v>439</v>
      </c>
      <c r="I343" s="69">
        <v>1</v>
      </c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>
        <v>0.18959999999999999</v>
      </c>
      <c r="V343" s="69">
        <v>0.20200000000000001</v>
      </c>
      <c r="W343" s="69"/>
      <c r="X343" s="73" t="s">
        <v>440</v>
      </c>
      <c r="Y343" s="72" t="s">
        <v>293</v>
      </c>
      <c r="Z343" s="69" t="s">
        <v>16</v>
      </c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</row>
    <row r="344" spans="1:36" ht="15" customHeight="1">
      <c r="A344" s="25" t="str">
        <f>"VSG"&amp;TEXT(I344,"00")&amp;"C-"&amp;TEXT(BenchGDE!$E344,"yy")&amp;TEXT(F344,"000")&amp;Z344&amp;"2."&amp;TEXT((C344),"00")</f>
        <v>VSG01C-24092F2.11</v>
      </c>
      <c r="B344" s="26">
        <v>100</v>
      </c>
      <c r="C344" s="26">
        <v>11</v>
      </c>
      <c r="D344" s="26" t="s">
        <v>464</v>
      </c>
      <c r="E344" s="67">
        <v>45383</v>
      </c>
      <c r="F344" s="30">
        <f t="shared" si="44"/>
        <v>92</v>
      </c>
      <c r="G344" s="66" t="s">
        <v>438</v>
      </c>
      <c r="H344" s="26" t="s">
        <v>439</v>
      </c>
      <c r="I344" s="26">
        <v>1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>
        <v>0.20699999999999999</v>
      </c>
      <c r="V344" s="26">
        <v>0.20200000000000001</v>
      </c>
      <c r="W344" s="26"/>
      <c r="X344" s="28" t="s">
        <v>440</v>
      </c>
      <c r="Y344" s="66" t="s">
        <v>293</v>
      </c>
      <c r="Z344" s="26" t="s">
        <v>16</v>
      </c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spans="1:36" s="74" customFormat="1" ht="15" customHeight="1">
      <c r="A345" s="68" t="str">
        <f>"VSG"&amp;TEXT(I345,"00")&amp;"C-"&amp;TEXT(BenchGDE!$E345,"yy")&amp;TEXT(F345,"000")&amp;Z345&amp;"2."&amp;TEXT((C345),"00")</f>
        <v>VSG01C-24092F2.12</v>
      </c>
      <c r="B345" s="69">
        <v>100</v>
      </c>
      <c r="C345" s="69">
        <v>12</v>
      </c>
      <c r="D345" s="69" t="s">
        <v>465</v>
      </c>
      <c r="E345" s="70">
        <v>45383</v>
      </c>
      <c r="F345" s="71">
        <f t="shared" ref="F345:F349" si="45">E345-DATE(YEAR(E345),1,0)</f>
        <v>92</v>
      </c>
      <c r="G345" s="72" t="s">
        <v>438</v>
      </c>
      <c r="H345" s="69" t="s">
        <v>439</v>
      </c>
      <c r="I345" s="69">
        <v>1</v>
      </c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>
        <v>0.22420000000000001</v>
      </c>
      <c r="V345" s="69">
        <v>0.20200000000000001</v>
      </c>
      <c r="W345" s="69"/>
      <c r="X345" s="73" t="s">
        <v>440</v>
      </c>
      <c r="Y345" s="72" t="s">
        <v>293</v>
      </c>
      <c r="Z345" s="69" t="s">
        <v>16</v>
      </c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</row>
    <row r="346" spans="1:36" ht="15" customHeight="1">
      <c r="A346" s="25" t="str">
        <f>"VSG"&amp;TEXT(I346,"00")&amp;"C-"&amp;TEXT(BenchGDE!$E346,"yy")&amp;TEXT(F346,"000")&amp;Z346&amp;"2."&amp;TEXT((C346),"00")</f>
        <v>VSG01C-24092F2.13</v>
      </c>
      <c r="B346" s="26">
        <v>100</v>
      </c>
      <c r="C346" s="26">
        <v>13</v>
      </c>
      <c r="D346" s="26" t="s">
        <v>466</v>
      </c>
      <c r="E346" s="67">
        <v>45383</v>
      </c>
      <c r="F346" s="30">
        <f t="shared" si="45"/>
        <v>92</v>
      </c>
      <c r="G346" s="66" t="s">
        <v>438</v>
      </c>
      <c r="H346" s="26" t="s">
        <v>439</v>
      </c>
      <c r="I346" s="26">
        <v>1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>
        <v>0.20760000000000001</v>
      </c>
      <c r="V346" s="26">
        <v>0.20200000000000001</v>
      </c>
      <c r="W346" s="26"/>
      <c r="X346" s="28" t="s">
        <v>440</v>
      </c>
      <c r="Y346" s="66" t="s">
        <v>293</v>
      </c>
      <c r="Z346" s="26" t="s">
        <v>16</v>
      </c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spans="1:36" s="74" customFormat="1" ht="15" customHeight="1">
      <c r="A347" s="68" t="str">
        <f>"VSG"&amp;TEXT(I347,"00")&amp;"C-"&amp;TEXT(BenchGDE!$E347,"yy")&amp;TEXT(F347,"000")&amp;Z347&amp;"2."&amp;TEXT((C347),"00")</f>
        <v>VSG01C-24092F2.14</v>
      </c>
      <c r="B347" s="69">
        <v>100</v>
      </c>
      <c r="C347" s="69">
        <v>14</v>
      </c>
      <c r="D347" s="69" t="s">
        <v>467</v>
      </c>
      <c r="E347" s="70">
        <v>45383</v>
      </c>
      <c r="F347" s="71">
        <f t="shared" si="45"/>
        <v>92</v>
      </c>
      <c r="G347" s="72" t="s">
        <v>438</v>
      </c>
      <c r="H347" s="69" t="s">
        <v>439</v>
      </c>
      <c r="I347" s="69">
        <v>1</v>
      </c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>
        <v>0.23780000000000001</v>
      </c>
      <c r="V347" s="69">
        <v>0.20200000000000001</v>
      </c>
      <c r="W347" s="69"/>
      <c r="X347" s="73" t="s">
        <v>440</v>
      </c>
      <c r="Y347" s="72" t="s">
        <v>293</v>
      </c>
      <c r="Z347" s="69" t="s">
        <v>16</v>
      </c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</row>
    <row r="348" spans="1:36" ht="15" customHeight="1">
      <c r="A348" s="25" t="str">
        <f>"VSG"&amp;TEXT(I348,"00")&amp;"C-"&amp;TEXT(BenchGDE!$E348,"yy")&amp;TEXT(F348,"000")&amp;Z348&amp;"2."&amp;TEXT((C348),"00")</f>
        <v>VSG01C-24092F2.15</v>
      </c>
      <c r="B348">
        <v>100</v>
      </c>
      <c r="C348">
        <v>15</v>
      </c>
      <c r="D348" t="s">
        <v>468</v>
      </c>
      <c r="E348" s="1">
        <v>45383</v>
      </c>
      <c r="F348" s="30">
        <f t="shared" si="45"/>
        <v>92</v>
      </c>
      <c r="G348" s="66" t="s">
        <v>438</v>
      </c>
      <c r="H348" s="26" t="s">
        <v>439</v>
      </c>
      <c r="I348" s="26">
        <v>1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>
        <v>0.2132</v>
      </c>
      <c r="V348" s="26">
        <v>0.15</v>
      </c>
      <c r="W348" s="26"/>
      <c r="X348" s="28" t="s">
        <v>440</v>
      </c>
      <c r="Y348" s="66" t="s">
        <v>293</v>
      </c>
      <c r="Z348" s="26" t="s">
        <v>16</v>
      </c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spans="1:36" s="74" customFormat="1" ht="15" customHeight="1">
      <c r="A349" s="68" t="str">
        <f>"VSG"&amp;TEXT(I349,"00")&amp;"C-"&amp;TEXT(BenchGDE!$E349,"yy")&amp;TEXT(F349,"000")&amp;Z349&amp;"2."&amp;TEXT((C349),"00")</f>
        <v>VSG01C-24092F2.16</v>
      </c>
      <c r="B349" s="74">
        <v>100</v>
      </c>
      <c r="C349" s="74">
        <v>16</v>
      </c>
      <c r="D349" s="74" t="s">
        <v>469</v>
      </c>
      <c r="E349" s="75">
        <v>45383</v>
      </c>
      <c r="F349" s="71">
        <f t="shared" si="45"/>
        <v>92</v>
      </c>
      <c r="G349" s="72" t="s">
        <v>438</v>
      </c>
      <c r="H349" s="69" t="s">
        <v>439</v>
      </c>
      <c r="I349" s="69">
        <v>1</v>
      </c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>
        <v>0.20480000000000001</v>
      </c>
      <c r="V349" s="69">
        <v>0.15</v>
      </c>
      <c r="W349" s="69"/>
      <c r="X349" s="73" t="s">
        <v>440</v>
      </c>
      <c r="Y349" s="72" t="s">
        <v>293</v>
      </c>
      <c r="Z349" s="69" t="s">
        <v>16</v>
      </c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</row>
    <row r="350" spans="1:36" ht="15" customHeight="1">
      <c r="A350" s="25" t="str">
        <f>"VSG"&amp;TEXT(I350,"00")&amp;"C-"&amp;TEXT(BenchGDE!$E350,"yy")&amp;TEXT(F350,"000")&amp;Z348&amp;"2."&amp;TEXT((C350),"00")</f>
        <v>VSG01C-24092F2.17</v>
      </c>
      <c r="B350" s="26">
        <v>100</v>
      </c>
      <c r="C350" s="26">
        <v>17</v>
      </c>
      <c r="D350" s="26" t="s">
        <v>470</v>
      </c>
      <c r="E350" s="67">
        <v>45383</v>
      </c>
      <c r="F350" s="30">
        <f t="shared" ref="F350:F355" si="46">E350-DATE(YEAR(E350),1,0)</f>
        <v>92</v>
      </c>
      <c r="G350" s="66" t="s">
        <v>438</v>
      </c>
      <c r="H350" s="26" t="s">
        <v>439</v>
      </c>
      <c r="I350" s="26">
        <v>1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>
        <v>0.22259999999999999</v>
      </c>
      <c r="V350" s="26">
        <v>0.19</v>
      </c>
      <c r="W350" s="26"/>
      <c r="X350" s="28" t="s">
        <v>440</v>
      </c>
      <c r="Y350" s="66" t="s">
        <v>293</v>
      </c>
      <c r="Z350" s="26" t="s">
        <v>16</v>
      </c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spans="1:36" s="74" customFormat="1" ht="15" customHeight="1">
      <c r="A351" s="68" t="str">
        <f>"VSG"&amp;TEXT(I351,"00")&amp;"C-"&amp;TEXT(BenchGDE!$E351,"yy")&amp;TEXT(F351,"000")&amp;Z349&amp;"2."&amp;TEXT((C351),"00")</f>
        <v>VSG01C-24092F2.18</v>
      </c>
      <c r="B351" s="69">
        <v>100</v>
      </c>
      <c r="C351" s="69">
        <v>18</v>
      </c>
      <c r="D351" s="69" t="s">
        <v>471</v>
      </c>
      <c r="E351" s="70">
        <v>45383</v>
      </c>
      <c r="F351" s="71">
        <f t="shared" si="46"/>
        <v>92</v>
      </c>
      <c r="G351" s="72" t="s">
        <v>438</v>
      </c>
      <c r="H351" s="69" t="s">
        <v>439</v>
      </c>
      <c r="I351" s="69">
        <v>1</v>
      </c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>
        <v>0.22339999999999999</v>
      </c>
      <c r="V351" s="69">
        <v>0.19</v>
      </c>
      <c r="W351" s="69"/>
      <c r="X351" s="73" t="s">
        <v>440</v>
      </c>
      <c r="Y351" s="72" t="s">
        <v>293</v>
      </c>
      <c r="Z351" s="69" t="s">
        <v>16</v>
      </c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</row>
    <row r="352" spans="1:36" ht="15" customHeight="1">
      <c r="A352" s="25" t="str">
        <f>"VSG"&amp;TEXT(I352,"00")&amp;"C-"&amp;TEXT(BenchGDE!$E352,"yy")&amp;TEXT(F352,"000")&amp;Z350&amp;"2."&amp;TEXT((C352),"00")</f>
        <v>VSG01C-24092F2.19</v>
      </c>
      <c r="B352" s="26">
        <v>100</v>
      </c>
      <c r="C352" s="26">
        <v>19</v>
      </c>
      <c r="D352" s="26" t="s">
        <v>472</v>
      </c>
      <c r="E352" s="67">
        <v>45383</v>
      </c>
      <c r="F352" s="30">
        <f t="shared" si="46"/>
        <v>92</v>
      </c>
      <c r="G352" s="66" t="s">
        <v>438</v>
      </c>
      <c r="H352" s="26" t="s">
        <v>439</v>
      </c>
      <c r="I352" s="26">
        <v>1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>
        <v>0.24179999999999999</v>
      </c>
      <c r="V352" s="26">
        <v>0.19</v>
      </c>
      <c r="W352" s="26"/>
      <c r="X352" s="28" t="s">
        <v>440</v>
      </c>
      <c r="Y352" s="66" t="s">
        <v>293</v>
      </c>
      <c r="Z352" s="26" t="s">
        <v>16</v>
      </c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spans="1:36" s="74" customFormat="1" ht="15" customHeight="1">
      <c r="A353" s="68" t="str">
        <f>"VSG"&amp;TEXT(I353,"00")&amp;"C-"&amp;TEXT(BenchGDE!$E353,"yy")&amp;TEXT(F353,"000")&amp;Z351&amp;"2."&amp;TEXT((C353),"00")</f>
        <v>VSG01C-24092F2.20</v>
      </c>
      <c r="B353" s="69">
        <v>100</v>
      </c>
      <c r="C353" s="69">
        <v>20</v>
      </c>
      <c r="D353" s="69" t="s">
        <v>473</v>
      </c>
      <c r="E353" s="70">
        <v>45383</v>
      </c>
      <c r="F353" s="71">
        <f t="shared" si="46"/>
        <v>92</v>
      </c>
      <c r="G353" s="72" t="s">
        <v>438</v>
      </c>
      <c r="H353" s="69" t="s">
        <v>439</v>
      </c>
      <c r="I353" s="69">
        <v>1</v>
      </c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>
        <v>0.23139999999999999</v>
      </c>
      <c r="V353" s="69">
        <v>0.19</v>
      </c>
      <c r="W353" s="69"/>
      <c r="X353" s="73" t="s">
        <v>440</v>
      </c>
      <c r="Y353" s="72" t="s">
        <v>293</v>
      </c>
      <c r="Z353" s="69" t="s">
        <v>16</v>
      </c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</row>
    <row r="354" spans="1:36" ht="15" customHeight="1">
      <c r="A354" s="25" t="str">
        <f>"VSG"&amp;TEXT(I354,"00")&amp;"C-"&amp;TEXT(BenchGDE!$E354,"yy")&amp;TEXT(F354,"000")&amp;Z352&amp;"2."&amp;TEXT((C354),"00")</f>
        <v>VSG01C-24092F2.21</v>
      </c>
      <c r="B354" s="26">
        <v>100</v>
      </c>
      <c r="C354" s="26">
        <v>21</v>
      </c>
      <c r="D354" s="26" t="s">
        <v>474</v>
      </c>
      <c r="E354" s="67">
        <v>45383</v>
      </c>
      <c r="F354" s="30">
        <f t="shared" si="46"/>
        <v>92</v>
      </c>
      <c r="G354" s="66" t="s">
        <v>438</v>
      </c>
      <c r="H354" s="26" t="s">
        <v>439</v>
      </c>
      <c r="I354" s="26">
        <v>1</v>
      </c>
      <c r="U354">
        <v>0.19900000000000001</v>
      </c>
      <c r="V354">
        <v>0.19</v>
      </c>
      <c r="X354" s="28" t="s">
        <v>440</v>
      </c>
      <c r="Y354" s="66" t="s">
        <v>293</v>
      </c>
      <c r="Z354" s="26" t="s">
        <v>16</v>
      </c>
    </row>
    <row r="355" spans="1:36" s="74" customFormat="1" ht="15" customHeight="1">
      <c r="A355" s="68" t="str">
        <f>"VSG"&amp;TEXT(I355,"00")&amp;"C-"&amp;TEXT(BenchGDE!$E355,"yy")&amp;TEXT(F355,"000")&amp;Z353&amp;"2."&amp;TEXT((C355),"00")</f>
        <v>VSG01C-24092F2.22</v>
      </c>
      <c r="B355" s="69">
        <v>100</v>
      </c>
      <c r="C355" s="69">
        <v>22</v>
      </c>
      <c r="D355" s="69" t="s">
        <v>475</v>
      </c>
      <c r="E355" s="70">
        <v>45383</v>
      </c>
      <c r="F355" s="71">
        <f t="shared" si="46"/>
        <v>92</v>
      </c>
      <c r="G355" s="72" t="s">
        <v>438</v>
      </c>
      <c r="H355" s="69" t="s">
        <v>439</v>
      </c>
      <c r="I355" s="69">
        <v>1</v>
      </c>
      <c r="U355" s="74">
        <v>0.19339999999999999</v>
      </c>
      <c r="V355" s="74">
        <v>0.19</v>
      </c>
      <c r="X355" s="73" t="s">
        <v>440</v>
      </c>
      <c r="Y355" s="72" t="s">
        <v>293</v>
      </c>
      <c r="Z355" s="69" t="s">
        <v>16</v>
      </c>
    </row>
    <row r="356" spans="1:36" ht="15" customHeight="1">
      <c r="A356" s="25" t="str">
        <f>"VSG"&amp;TEXT(I356,"00")&amp;"C-"&amp;TEXT(BenchGDE!$E356,"yy")&amp;TEXT(F356,"000")&amp;Z356&amp;"2."&amp;TEXT((C356),"00")</f>
        <v>VSG01C-24092F2.23</v>
      </c>
      <c r="B356">
        <v>100</v>
      </c>
      <c r="C356" s="56">
        <v>23</v>
      </c>
      <c r="D356" s="56" t="s">
        <v>468</v>
      </c>
      <c r="E356" s="1">
        <v>45383</v>
      </c>
      <c r="F356" s="30">
        <f t="shared" ref="F356:F357" si="47">E356-DATE(YEAR(E356),1,0)</f>
        <v>92</v>
      </c>
      <c r="G356" s="66" t="s">
        <v>438</v>
      </c>
      <c r="H356" s="26" t="s">
        <v>439</v>
      </c>
      <c r="I356" s="26">
        <v>1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>
        <v>0.1792</v>
      </c>
      <c r="V356" s="26">
        <v>0.15</v>
      </c>
      <c r="W356" s="26"/>
      <c r="X356" s="28" t="s">
        <v>440</v>
      </c>
      <c r="Y356" s="66" t="s">
        <v>293</v>
      </c>
      <c r="Z356" s="26" t="s">
        <v>16</v>
      </c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spans="1:36" s="74" customFormat="1" ht="15" customHeight="1">
      <c r="A357" s="68" t="str">
        <f>"VSG"&amp;TEXT(I357,"00")&amp;"C-"&amp;TEXT(BenchGDE!$E357,"yy")&amp;TEXT(F357,"000")&amp;Z357&amp;"2."&amp;TEXT((C357),"00")</f>
        <v>VSG01C-24106F2.17</v>
      </c>
      <c r="B357" s="74">
        <v>100</v>
      </c>
      <c r="C357" s="69">
        <v>17</v>
      </c>
      <c r="D357" s="74" t="s">
        <v>476</v>
      </c>
      <c r="E357" s="75">
        <v>45397</v>
      </c>
      <c r="F357" s="71">
        <f t="shared" si="47"/>
        <v>106</v>
      </c>
      <c r="G357" s="72" t="s">
        <v>438</v>
      </c>
      <c r="H357" s="69" t="s">
        <v>439</v>
      </c>
      <c r="I357" s="69">
        <v>1</v>
      </c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>
        <v>0.1792</v>
      </c>
      <c r="V357" s="69">
        <v>0.15</v>
      </c>
      <c r="W357" s="69"/>
      <c r="X357" s="73" t="s">
        <v>440</v>
      </c>
      <c r="Y357" s="72" t="s">
        <v>293</v>
      </c>
      <c r="Z357" s="69" t="s">
        <v>16</v>
      </c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</row>
    <row r="358" spans="1:36" ht="15" customHeight="1">
      <c r="A358" s="25" t="str">
        <f>"VSG"&amp;TEXT(I358,"00")&amp;"C-"&amp;TEXT(BenchGDE!$E358,"yy")&amp;TEXT(F358,"000")&amp;Z358&amp;"2."&amp;TEXT((C358),"00")</f>
        <v>VSG01C-24106F2.18</v>
      </c>
      <c r="B358">
        <v>100</v>
      </c>
      <c r="C358" s="26">
        <v>18</v>
      </c>
      <c r="D358" t="s">
        <v>477</v>
      </c>
      <c r="E358" s="1">
        <v>45397</v>
      </c>
      <c r="F358" s="30">
        <f t="shared" ref="F358:F360" si="48">E358-DATE(YEAR(E358),1,0)</f>
        <v>106</v>
      </c>
      <c r="G358" s="66" t="s">
        <v>438</v>
      </c>
      <c r="H358" s="26" t="s">
        <v>439</v>
      </c>
      <c r="I358" s="26">
        <v>1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>
        <v>0.1792</v>
      </c>
      <c r="V358" s="26">
        <v>0.15</v>
      </c>
      <c r="W358" s="26"/>
      <c r="X358" s="28" t="s">
        <v>440</v>
      </c>
      <c r="Y358" s="66" t="s">
        <v>293</v>
      </c>
      <c r="Z358" s="26" t="s">
        <v>16</v>
      </c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spans="1:36" s="74" customFormat="1" ht="15" customHeight="1">
      <c r="A359" s="68" t="str">
        <f>"VSG"&amp;TEXT(I359,"00")&amp;"C-"&amp;TEXT(BenchGDE!$E359,"yy")&amp;TEXT(F359,"000")&amp;Z359&amp;"2."&amp;TEXT((C359),"00")</f>
        <v>VSG01C-24106F2.19</v>
      </c>
      <c r="B359" s="74">
        <v>100</v>
      </c>
      <c r="C359" s="69">
        <v>19</v>
      </c>
      <c r="D359" s="74" t="s">
        <v>478</v>
      </c>
      <c r="E359" s="75">
        <v>45397</v>
      </c>
      <c r="F359" s="71">
        <f t="shared" si="48"/>
        <v>106</v>
      </c>
      <c r="G359" s="72" t="s">
        <v>438</v>
      </c>
      <c r="H359" s="69" t="s">
        <v>439</v>
      </c>
      <c r="I359" s="69">
        <v>1</v>
      </c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>
        <v>0.1792</v>
      </c>
      <c r="V359" s="69">
        <v>0.15</v>
      </c>
      <c r="W359" s="69"/>
      <c r="X359" s="73" t="s">
        <v>440</v>
      </c>
      <c r="Y359" s="72" t="s">
        <v>293</v>
      </c>
      <c r="Z359" s="69" t="s">
        <v>16</v>
      </c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</row>
    <row r="360" spans="1:36" ht="15" customHeight="1">
      <c r="A360" s="25" t="str">
        <f>"VSG"&amp;TEXT(I360,"00")&amp;"C-"&amp;TEXT(BenchGDE!$E360,"yy")&amp;TEXT(F360,"000")&amp;Z360&amp;"2."&amp;TEXT((C360),"00")</f>
        <v>VSG01C-24106F2.20</v>
      </c>
      <c r="B360">
        <v>100</v>
      </c>
      <c r="C360">
        <v>20</v>
      </c>
      <c r="D360" t="s">
        <v>479</v>
      </c>
      <c r="E360" s="1">
        <v>45397</v>
      </c>
      <c r="F360" s="30">
        <f t="shared" si="48"/>
        <v>106</v>
      </c>
      <c r="G360" s="66" t="s">
        <v>438</v>
      </c>
      <c r="H360" s="26" t="s">
        <v>439</v>
      </c>
      <c r="I360" s="26">
        <v>1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>
        <v>0.1792</v>
      </c>
      <c r="V360" s="26">
        <v>0.15</v>
      </c>
      <c r="W360" s="26"/>
      <c r="X360" s="28" t="s">
        <v>440</v>
      </c>
      <c r="Y360" s="66" t="s">
        <v>293</v>
      </c>
      <c r="Z360" s="26" t="s">
        <v>16</v>
      </c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</row>
    <row r="362" spans="1:36" ht="15" customHeight="1">
      <c r="A362" s="25" t="str">
        <f>"VSG"&amp;TEXT(I362,"00")&amp;"C-"&amp;TEXT(BenchGDE!$E362,"yy")&amp;TEXT(F362,"000")&amp;Z362&amp;"2."&amp;TEXT((C362),"00")</f>
        <v>VSG01C-24092F2.24</v>
      </c>
      <c r="B362">
        <v>100</v>
      </c>
      <c r="C362">
        <v>24</v>
      </c>
      <c r="D362" t="s">
        <v>377</v>
      </c>
      <c r="E362" s="1">
        <v>45383</v>
      </c>
      <c r="F362" s="30">
        <f t="shared" ref="F362" si="49">E362-DATE(YEAR(E362),1,0)</f>
        <v>92</v>
      </c>
      <c r="G362" s="66" t="s">
        <v>438</v>
      </c>
      <c r="H362" s="26" t="s">
        <v>439</v>
      </c>
      <c r="I362" s="26">
        <v>1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>
        <v>0.13800000000000001</v>
      </c>
      <c r="W362" s="26"/>
      <c r="X362" s="28" t="s">
        <v>440</v>
      </c>
      <c r="Y362" s="66" t="s">
        <v>293</v>
      </c>
      <c r="Z362" s="26" t="s">
        <v>16</v>
      </c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spans="1:36" s="74" customFormat="1" ht="15" customHeight="1">
      <c r="A363" s="68" t="str">
        <f>"VSG"&amp;TEXT(I363,"00")&amp;"C-"&amp;TEXT(BenchGDE!$E363,"yy")&amp;TEXT(F363,"000")&amp;Z363&amp;"2."&amp;TEXT((C363),"00")</f>
        <v>VSG01C-24092F2.25</v>
      </c>
      <c r="B363" s="74">
        <v>100</v>
      </c>
      <c r="C363" s="74">
        <v>25</v>
      </c>
      <c r="D363" s="74" t="s">
        <v>480</v>
      </c>
      <c r="E363" s="75">
        <v>45383</v>
      </c>
      <c r="F363" s="71">
        <f t="shared" ref="F363" si="50">E363-DATE(YEAR(E363),1,0)</f>
        <v>92</v>
      </c>
      <c r="G363" s="72" t="s">
        <v>438</v>
      </c>
      <c r="H363" s="69" t="s">
        <v>439</v>
      </c>
      <c r="I363" s="69">
        <v>1</v>
      </c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>
        <v>0.155</v>
      </c>
      <c r="W363" s="69"/>
      <c r="X363" s="73" t="s">
        <v>440</v>
      </c>
      <c r="Y363" s="72" t="s">
        <v>293</v>
      </c>
      <c r="Z363" s="69" t="s">
        <v>16</v>
      </c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</row>
    <row r="364" spans="1:36" ht="15" customHeight="1">
      <c r="A364" s="25" t="str">
        <f>"VSG"&amp;TEXT(I364,"00")&amp;"C-"&amp;TEXT(BenchGDE!$E364,"yy")&amp;TEXT(F364,"000")&amp;Z364&amp;"2."&amp;TEXT((C364),"00")</f>
        <v>VSG01C-24092F2.26</v>
      </c>
      <c r="B364">
        <v>100</v>
      </c>
      <c r="C364">
        <v>26</v>
      </c>
      <c r="D364" t="s">
        <v>481</v>
      </c>
      <c r="E364" s="1">
        <v>45383</v>
      </c>
      <c r="F364" s="30">
        <f t="shared" ref="F364:F365" si="51">E364-DATE(YEAR(E364),1,0)</f>
        <v>92</v>
      </c>
      <c r="G364" s="66" t="s">
        <v>438</v>
      </c>
      <c r="H364" s="26" t="s">
        <v>439</v>
      </c>
      <c r="I364" s="26">
        <v>1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>
        <v>0.155</v>
      </c>
      <c r="W364" s="26"/>
      <c r="X364" s="28" t="s">
        <v>440</v>
      </c>
      <c r="Y364" s="66" t="s">
        <v>293</v>
      </c>
      <c r="Z364" s="26" t="s">
        <v>16</v>
      </c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spans="1:36" s="74" customFormat="1" ht="15" customHeight="1">
      <c r="A365" s="68" t="str">
        <f>"VSG"&amp;TEXT(I365,"00")&amp;"C-"&amp;TEXT(BenchGDE!$E365,"yy")&amp;TEXT(F365,"000")&amp;Z365&amp;"2."&amp;TEXT((C365),"00")</f>
        <v>VSG01C-24092F2.27</v>
      </c>
      <c r="B365" s="69">
        <v>100</v>
      </c>
      <c r="C365" s="69">
        <v>27</v>
      </c>
      <c r="D365" s="69" t="s">
        <v>482</v>
      </c>
      <c r="E365" s="87">
        <v>45383</v>
      </c>
      <c r="F365" s="71">
        <f t="shared" si="51"/>
        <v>92</v>
      </c>
      <c r="G365" s="69" t="s">
        <v>402</v>
      </c>
      <c r="H365" s="69" t="s">
        <v>403</v>
      </c>
      <c r="I365" s="69">
        <v>1</v>
      </c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73" t="s">
        <v>404</v>
      </c>
      <c r="Y365" s="69" t="s">
        <v>293</v>
      </c>
      <c r="Z365" s="69" t="s">
        <v>16</v>
      </c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</row>
    <row r="366" spans="1:36" ht="15" customHeight="1">
      <c r="A366" s="25" t="str">
        <f>"VSG"&amp;TEXT(I366,"00")&amp;"C-"&amp;TEXT(BenchGDE!$E366,"yy")&amp;TEXT(F366,"000")&amp;Z366&amp;"2."&amp;TEXT((C366),"00")</f>
        <v>VSG01C-24092F2.28</v>
      </c>
      <c r="B366" s="26">
        <v>100</v>
      </c>
      <c r="C366" s="26">
        <v>28</v>
      </c>
      <c r="D366" s="26" t="s">
        <v>483</v>
      </c>
      <c r="E366" s="29">
        <v>45383</v>
      </c>
      <c r="F366" s="30">
        <f t="shared" ref="F366:F368" si="52">E366-DATE(YEAR(E366),1,0)</f>
        <v>92</v>
      </c>
      <c r="G366" s="26" t="s">
        <v>402</v>
      </c>
      <c r="H366" s="26" t="s">
        <v>403</v>
      </c>
      <c r="I366" s="26">
        <v>1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8" t="s">
        <v>404</v>
      </c>
      <c r="Y366" s="26" t="s">
        <v>293</v>
      </c>
      <c r="Z366" s="26" t="s">
        <v>16</v>
      </c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spans="1:36" s="74" customFormat="1" ht="15" customHeight="1">
      <c r="A367" s="68" t="str">
        <f>"VSG"&amp;TEXT(I367,"00")&amp;"C-"&amp;TEXT(BenchGDE!$E367,"yy")&amp;TEXT(F367,"000")&amp;Z367&amp;"2."&amp;TEXT((C367),"00")</f>
        <v>VSG01C-24092F2.29</v>
      </c>
      <c r="B367" s="69">
        <v>100</v>
      </c>
      <c r="C367" s="69">
        <v>29</v>
      </c>
      <c r="D367" s="69" t="s">
        <v>484</v>
      </c>
      <c r="E367" s="87">
        <v>45383</v>
      </c>
      <c r="F367" s="71">
        <f t="shared" si="52"/>
        <v>92</v>
      </c>
      <c r="G367" s="69" t="s">
        <v>402</v>
      </c>
      <c r="H367" s="69" t="s">
        <v>403</v>
      </c>
      <c r="I367" s="69">
        <v>1</v>
      </c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73" t="s">
        <v>404</v>
      </c>
      <c r="Y367" s="69" t="s">
        <v>293</v>
      </c>
      <c r="Z367" s="69" t="s">
        <v>16</v>
      </c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</row>
    <row r="368" spans="1:36" ht="15" customHeight="1">
      <c r="A368" s="25" t="str">
        <f>"VSG"&amp;TEXT(I368,"00")&amp;"C-"&amp;TEXT(BenchGDE!$E368,"yy")&amp;TEXT(F368,"000")&amp;Z368&amp;"2."&amp;TEXT((C368),"00")</f>
        <v>VSG01C-24092F2.30</v>
      </c>
      <c r="B368" s="26">
        <v>100</v>
      </c>
      <c r="C368" s="26">
        <v>30</v>
      </c>
      <c r="D368" s="26" t="s">
        <v>485</v>
      </c>
      <c r="E368" s="29">
        <v>45383</v>
      </c>
      <c r="F368" s="30">
        <f t="shared" si="52"/>
        <v>92</v>
      </c>
      <c r="G368" s="26" t="s">
        <v>402</v>
      </c>
      <c r="H368" s="26" t="s">
        <v>403</v>
      </c>
      <c r="I368" s="26">
        <v>1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8" t="s">
        <v>404</v>
      </c>
      <c r="Y368" s="26" t="s">
        <v>293</v>
      </c>
      <c r="Z368" s="26" t="s">
        <v>16</v>
      </c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70" spans="1:36" s="74" customFormat="1" ht="15" customHeight="1">
      <c r="A370" s="68" t="str">
        <f>"VSG"&amp;TEXT(I370,"00")&amp;"C-"&amp;TEXT(BenchGDE!$E370,"yy")&amp;TEXT(F370,"000")&amp;Z370&amp;"2."&amp;TEXT((C370),"00")</f>
        <v>VSG01C-24106F2.18</v>
      </c>
      <c r="B370" s="74">
        <v>100</v>
      </c>
      <c r="C370" s="69">
        <v>18</v>
      </c>
      <c r="D370" s="74" t="s">
        <v>486</v>
      </c>
      <c r="E370" s="75">
        <v>45397</v>
      </c>
      <c r="F370" s="71">
        <f t="shared" ref="F370:F373" si="53">E370-DATE(YEAR(E370),1,0)</f>
        <v>106</v>
      </c>
      <c r="G370" s="72" t="s">
        <v>438</v>
      </c>
      <c r="H370" s="69" t="s">
        <v>439</v>
      </c>
      <c r="I370" s="69">
        <v>1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>
        <v>0.1792</v>
      </c>
      <c r="V370" s="69">
        <v>0.15</v>
      </c>
      <c r="W370" s="69"/>
      <c r="X370" s="73" t="s">
        <v>440</v>
      </c>
      <c r="Y370" s="72" t="s">
        <v>293</v>
      </c>
      <c r="Z370" s="69" t="s">
        <v>16</v>
      </c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</row>
    <row r="371" spans="1:36" s="81" customFormat="1" ht="15" customHeight="1">
      <c r="A371" s="80" t="str">
        <f>"VSG"&amp;TEXT(I371,"00")&amp;"C-"&amp;TEXT(BenchGDE!$E371,"yy")&amp;TEXT(F371,"000")&amp;Z371&amp;"2."&amp;TEXT((C371),"00")</f>
        <v>VSG01C-24106F2.19</v>
      </c>
      <c r="B371" s="81">
        <v>100</v>
      </c>
      <c r="C371" s="82">
        <v>19</v>
      </c>
      <c r="D371" s="81" t="s">
        <v>487</v>
      </c>
      <c r="E371" s="83">
        <v>45397</v>
      </c>
      <c r="F371" s="84">
        <f t="shared" si="53"/>
        <v>106</v>
      </c>
      <c r="G371" s="85" t="s">
        <v>438</v>
      </c>
      <c r="H371" s="82" t="s">
        <v>439</v>
      </c>
      <c r="I371" s="82">
        <v>1</v>
      </c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>
        <v>0.1792</v>
      </c>
      <c r="V371" s="82">
        <v>0.15</v>
      </c>
      <c r="W371" s="82"/>
      <c r="X371" s="86" t="s">
        <v>440</v>
      </c>
      <c r="Y371" s="85" t="s">
        <v>293</v>
      </c>
      <c r="Z371" s="82" t="s">
        <v>16</v>
      </c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</row>
    <row r="372" spans="1:36" s="74" customFormat="1" ht="15" customHeight="1">
      <c r="A372" s="68" t="str">
        <f>"VSG"&amp;TEXT(I372,"00")&amp;"C-"&amp;TEXT(BenchGDE!$E372,"yy")&amp;TEXT(F372,"000")&amp;Z372&amp;"2."&amp;TEXT((C372),"00")</f>
        <v>VSG01C-24106F2.20</v>
      </c>
      <c r="B372" s="74">
        <v>100</v>
      </c>
      <c r="C372" s="69">
        <v>20</v>
      </c>
      <c r="D372" s="74" t="s">
        <v>488</v>
      </c>
      <c r="E372" s="75">
        <v>45397</v>
      </c>
      <c r="F372" s="71">
        <f t="shared" si="53"/>
        <v>106</v>
      </c>
      <c r="G372" s="72" t="s">
        <v>438</v>
      </c>
      <c r="H372" s="69" t="s">
        <v>439</v>
      </c>
      <c r="I372" s="69">
        <v>1</v>
      </c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>
        <v>0.1792</v>
      </c>
      <c r="V372" s="69">
        <v>0.15</v>
      </c>
      <c r="W372" s="69"/>
      <c r="X372" s="73" t="s">
        <v>440</v>
      </c>
      <c r="Y372" s="72" t="s">
        <v>293</v>
      </c>
      <c r="Z372" s="69" t="s">
        <v>16</v>
      </c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</row>
    <row r="373" spans="1:36" s="81" customFormat="1" ht="15" customHeight="1">
      <c r="A373" s="80" t="str">
        <f>"VSG"&amp;TEXT(I373,"00")&amp;"C-"&amp;TEXT(BenchGDE!$E373,"yy")&amp;TEXT(F373,"000")&amp;Z373&amp;"2."&amp;TEXT((C373),"00")</f>
        <v>VSG01C-24106F2.21</v>
      </c>
      <c r="B373" s="81">
        <v>100</v>
      </c>
      <c r="C373" s="82">
        <v>21</v>
      </c>
      <c r="D373" s="81" t="s">
        <v>489</v>
      </c>
      <c r="E373" s="83">
        <v>45397</v>
      </c>
      <c r="F373" s="84">
        <f t="shared" si="53"/>
        <v>106</v>
      </c>
      <c r="G373" s="85" t="s">
        <v>438</v>
      </c>
      <c r="H373" s="82" t="s">
        <v>439</v>
      </c>
      <c r="I373" s="82">
        <v>1</v>
      </c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>
        <v>0.1792</v>
      </c>
      <c r="V373" s="82">
        <v>0.15</v>
      </c>
      <c r="W373" s="82"/>
      <c r="X373" s="86" t="s">
        <v>440</v>
      </c>
      <c r="Y373" s="85" t="s">
        <v>293</v>
      </c>
      <c r="Z373" s="82" t="s">
        <v>16</v>
      </c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</row>
    <row r="374" spans="1:36" s="74" customFormat="1" ht="15" customHeight="1">
      <c r="A374" s="68" t="str">
        <f>"VSG"&amp;TEXT(I374,"00")&amp;"C-"&amp;TEXT(BenchGDE!$E374,"yy")&amp;TEXT(F374,"000")&amp;Z374&amp;"2."&amp;TEXT((C374),"00")</f>
        <v>VSG01C-24106F2.22</v>
      </c>
      <c r="B374" s="74">
        <v>100</v>
      </c>
      <c r="C374" s="69">
        <v>22</v>
      </c>
      <c r="D374" s="74" t="s">
        <v>490</v>
      </c>
      <c r="E374" s="75">
        <v>45397</v>
      </c>
      <c r="F374" s="71">
        <f t="shared" ref="F374:F377" si="54">E374-DATE(YEAR(E374),1,0)</f>
        <v>106</v>
      </c>
      <c r="G374" s="72" t="s">
        <v>438</v>
      </c>
      <c r="H374" s="69" t="s">
        <v>439</v>
      </c>
      <c r="I374" s="69">
        <v>1</v>
      </c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73" t="s">
        <v>440</v>
      </c>
      <c r="Y374" s="72" t="s">
        <v>293</v>
      </c>
      <c r="Z374" s="69" t="s">
        <v>16</v>
      </c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</row>
    <row r="375" spans="1:36" s="81" customFormat="1" ht="15" customHeight="1">
      <c r="A375" s="80" t="str">
        <f>"VSG"&amp;TEXT(I375,"00")&amp;"C-"&amp;TEXT(BenchGDE!$E375,"yy")&amp;TEXT(F375,"000")&amp;Z375&amp;"2."&amp;TEXT((C375),"00")</f>
        <v>VSG01C-24106F2.23</v>
      </c>
      <c r="B375" s="81">
        <v>100</v>
      </c>
      <c r="C375" s="82">
        <v>23</v>
      </c>
      <c r="D375" s="81" t="s">
        <v>491</v>
      </c>
      <c r="E375" s="83">
        <v>45397</v>
      </c>
      <c r="F375" s="84">
        <f t="shared" si="54"/>
        <v>106</v>
      </c>
      <c r="G375" s="85" t="s">
        <v>438</v>
      </c>
      <c r="H375" s="82" t="s">
        <v>439</v>
      </c>
      <c r="I375" s="82">
        <v>1</v>
      </c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6" t="s">
        <v>440</v>
      </c>
      <c r="Y375" s="85" t="s">
        <v>293</v>
      </c>
      <c r="Z375" s="82" t="s">
        <v>16</v>
      </c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</row>
    <row r="376" spans="1:36" s="74" customFormat="1" ht="15" customHeight="1">
      <c r="A376" s="68" t="str">
        <f>"VSG"&amp;TEXT(I376,"00")&amp;"C-"&amp;TEXT(BenchGDE!$E376,"yy")&amp;TEXT(F376,"000")&amp;Z376&amp;"2."&amp;TEXT((C376),"00")</f>
        <v>VSG01C-24106F2.24</v>
      </c>
      <c r="B376" s="74">
        <v>100</v>
      </c>
      <c r="C376" s="69">
        <v>24</v>
      </c>
      <c r="D376" s="74" t="s">
        <v>492</v>
      </c>
      <c r="E376" s="75">
        <v>45397</v>
      </c>
      <c r="F376" s="71">
        <f t="shared" si="54"/>
        <v>106</v>
      </c>
      <c r="G376" s="72" t="s">
        <v>438</v>
      </c>
      <c r="H376" s="69" t="s">
        <v>439</v>
      </c>
      <c r="I376" s="69">
        <v>1</v>
      </c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73" t="s">
        <v>440</v>
      </c>
      <c r="Y376" s="72" t="s">
        <v>293</v>
      </c>
      <c r="Z376" s="69" t="s">
        <v>16</v>
      </c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</row>
    <row r="377" spans="1:36" s="81" customFormat="1" ht="15" customHeight="1">
      <c r="A377" s="80" t="str">
        <f>"VSG"&amp;TEXT(I377,"00")&amp;"C-"&amp;TEXT(BenchGDE!$E377,"yy")&amp;TEXT(F377,"000")&amp;Z377&amp;"2."&amp;TEXT((C377),"00")</f>
        <v>VSG01C-24106F2.25</v>
      </c>
      <c r="B377" s="81">
        <v>100</v>
      </c>
      <c r="C377" s="82">
        <v>25</v>
      </c>
      <c r="D377" s="81" t="s">
        <v>493</v>
      </c>
      <c r="E377" s="83">
        <v>45397</v>
      </c>
      <c r="F377" s="84">
        <f t="shared" si="54"/>
        <v>106</v>
      </c>
      <c r="G377" s="85" t="s">
        <v>438</v>
      </c>
      <c r="H377" s="82" t="s">
        <v>439</v>
      </c>
      <c r="I377" s="82">
        <v>1</v>
      </c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6" t="s">
        <v>440</v>
      </c>
      <c r="Y377" s="85" t="s">
        <v>293</v>
      </c>
      <c r="Z377" s="82" t="s">
        <v>16</v>
      </c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</row>
    <row r="378" spans="1:36" s="74" customFormat="1" ht="15" customHeight="1">
      <c r="A378" s="68" t="str">
        <f>"VSG"&amp;TEXT(I378,"00")&amp;"C-"&amp;TEXT(BenchGDE!$E378,"yy")&amp;TEXT(F378,"000")&amp;Z378&amp;"2."&amp;TEXT((C378),"00")</f>
        <v>VSG01C-24106F2.26</v>
      </c>
      <c r="B378" s="74">
        <v>100</v>
      </c>
      <c r="C378" s="69">
        <v>26</v>
      </c>
      <c r="D378" s="74" t="s">
        <v>494</v>
      </c>
      <c r="E378" s="75">
        <v>45397</v>
      </c>
      <c r="F378" s="71">
        <f t="shared" ref="F378:F379" si="55">E378-DATE(YEAR(E378),1,0)</f>
        <v>106</v>
      </c>
      <c r="G378" s="72" t="s">
        <v>438</v>
      </c>
      <c r="H378" s="69" t="s">
        <v>439</v>
      </c>
      <c r="I378" s="69">
        <v>1</v>
      </c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73" t="s">
        <v>440</v>
      </c>
      <c r="Y378" s="72" t="s">
        <v>293</v>
      </c>
      <c r="Z378" s="69" t="s">
        <v>16</v>
      </c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</row>
    <row r="379" spans="1:36" s="81" customFormat="1" ht="15" customHeight="1">
      <c r="A379" s="80" t="str">
        <f>"VSG"&amp;TEXT(I379,"00")&amp;"C-"&amp;TEXT(BenchGDE!$E379,"yy")&amp;TEXT(F379,"000")&amp;Z379&amp;"2."&amp;TEXT((C379),"00")</f>
        <v>VSG01C-24106F2.27</v>
      </c>
      <c r="B379" s="81">
        <v>100</v>
      </c>
      <c r="C379" s="82">
        <v>27</v>
      </c>
      <c r="D379" s="81" t="s">
        <v>495</v>
      </c>
      <c r="E379" s="83">
        <v>45397</v>
      </c>
      <c r="F379" s="84">
        <f t="shared" si="55"/>
        <v>106</v>
      </c>
      <c r="G379" s="85" t="s">
        <v>438</v>
      </c>
      <c r="H379" s="82" t="s">
        <v>439</v>
      </c>
      <c r="I379" s="82">
        <v>1</v>
      </c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6" t="s">
        <v>440</v>
      </c>
      <c r="Y379" s="85" t="s">
        <v>293</v>
      </c>
      <c r="Z379" s="82" t="s">
        <v>16</v>
      </c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</row>
    <row r="380" spans="1:36" s="74" customFormat="1" ht="15" customHeight="1">
      <c r="A380" s="68" t="str">
        <f>"VSG"&amp;TEXT(I380,"00")&amp;"C-"&amp;TEXT(BenchGDE!$E380,"yy")&amp;TEXT(F380,"000")&amp;Z380&amp;"2."&amp;TEXT((C380),"00")</f>
        <v>VSG01C-24106F2.28</v>
      </c>
      <c r="B380" s="74">
        <v>100</v>
      </c>
      <c r="C380" s="69">
        <v>28</v>
      </c>
      <c r="D380" s="74" t="s">
        <v>496</v>
      </c>
      <c r="E380" s="75">
        <v>45397</v>
      </c>
      <c r="F380" s="71">
        <f t="shared" ref="F380:F383" si="56">E380-DATE(YEAR(E380),1,0)</f>
        <v>106</v>
      </c>
      <c r="G380" s="72" t="s">
        <v>438</v>
      </c>
      <c r="H380" s="69" t="s">
        <v>439</v>
      </c>
      <c r="I380" s="69">
        <v>1</v>
      </c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73" t="s">
        <v>440</v>
      </c>
      <c r="Y380" s="72" t="s">
        <v>293</v>
      </c>
      <c r="Z380" s="69" t="s">
        <v>16</v>
      </c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</row>
    <row r="381" spans="1:36" s="81" customFormat="1" ht="14.25" customHeight="1">
      <c r="A381" s="80" t="str">
        <f>"VSG"&amp;TEXT(I381,"00")&amp;"C-"&amp;TEXT(BenchGDE!$E381,"yy")&amp;TEXT(F381,"000")&amp;Z381&amp;"2."&amp;TEXT((C381),"00")</f>
        <v>VSG01C-24106F2.29</v>
      </c>
      <c r="B381" s="81">
        <v>100</v>
      </c>
      <c r="C381" s="82">
        <v>29</v>
      </c>
      <c r="D381" s="81" t="s">
        <v>497</v>
      </c>
      <c r="E381" s="83">
        <v>45397</v>
      </c>
      <c r="F381" s="84">
        <f t="shared" si="56"/>
        <v>106</v>
      </c>
      <c r="G381" s="85" t="s">
        <v>438</v>
      </c>
      <c r="H381" s="82" t="s">
        <v>439</v>
      </c>
      <c r="I381" s="82">
        <v>1</v>
      </c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6" t="s">
        <v>440</v>
      </c>
      <c r="Y381" s="85" t="s">
        <v>293</v>
      </c>
      <c r="Z381" s="82" t="s">
        <v>16</v>
      </c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</row>
    <row r="382" spans="1:36" s="74" customFormat="1" ht="15" customHeight="1">
      <c r="A382" s="68" t="str">
        <f>"VSG"&amp;TEXT(I382,"00")&amp;"C-"&amp;TEXT(BenchGDE!$E382,"yy")&amp;TEXT(F382,"000")&amp;Z382&amp;"2."&amp;TEXT((C382),"00")</f>
        <v>VSG01C-24106F2.30</v>
      </c>
      <c r="B382" s="74">
        <v>100</v>
      </c>
      <c r="C382" s="69">
        <v>30</v>
      </c>
      <c r="D382" s="74" t="s">
        <v>498</v>
      </c>
      <c r="E382" s="75">
        <v>45397</v>
      </c>
      <c r="F382" s="71">
        <f t="shared" si="56"/>
        <v>106</v>
      </c>
      <c r="G382" s="72" t="s">
        <v>438</v>
      </c>
      <c r="H382" s="69" t="s">
        <v>439</v>
      </c>
      <c r="I382" s="69">
        <v>1</v>
      </c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73" t="s">
        <v>440</v>
      </c>
      <c r="Y382" s="72" t="s">
        <v>293</v>
      </c>
      <c r="Z382" s="69" t="s">
        <v>16</v>
      </c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</row>
    <row r="383" spans="1:36" s="81" customFormat="1" ht="15" customHeight="1">
      <c r="A383" s="80" t="str">
        <f>"VSG"&amp;TEXT(I383,"00")&amp;"C-"&amp;TEXT(BenchGDE!$E383,"yy")&amp;TEXT(F383,"000")&amp;Z383&amp;"2."&amp;TEXT((C383),"00")</f>
        <v>VSG01C-24106F2.31</v>
      </c>
      <c r="B383" s="81">
        <v>100</v>
      </c>
      <c r="C383" s="82">
        <v>31</v>
      </c>
      <c r="D383" s="81" t="s">
        <v>499</v>
      </c>
      <c r="E383" s="83">
        <v>45397</v>
      </c>
      <c r="F383" s="84">
        <f t="shared" si="56"/>
        <v>106</v>
      </c>
      <c r="G383" s="85" t="s">
        <v>438</v>
      </c>
      <c r="H383" s="82" t="s">
        <v>439</v>
      </c>
      <c r="I383" s="82">
        <v>1</v>
      </c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6" t="s">
        <v>440</v>
      </c>
      <c r="Y383" s="85" t="s">
        <v>293</v>
      </c>
      <c r="Z383" s="82" t="s">
        <v>16</v>
      </c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</row>
    <row r="384" spans="1:36" s="74" customFormat="1" ht="15" customHeight="1">
      <c r="A384" s="68" t="str">
        <f>"VSG"&amp;TEXT(I384,"00")&amp;"C-"&amp;TEXT(BenchGDE!$E384,"yy")&amp;TEXT(F384,"000")&amp;Z384&amp;"2."&amp;TEXT((C384),"00")</f>
        <v>VSG01C-24106F2.32</v>
      </c>
      <c r="B384" s="74">
        <v>100</v>
      </c>
      <c r="C384" s="69">
        <v>32</v>
      </c>
      <c r="D384" s="74" t="s">
        <v>500</v>
      </c>
      <c r="E384" s="75">
        <v>45397</v>
      </c>
      <c r="F384" s="71">
        <f t="shared" ref="F384:F387" si="57">E384-DATE(YEAR(E384),1,0)</f>
        <v>106</v>
      </c>
      <c r="G384" s="72" t="s">
        <v>438</v>
      </c>
      <c r="H384" s="69" t="s">
        <v>439</v>
      </c>
      <c r="I384" s="69">
        <v>1</v>
      </c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73" t="s">
        <v>440</v>
      </c>
      <c r="Y384" s="72" t="s">
        <v>293</v>
      </c>
      <c r="Z384" s="69" t="s">
        <v>16</v>
      </c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</row>
    <row r="385" spans="1:36" s="81" customFormat="1" ht="15" customHeight="1">
      <c r="A385" s="80" t="str">
        <f>"VSG"&amp;TEXT(I385,"00")&amp;"C-"&amp;TEXT(BenchGDE!$E385,"yy")&amp;TEXT(F385,"000")&amp;Z385&amp;"2."&amp;TEXT((C385),"00")</f>
        <v>VSG01C-24106F2.33</v>
      </c>
      <c r="B385" s="81">
        <v>100</v>
      </c>
      <c r="C385" s="82">
        <v>33</v>
      </c>
      <c r="D385" s="81" t="s">
        <v>501</v>
      </c>
      <c r="E385" s="83">
        <v>45397</v>
      </c>
      <c r="F385" s="84">
        <f t="shared" si="57"/>
        <v>106</v>
      </c>
      <c r="G385" s="85" t="s">
        <v>438</v>
      </c>
      <c r="H385" s="82" t="s">
        <v>439</v>
      </c>
      <c r="I385" s="82">
        <v>1</v>
      </c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6" t="s">
        <v>440</v>
      </c>
      <c r="Y385" s="85" t="s">
        <v>293</v>
      </c>
      <c r="Z385" s="82" t="s">
        <v>16</v>
      </c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</row>
    <row r="386" spans="1:36" s="74" customFormat="1" ht="15" customHeight="1">
      <c r="A386" s="68" t="str">
        <f>"VSG"&amp;TEXT(I386,"00")&amp;"C-"&amp;TEXT(BenchGDE!$E386,"yy")&amp;TEXT(F386,"000")&amp;Z386&amp;"2."&amp;TEXT((C386),"00")</f>
        <v>VSG01C-24106F2.34</v>
      </c>
      <c r="B386" s="74">
        <v>100</v>
      </c>
      <c r="C386" s="69">
        <v>34</v>
      </c>
      <c r="D386" s="74" t="s">
        <v>502</v>
      </c>
      <c r="E386" s="75">
        <v>45397</v>
      </c>
      <c r="F386" s="71">
        <f t="shared" si="57"/>
        <v>106</v>
      </c>
      <c r="G386" s="72" t="s">
        <v>438</v>
      </c>
      <c r="H386" s="69" t="s">
        <v>439</v>
      </c>
      <c r="I386" s="69">
        <v>1</v>
      </c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73" t="s">
        <v>440</v>
      </c>
      <c r="Y386" s="72" t="s">
        <v>293</v>
      </c>
      <c r="Z386" s="69" t="s">
        <v>16</v>
      </c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</row>
    <row r="387" spans="1:36" s="81" customFormat="1" ht="15" customHeight="1">
      <c r="A387" s="80" t="str">
        <f>"VSG"&amp;TEXT(I387,"00")&amp;"C-"&amp;TEXT(BenchGDE!$E387,"yy")&amp;TEXT(F387,"000")&amp;Z387&amp;"2."&amp;TEXT((C387),"00")</f>
        <v>VSG01C-24106F2.35</v>
      </c>
      <c r="B387" s="81">
        <v>100</v>
      </c>
      <c r="C387" s="82">
        <v>35</v>
      </c>
      <c r="D387" s="81" t="s">
        <v>503</v>
      </c>
      <c r="E387" s="83">
        <v>45397</v>
      </c>
      <c r="F387" s="84">
        <f t="shared" si="57"/>
        <v>106</v>
      </c>
      <c r="G387" s="85" t="s">
        <v>438</v>
      </c>
      <c r="H387" s="82" t="s">
        <v>439</v>
      </c>
      <c r="I387" s="82">
        <v>1</v>
      </c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6" t="s">
        <v>440</v>
      </c>
      <c r="Y387" s="85" t="s">
        <v>293</v>
      </c>
      <c r="Z387" s="82" t="s">
        <v>16</v>
      </c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</row>
    <row r="388" spans="1:36" s="74" customFormat="1" ht="15" customHeight="1">
      <c r="A388" s="68"/>
      <c r="C388" s="69"/>
      <c r="E388" s="75"/>
      <c r="F388" s="71"/>
      <c r="G388" s="72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73"/>
      <c r="Y388" s="72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</row>
    <row r="389" spans="1:36" ht="15" customHeight="1">
      <c r="A389" s="25" t="str">
        <f>"VSG"&amp;TEXT(I389,"00")&amp;"C-"&amp;TEXT(BenchGDE!$E389,"yy")&amp;TEXT(F389,"000")&amp;Z389&amp;"2."&amp;TEXT((C389),"00")</f>
        <v>VSG01C-24092F2.31</v>
      </c>
      <c r="B389" s="26">
        <v>100</v>
      </c>
      <c r="C389" s="26">
        <v>31</v>
      </c>
      <c r="D389" s="26" t="s">
        <v>397</v>
      </c>
      <c r="E389" s="29">
        <v>45383</v>
      </c>
      <c r="F389" s="30">
        <f t="shared" ref="F389" si="58">E389-DATE(YEAR(E389),1,0)</f>
        <v>92</v>
      </c>
      <c r="G389" s="26" t="s">
        <v>398</v>
      </c>
      <c r="H389" s="26" t="s">
        <v>399</v>
      </c>
      <c r="I389" s="26">
        <v>1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>
        <v>0.156</v>
      </c>
      <c r="W389" s="26"/>
      <c r="X389" s="28" t="s">
        <v>400</v>
      </c>
      <c r="Y389" s="26" t="s">
        <v>293</v>
      </c>
      <c r="Z389" s="26" t="s">
        <v>16</v>
      </c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spans="1:36" ht="15" customHeight="1">
      <c r="A390" s="25" t="str">
        <f>"VSG"&amp;TEXT(I390,"00")&amp;"C-"&amp;TEXT(BenchGDE!$E390,"yy")&amp;TEXT(F390,"000")&amp;Z390&amp;"2."&amp;TEXT((C390),"00")</f>
        <v>VSG01C-24092F2.32</v>
      </c>
      <c r="B390" s="26">
        <v>100</v>
      </c>
      <c r="C390" s="26">
        <v>32</v>
      </c>
      <c r="D390" s="26" t="s">
        <v>409</v>
      </c>
      <c r="E390" s="29">
        <v>45383</v>
      </c>
      <c r="F390" s="30">
        <f>E390-DATE(YEAR(E390),1,0)</f>
        <v>92</v>
      </c>
      <c r="G390" s="26" t="s">
        <v>398</v>
      </c>
      <c r="H390" s="26" t="s">
        <v>399</v>
      </c>
      <c r="I390" s="26">
        <v>1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>
        <v>0.151</v>
      </c>
      <c r="W390" s="26"/>
      <c r="X390" s="28" t="s">
        <v>400</v>
      </c>
      <c r="Y390" s="26" t="s">
        <v>293</v>
      </c>
      <c r="Z390" s="26" t="s">
        <v>16</v>
      </c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2" spans="1:36" ht="15" customHeight="1">
      <c r="A392" s="25" t="str">
        <f>"VSG"&amp;TEXT(I392,"00")&amp;"C-"&amp;TEXT(BenchGDE!$E392,"yy")&amp;TEXT(F392,"000")&amp;Z392&amp;"2."&amp;TEXT((C392),"00")</f>
        <v>VSG01C-24092F2.33</v>
      </c>
      <c r="B392" s="26">
        <v>100</v>
      </c>
      <c r="C392" s="26">
        <v>33</v>
      </c>
      <c r="D392" s="26" t="s">
        <v>504</v>
      </c>
      <c r="E392" s="29">
        <v>45383</v>
      </c>
      <c r="F392" s="30">
        <f t="shared" ref="F392" si="59">E392-DATE(YEAR(E392),1,0)</f>
        <v>92</v>
      </c>
      <c r="G392" s="26" t="s">
        <v>296</v>
      </c>
      <c r="H392" s="26" t="s">
        <v>63</v>
      </c>
      <c r="I392" s="26">
        <v>1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49">
        <f>AVERAGE(0.185,0.168,0.209,0.186,0.209)</f>
        <v>0.19139999999999999</v>
      </c>
      <c r="V392" s="26">
        <v>0.13400000000000001</v>
      </c>
      <c r="W392" s="26"/>
      <c r="X392" s="28" t="s">
        <v>297</v>
      </c>
      <c r="Y392" s="26" t="s">
        <v>293</v>
      </c>
      <c r="Z392" s="26" t="s">
        <v>16</v>
      </c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spans="1:36" ht="15" customHeight="1">
      <c r="A393" s="25" t="str">
        <f>"VSG"&amp;TEXT(I393,"00")&amp;"C-"&amp;TEXT(BenchGDE!$E393,"yy")&amp;TEXT(F393,"000")&amp;Z393&amp;"2."&amp;TEXT((C393),"00")</f>
        <v>VSG01C-24092F2.34</v>
      </c>
      <c r="B393" s="26">
        <v>100</v>
      </c>
      <c r="C393" s="26">
        <v>34</v>
      </c>
      <c r="D393" s="26" t="s">
        <v>505</v>
      </c>
      <c r="E393" s="29">
        <v>45383</v>
      </c>
      <c r="F393" s="30">
        <f t="shared" ref="F393" si="60">E393-DATE(YEAR(E393),1,0)</f>
        <v>92</v>
      </c>
      <c r="G393" s="26" t="s">
        <v>296</v>
      </c>
      <c r="H393" s="26" t="s">
        <v>63</v>
      </c>
      <c r="I393" s="26">
        <v>1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>
        <v>0.182</v>
      </c>
      <c r="V393" s="26">
        <v>0.13400000000000001</v>
      </c>
      <c r="W393" s="26"/>
      <c r="X393" s="28" t="s">
        <v>297</v>
      </c>
      <c r="Y393" s="26" t="s">
        <v>293</v>
      </c>
      <c r="Z393" s="26" t="s">
        <v>16</v>
      </c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spans="1:36" ht="15" customHeight="1">
      <c r="A394" s="25" t="str">
        <f>"VSG"&amp;TEXT(I394,"00")&amp;"C-"&amp;TEXT(BenchGDE!$E394,"yy")&amp;TEXT(F394,"000")&amp;Z394&amp;"2."&amp;TEXT((C394),"00")</f>
        <v>VSG01C-24092F2.35</v>
      </c>
      <c r="B394" s="26">
        <v>100</v>
      </c>
      <c r="C394" s="26">
        <v>35</v>
      </c>
      <c r="D394" s="26" t="s">
        <v>506</v>
      </c>
      <c r="E394" s="29">
        <v>45383</v>
      </c>
      <c r="F394" s="30">
        <f t="shared" ref="F394:F401" si="61">E394-DATE(YEAR(E394),1,0)</f>
        <v>92</v>
      </c>
      <c r="G394" s="26" t="s">
        <v>296</v>
      </c>
      <c r="H394" s="26" t="s">
        <v>299</v>
      </c>
      <c r="I394" s="26">
        <v>1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>
        <v>0.187</v>
      </c>
      <c r="V394" s="26">
        <v>0.16</v>
      </c>
      <c r="W394" s="26"/>
      <c r="X394" s="28" t="s">
        <v>300</v>
      </c>
      <c r="Y394" s="26" t="s">
        <v>293</v>
      </c>
      <c r="Z394" s="26" t="s">
        <v>16</v>
      </c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spans="1:36" ht="15" customHeight="1">
      <c r="A395" s="25" t="str">
        <f>"VSG"&amp;TEXT(I395,"00")&amp;"C-"&amp;TEXT(BenchGDE!$E395,"yy")&amp;TEXT(F395,"000")&amp;Z395&amp;"2."&amp;TEXT((C395),"00")</f>
        <v>VSG01C-24092F2.36</v>
      </c>
      <c r="B395" s="26">
        <v>100</v>
      </c>
      <c r="C395" s="26">
        <v>36</v>
      </c>
      <c r="D395" s="26" t="s">
        <v>507</v>
      </c>
      <c r="E395" s="29">
        <v>45383</v>
      </c>
      <c r="F395" s="30">
        <f t="shared" si="61"/>
        <v>92</v>
      </c>
      <c r="G395" s="26" t="s">
        <v>296</v>
      </c>
      <c r="H395" s="26" t="s">
        <v>299</v>
      </c>
      <c r="I395" s="26">
        <v>1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>
        <v>0.17</v>
      </c>
      <c r="V395" s="26">
        <v>0.16</v>
      </c>
      <c r="W395" s="26"/>
      <c r="X395" s="28" t="s">
        <v>300</v>
      </c>
      <c r="Y395" s="26" t="s">
        <v>293</v>
      </c>
      <c r="Z395" s="26" t="s">
        <v>16</v>
      </c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spans="1:36" ht="15" customHeight="1">
      <c r="A396" s="25" t="str">
        <f>"VSG"&amp;TEXT(I396,"00")&amp;"C-"&amp;TEXT(BenchGDE!$E396,"yy")&amp;TEXT(F396,"000")&amp;Z396&amp;"2."&amp;TEXT((C396),"00")</f>
        <v>VSG01C-24092F2.37</v>
      </c>
      <c r="B396" s="26">
        <v>100</v>
      </c>
      <c r="C396" s="26">
        <v>37</v>
      </c>
      <c r="D396" s="26" t="s">
        <v>508</v>
      </c>
      <c r="E396" s="29">
        <v>45383</v>
      </c>
      <c r="F396" s="30">
        <f t="shared" si="61"/>
        <v>92</v>
      </c>
      <c r="G396" s="26" t="s">
        <v>296</v>
      </c>
      <c r="H396" s="26" t="s">
        <v>299</v>
      </c>
      <c r="I396" s="26">
        <v>1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>
        <v>0.159</v>
      </c>
      <c r="V396" s="26">
        <v>0.16</v>
      </c>
      <c r="W396" s="26"/>
      <c r="X396" s="28" t="s">
        <v>300</v>
      </c>
      <c r="Y396" s="26" t="s">
        <v>293</v>
      </c>
      <c r="Z396" s="26" t="s">
        <v>16</v>
      </c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spans="1:36" ht="15" customHeight="1">
      <c r="A397" s="25" t="str">
        <f>"VSG"&amp;TEXT(I397,"00")&amp;"C-"&amp;TEXT(BenchGDE!$E397,"yy")&amp;TEXT(F397,"000")&amp;Z397&amp;"2."&amp;TEXT((C397),"00")</f>
        <v>VSG01C-24092F2.38</v>
      </c>
      <c r="B397" s="26">
        <v>100</v>
      </c>
      <c r="C397" s="26">
        <v>38</v>
      </c>
      <c r="D397" s="26" t="s">
        <v>509</v>
      </c>
      <c r="E397" s="29">
        <v>45383</v>
      </c>
      <c r="F397" s="30">
        <f t="shared" si="61"/>
        <v>92</v>
      </c>
      <c r="G397" s="26" t="s">
        <v>296</v>
      </c>
      <c r="H397" s="26" t="s">
        <v>299</v>
      </c>
      <c r="I397" s="26">
        <v>1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>
        <v>0.20300000000000001</v>
      </c>
      <c r="V397" s="26">
        <v>0.16</v>
      </c>
      <c r="W397" s="26"/>
      <c r="X397" s="28" t="s">
        <v>300</v>
      </c>
      <c r="Y397" s="26" t="s">
        <v>293</v>
      </c>
      <c r="Z397" s="26" t="s">
        <v>16</v>
      </c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spans="1:36" ht="15" customHeight="1">
      <c r="A398" s="25" t="str">
        <f>"VSG"&amp;TEXT(I398,"00")&amp;"C-"&amp;TEXT(BenchGDE!$E398,"yy")&amp;TEXT(F398,"000")&amp;Z398&amp;"2."&amp;TEXT((C398),"00")</f>
        <v>VSG01C-24092F2.39</v>
      </c>
      <c r="B398" s="26">
        <v>100</v>
      </c>
      <c r="C398" s="26">
        <v>39</v>
      </c>
      <c r="D398" s="26" t="s">
        <v>510</v>
      </c>
      <c r="E398" s="29">
        <v>45383</v>
      </c>
      <c r="F398" s="30">
        <f t="shared" si="61"/>
        <v>92</v>
      </c>
      <c r="G398" s="26" t="s">
        <v>302</v>
      </c>
      <c r="H398" s="26" t="s">
        <v>303</v>
      </c>
      <c r="I398" s="26">
        <v>1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>
        <v>0.17</v>
      </c>
      <c r="V398" s="26">
        <v>0.16</v>
      </c>
      <c r="W398" s="26"/>
      <c r="X398" s="28" t="s">
        <v>304</v>
      </c>
      <c r="Y398" s="26" t="s">
        <v>293</v>
      </c>
      <c r="Z398" s="26" t="s">
        <v>16</v>
      </c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spans="1:36" ht="15" customHeight="1">
      <c r="A399" s="25" t="str">
        <f>"VSG"&amp;TEXT(I399,"00")&amp;"C-"&amp;TEXT(BenchGDE!$E399,"yy")&amp;TEXT(F399,"000")&amp;Z399&amp;"2."&amp;TEXT((C399),"00")</f>
        <v>VSG01C-24092F2.40</v>
      </c>
      <c r="B399" s="26">
        <v>100</v>
      </c>
      <c r="C399" s="26">
        <v>40</v>
      </c>
      <c r="D399" s="26" t="s">
        <v>511</v>
      </c>
      <c r="E399" s="29">
        <v>45383</v>
      </c>
      <c r="F399" s="30">
        <f t="shared" si="61"/>
        <v>92</v>
      </c>
      <c r="G399" s="26" t="s">
        <v>302</v>
      </c>
      <c r="H399" s="26" t="s">
        <v>303</v>
      </c>
      <c r="I399" s="26">
        <v>1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>
        <v>0.224</v>
      </c>
      <c r="V399" s="26">
        <v>0.16</v>
      </c>
      <c r="W399" s="26"/>
      <c r="X399" s="28" t="s">
        <v>304</v>
      </c>
      <c r="Y399" s="26" t="s">
        <v>293</v>
      </c>
      <c r="Z399" s="26" t="s">
        <v>16</v>
      </c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spans="1:36" ht="15" customHeight="1">
      <c r="A400" s="25" t="str">
        <f>"VSG"&amp;TEXT(I400,"00")&amp;"C-"&amp;TEXT(BenchGDE!$E400,"yy")&amp;TEXT(F400,"000")&amp;Z400&amp;"2."&amp;TEXT((C400),"00")</f>
        <v>VSG01C-24092F2.41</v>
      </c>
      <c r="B400" s="26">
        <v>100</v>
      </c>
      <c r="C400" s="26">
        <v>41</v>
      </c>
      <c r="D400" s="26" t="s">
        <v>512</v>
      </c>
      <c r="E400" s="29">
        <v>45383</v>
      </c>
      <c r="F400" s="30">
        <f t="shared" si="61"/>
        <v>92</v>
      </c>
      <c r="G400" s="26" t="s">
        <v>302</v>
      </c>
      <c r="H400" s="26" t="s">
        <v>303</v>
      </c>
      <c r="I400" s="26">
        <v>1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>
        <v>0.16500000000000001</v>
      </c>
      <c r="V400" s="26">
        <v>0.16</v>
      </c>
      <c r="W400" s="26"/>
      <c r="X400" s="28" t="s">
        <v>304</v>
      </c>
      <c r="Y400" s="26" t="s">
        <v>293</v>
      </c>
      <c r="Z400" s="26" t="s">
        <v>16</v>
      </c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spans="1:36" ht="15" customHeight="1">
      <c r="A401" s="25" t="str">
        <f>"VSG"&amp;TEXT(I401,"00")&amp;"C-"&amp;TEXT(BenchGDE!$E401,"yy")&amp;TEXT(F401,"000")&amp;Z401&amp;"2."&amp;TEXT((C401),"00")</f>
        <v>VSG01C-24092F2.42</v>
      </c>
      <c r="B401" s="26">
        <v>100</v>
      </c>
      <c r="C401" s="26">
        <v>42</v>
      </c>
      <c r="D401" s="26" t="s">
        <v>513</v>
      </c>
      <c r="E401" s="29">
        <v>45383</v>
      </c>
      <c r="F401" s="30">
        <f t="shared" si="61"/>
        <v>92</v>
      </c>
      <c r="G401" s="26" t="s">
        <v>302</v>
      </c>
      <c r="H401" s="26" t="s">
        <v>303</v>
      </c>
      <c r="I401" s="26">
        <v>1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>
        <v>0.20599999999999999</v>
      </c>
      <c r="V401" s="26">
        <v>0.16</v>
      </c>
      <c r="W401" s="26"/>
      <c r="X401" s="28" t="s">
        <v>304</v>
      </c>
      <c r="Y401" s="26" t="s">
        <v>293</v>
      </c>
      <c r="Z401" s="26" t="s">
        <v>16</v>
      </c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3" spans="1:36" ht="15" customHeight="1">
      <c r="A403" s="25" t="str">
        <f>"VSG"&amp;TEXT(I403,"00")&amp;"C-"&amp;TEXT(BenchGDE!$E403,"yy")&amp;TEXT(F403,"000")&amp;Z403&amp;"2."&amp;TEXT((C403),"00")</f>
        <v>VSG02C-24127F2.01</v>
      </c>
      <c r="B403" s="26">
        <v>600</v>
      </c>
      <c r="C403" s="26">
        <v>1</v>
      </c>
      <c r="D403" s="26" t="s">
        <v>514</v>
      </c>
      <c r="E403" s="29">
        <v>45418</v>
      </c>
      <c r="F403" s="30">
        <f>E403-DATE(YEAR(E403),1,0)</f>
        <v>127</v>
      </c>
      <c r="G403" s="26" t="s">
        <v>515</v>
      </c>
      <c r="H403" s="26" t="s">
        <v>303</v>
      </c>
      <c r="I403" s="26">
        <v>2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8" t="s">
        <v>304</v>
      </c>
      <c r="Y403" s="26" t="s">
        <v>293</v>
      </c>
      <c r="Z403" s="26" t="s">
        <v>16</v>
      </c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spans="1:36" ht="15" customHeight="1">
      <c r="A404" s="25" t="str">
        <f>"VSG"&amp;TEXT(I404,"00")&amp;"C-"&amp;TEXT(BenchGDE!$E404,"yy")&amp;TEXT(F404,"000")&amp;Z404&amp;"2."&amp;TEXT((C404),"00")</f>
        <v>VSG02C-24127F2.02</v>
      </c>
      <c r="B404" s="26">
        <v>600</v>
      </c>
      <c r="C404" s="26">
        <v>2</v>
      </c>
      <c r="D404" s="26" t="s">
        <v>516</v>
      </c>
      <c r="E404" s="29">
        <v>45418</v>
      </c>
      <c r="F404" s="30">
        <f>E404-DATE(YEAR(E404),1,0)</f>
        <v>127</v>
      </c>
      <c r="G404" s="26" t="s">
        <v>515</v>
      </c>
      <c r="H404" s="26" t="s">
        <v>303</v>
      </c>
      <c r="I404" s="26">
        <v>2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>
        <v>0.152</v>
      </c>
      <c r="W404" s="26"/>
      <c r="X404" s="28" t="s">
        <v>304</v>
      </c>
      <c r="Y404" s="26" t="s">
        <v>293</v>
      </c>
      <c r="Z404" s="26" t="s">
        <v>16</v>
      </c>
      <c r="AA404" s="26" t="s">
        <v>103</v>
      </c>
      <c r="AB404" s="26" t="s">
        <v>517</v>
      </c>
      <c r="AC404" s="26"/>
      <c r="AD404" s="26"/>
      <c r="AE404" s="26"/>
      <c r="AF404" s="26"/>
      <c r="AG404" s="26"/>
      <c r="AH404" s="26"/>
      <c r="AI404" s="26"/>
      <c r="AJ404" s="26"/>
    </row>
    <row r="405" spans="1:36" ht="15" customHeight="1">
      <c r="A405" s="25" t="str">
        <f>"VSG"&amp;TEXT(I405,"00")&amp;"C-"&amp;TEXT(BenchGDE!$E405,"yy")&amp;TEXT(F405,"000")&amp;Z405&amp;"2."&amp;TEXT((C405),"00")</f>
        <v>VSG02C-24127F2.03</v>
      </c>
      <c r="B405" s="26">
        <v>600</v>
      </c>
      <c r="C405" s="26">
        <v>3</v>
      </c>
      <c r="D405" s="26" t="s">
        <v>518</v>
      </c>
      <c r="E405" s="29">
        <v>45418</v>
      </c>
      <c r="F405" s="30">
        <f t="shared" ref="F405:F409" si="62">E405-DATE(YEAR(E405),1,0)</f>
        <v>127</v>
      </c>
      <c r="G405" s="26" t="s">
        <v>515</v>
      </c>
      <c r="H405" s="26" t="s">
        <v>303</v>
      </c>
      <c r="I405" s="26">
        <v>2</v>
      </c>
      <c r="U405" s="26"/>
      <c r="V405">
        <v>0.13</v>
      </c>
      <c r="X405" s="28" t="s">
        <v>304</v>
      </c>
      <c r="Y405" s="26" t="s">
        <v>293</v>
      </c>
      <c r="Z405" s="26" t="s">
        <v>16</v>
      </c>
      <c r="AA405" s="26" t="s">
        <v>103</v>
      </c>
      <c r="AB405" s="26" t="s">
        <v>517</v>
      </c>
    </row>
    <row r="406" spans="1:36" ht="15" customHeight="1">
      <c r="A406" s="25" t="str">
        <f>"VSG"&amp;TEXT(I406,"00")&amp;"C-"&amp;TEXT(BenchGDE!$E406,"yy")&amp;TEXT(F406,"000")&amp;Z406&amp;"2."&amp;TEXT((C406),"00")</f>
        <v>VSG02C-24127F2.04</v>
      </c>
      <c r="B406" s="26">
        <v>600</v>
      </c>
      <c r="C406" s="26">
        <v>4</v>
      </c>
      <c r="D406" s="26" t="s">
        <v>519</v>
      </c>
      <c r="E406" s="29">
        <v>45418</v>
      </c>
      <c r="F406" s="30">
        <f t="shared" si="62"/>
        <v>127</v>
      </c>
      <c r="G406" s="26" t="s">
        <v>515</v>
      </c>
      <c r="H406" s="26" t="s">
        <v>303</v>
      </c>
      <c r="I406" s="26">
        <v>2</v>
      </c>
      <c r="U406" s="26"/>
      <c r="V406">
        <v>0.14499999999999999</v>
      </c>
      <c r="X406" s="28" t="s">
        <v>304</v>
      </c>
      <c r="Y406" s="26" t="s">
        <v>293</v>
      </c>
      <c r="Z406" s="26" t="s">
        <v>16</v>
      </c>
      <c r="AA406" s="26" t="s">
        <v>103</v>
      </c>
      <c r="AB406" s="26" t="s">
        <v>517</v>
      </c>
    </row>
    <row r="407" spans="1:36" ht="15" customHeight="1">
      <c r="A407" s="25" t="str">
        <f>"VSG"&amp;TEXT(I407,"00")&amp;"C-"&amp;TEXT(BenchGDE!$E407,"yy")&amp;TEXT(F407,"000")&amp;Z407&amp;"2."&amp;TEXT((C407),"00")</f>
        <v>VSG02C-24127F2.05</v>
      </c>
      <c r="B407" s="26">
        <v>600</v>
      </c>
      <c r="C407" s="26">
        <v>5</v>
      </c>
      <c r="D407" s="26" t="s">
        <v>520</v>
      </c>
      <c r="E407" s="29">
        <v>45418</v>
      </c>
      <c r="F407" s="30">
        <f t="shared" si="62"/>
        <v>127</v>
      </c>
      <c r="G407" s="26" t="s">
        <v>515</v>
      </c>
      <c r="H407" s="26" t="s">
        <v>303</v>
      </c>
      <c r="I407" s="26">
        <v>2</v>
      </c>
      <c r="U407" s="26">
        <v>0.214</v>
      </c>
      <c r="V407">
        <v>0.12</v>
      </c>
      <c r="X407" s="28" t="s">
        <v>304</v>
      </c>
      <c r="Y407" s="26" t="s">
        <v>293</v>
      </c>
      <c r="Z407" s="26" t="s">
        <v>16</v>
      </c>
    </row>
    <row r="408" spans="1:36" ht="15" customHeight="1">
      <c r="A408" s="25" t="str">
        <f>"VSG"&amp;TEXT(I408,"00")&amp;"C-"&amp;TEXT(BenchGDE!$E408,"yy")&amp;TEXT(F408,"000")&amp;Z408&amp;"2."&amp;TEXT((C408),"00")</f>
        <v>VSG02C-24127F2.06</v>
      </c>
      <c r="B408" s="26">
        <v>600</v>
      </c>
      <c r="C408" s="26">
        <v>6</v>
      </c>
      <c r="D408" s="26" t="s">
        <v>521</v>
      </c>
      <c r="E408" s="29">
        <v>45418</v>
      </c>
      <c r="F408" s="30">
        <f t="shared" si="62"/>
        <v>127</v>
      </c>
      <c r="G408" s="26" t="s">
        <v>515</v>
      </c>
      <c r="H408" s="26" t="s">
        <v>303</v>
      </c>
      <c r="I408" s="26">
        <v>2</v>
      </c>
      <c r="U408" s="26"/>
      <c r="V408">
        <v>0.14099999999999999</v>
      </c>
      <c r="X408" s="28" t="s">
        <v>304</v>
      </c>
      <c r="Y408" s="26" t="s">
        <v>293</v>
      </c>
      <c r="Z408" s="26" t="s">
        <v>16</v>
      </c>
    </row>
    <row r="409" spans="1:36" ht="15" customHeight="1">
      <c r="A409" s="25" t="str">
        <f>"VSG"&amp;TEXT(I409,"00")&amp;"C-"&amp;TEXT(BenchGDE!$E409,"yy")&amp;TEXT(F409,"000")&amp;Z409&amp;"2."&amp;TEXT((C409),"00")</f>
        <v>VSG02C-24127F2.07</v>
      </c>
      <c r="B409" s="26">
        <v>600</v>
      </c>
      <c r="C409" s="26">
        <v>7</v>
      </c>
      <c r="D409" s="26" t="s">
        <v>522</v>
      </c>
      <c r="E409" s="29">
        <v>45418</v>
      </c>
      <c r="F409" s="30">
        <f t="shared" si="62"/>
        <v>127</v>
      </c>
      <c r="G409" s="26" t="s">
        <v>515</v>
      </c>
      <c r="H409" s="26" t="s">
        <v>303</v>
      </c>
      <c r="I409" s="26">
        <v>2</v>
      </c>
      <c r="U409" s="26">
        <v>0.23</v>
      </c>
      <c r="V409">
        <v>0.17499999999999999</v>
      </c>
      <c r="X409" s="28" t="s">
        <v>304</v>
      </c>
      <c r="Y409" s="26" t="s">
        <v>293</v>
      </c>
      <c r="Z409" s="26" t="s">
        <v>16</v>
      </c>
      <c r="AA409" s="26" t="s">
        <v>103</v>
      </c>
      <c r="AB409" s="26" t="s">
        <v>517</v>
      </c>
    </row>
    <row r="410" spans="1:36" ht="15" customHeight="1">
      <c r="A410" s="25" t="str">
        <f>"VSG"&amp;TEXT(I410,"00")&amp;"C-"&amp;TEXT(BenchGDE!$E410,"yy")&amp;TEXT(F410,"000")&amp;Z410&amp;"2."&amp;TEXT((C410),"00")</f>
        <v>VSG02C-24127F2.08</v>
      </c>
      <c r="B410" s="26">
        <v>600</v>
      </c>
      <c r="C410" s="26">
        <v>8</v>
      </c>
      <c r="D410" s="26" t="s">
        <v>523</v>
      </c>
      <c r="E410" s="29">
        <v>45418</v>
      </c>
      <c r="F410" s="30">
        <f>E410-DATE(YEAR(E410),1,0)</f>
        <v>127</v>
      </c>
      <c r="G410" s="26" t="s">
        <v>515</v>
      </c>
      <c r="H410" s="26" t="s">
        <v>303</v>
      </c>
      <c r="I410" s="26">
        <v>2</v>
      </c>
      <c r="U410" s="26">
        <v>0.24</v>
      </c>
      <c r="V410">
        <v>0.14699999999999999</v>
      </c>
      <c r="X410" s="28" t="s">
        <v>304</v>
      </c>
      <c r="Y410" s="26" t="s">
        <v>293</v>
      </c>
      <c r="Z410" s="26" t="s">
        <v>16</v>
      </c>
    </row>
    <row r="411" spans="1:36" ht="15" customHeight="1">
      <c r="A411" s="25" t="str">
        <f>"VSG"&amp;TEXT(I411,"00")&amp;"C-"&amp;TEXT(BenchGDE!$E411,"yy")&amp;TEXT(F411,"000")&amp;Z411&amp;"2."&amp;TEXT((C411),"00")</f>
        <v>VSG02C-24127F2.09</v>
      </c>
      <c r="B411" s="26">
        <v>600</v>
      </c>
      <c r="C411" s="26">
        <v>9</v>
      </c>
      <c r="D411" s="26" t="s">
        <v>524</v>
      </c>
      <c r="E411" s="29">
        <v>45418</v>
      </c>
      <c r="F411" s="30">
        <f>E411-DATE(YEAR(E411),1,0)</f>
        <v>127</v>
      </c>
      <c r="G411" s="26" t="s">
        <v>515</v>
      </c>
      <c r="H411" s="26" t="s">
        <v>303</v>
      </c>
      <c r="I411" s="26">
        <v>2</v>
      </c>
      <c r="U411" s="26"/>
      <c r="V411">
        <v>0.156</v>
      </c>
      <c r="X411" s="28" t="s">
        <v>304</v>
      </c>
      <c r="Y411" s="26" t="s">
        <v>293</v>
      </c>
      <c r="Z411" s="26" t="s">
        <v>16</v>
      </c>
    </row>
    <row r="412" spans="1:36" ht="15" customHeight="1">
      <c r="A412" s="25" t="str">
        <f>"VSG"&amp;TEXT(I412,"00")&amp;"C-"&amp;TEXT(BenchGDE!$E412,"yy")&amp;TEXT(F412,"000")&amp;Z412&amp;"2."&amp;TEXT((C412),"00")</f>
        <v>VSG02C-24127F2.10</v>
      </c>
      <c r="B412" s="26">
        <v>600</v>
      </c>
      <c r="C412" s="26">
        <v>10</v>
      </c>
      <c r="D412" s="26" t="s">
        <v>525</v>
      </c>
      <c r="E412" s="29">
        <v>45418</v>
      </c>
      <c r="F412" s="30">
        <f t="shared" ref="F412" si="63">E412-DATE(YEAR(E412),1,0)</f>
        <v>127</v>
      </c>
      <c r="G412" s="26" t="s">
        <v>515</v>
      </c>
      <c r="H412" s="26" t="s">
        <v>303</v>
      </c>
      <c r="I412" s="26">
        <v>2</v>
      </c>
      <c r="U412" s="26"/>
      <c r="V412">
        <v>0.14499999999999999</v>
      </c>
      <c r="X412" s="28" t="s">
        <v>304</v>
      </c>
      <c r="Y412" s="26" t="s">
        <v>293</v>
      </c>
      <c r="Z412" s="26" t="s">
        <v>16</v>
      </c>
      <c r="AA412" s="26" t="s">
        <v>103</v>
      </c>
      <c r="AB412" s="26" t="s">
        <v>517</v>
      </c>
    </row>
    <row r="414" spans="1:36" ht="15" customHeight="1">
      <c r="A414" s="25" t="str">
        <f>"VSG"&amp;TEXT(I414,"00")&amp;"C-"&amp;TEXT(BenchGDE!$E414,"yy")&amp;TEXT(F414,"000")&amp;Z414&amp;"2."&amp;TEXT((C414),"00")</f>
        <v>VSG01C-24127F2.01</v>
      </c>
      <c r="B414" s="26">
        <v>100</v>
      </c>
      <c r="C414" s="26">
        <v>1</v>
      </c>
      <c r="D414" s="26" t="s">
        <v>526</v>
      </c>
      <c r="E414" s="29">
        <v>45418</v>
      </c>
      <c r="F414" s="30">
        <f>E414-DATE(YEAR(E414),1,0)</f>
        <v>127</v>
      </c>
      <c r="G414" s="26" t="s">
        <v>515</v>
      </c>
      <c r="H414" s="26" t="s">
        <v>303</v>
      </c>
      <c r="I414" s="26">
        <v>1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>
        <v>0.20599999999999999</v>
      </c>
      <c r="V414" s="26">
        <v>0.16</v>
      </c>
      <c r="W414" s="26"/>
      <c r="X414" s="28" t="s">
        <v>304</v>
      </c>
      <c r="Y414" s="26" t="s">
        <v>293</v>
      </c>
      <c r="Z414" s="26" t="s">
        <v>16</v>
      </c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</row>
    <row r="415" spans="1:36" ht="15" customHeight="1">
      <c r="A415" s="25" t="str">
        <f>"VSG"&amp;TEXT(I415,"00")&amp;"C-"&amp;TEXT(BenchGDE!$E415,"yy")&amp;TEXT(F415,"000")&amp;Z415&amp;"2."&amp;TEXT((C415),"00")</f>
        <v>VSG01C-24127F2.02</v>
      </c>
      <c r="B415" s="26">
        <v>100</v>
      </c>
      <c r="C415" s="26">
        <v>2</v>
      </c>
      <c r="D415" s="26" t="s">
        <v>527</v>
      </c>
      <c r="E415" s="29">
        <v>45418</v>
      </c>
      <c r="F415" s="30">
        <f>E415-DATE(YEAR(E415),1,0)</f>
        <v>127</v>
      </c>
      <c r="G415" s="26" t="s">
        <v>515</v>
      </c>
      <c r="H415" s="26" t="s">
        <v>303</v>
      </c>
      <c r="I415" s="26">
        <v>1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>
        <v>0.20599999999999999</v>
      </c>
      <c r="V415" s="26">
        <v>0.16</v>
      </c>
      <c r="W415" s="26"/>
      <c r="X415" s="28" t="s">
        <v>304</v>
      </c>
      <c r="Y415" s="26" t="s">
        <v>293</v>
      </c>
      <c r="Z415" s="26" t="s">
        <v>16</v>
      </c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</row>
    <row r="416" spans="1:36" ht="15" customHeight="1">
      <c r="A416" s="25" t="str">
        <f>"VSG"&amp;TEXT(I416,"00")&amp;"C-"&amp;TEXT(BenchGDE!$E416,"yy")&amp;TEXT(F416,"000")&amp;Z416&amp;"2."&amp;TEXT((C416),"00")</f>
        <v>VSG01C-24127F2.03</v>
      </c>
      <c r="B416" s="26">
        <v>100</v>
      </c>
      <c r="C416" s="26">
        <v>3</v>
      </c>
      <c r="D416" s="26" t="s">
        <v>528</v>
      </c>
      <c r="E416" s="29">
        <v>45418</v>
      </c>
      <c r="F416" s="30">
        <f>E416-DATE(YEAR(E416),1,0)</f>
        <v>127</v>
      </c>
      <c r="G416" s="65" t="s">
        <v>515</v>
      </c>
      <c r="H416" s="26" t="s">
        <v>303</v>
      </c>
      <c r="I416" s="26">
        <v>1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>
        <v>0.20599999999999999</v>
      </c>
      <c r="V416" s="26">
        <v>0.16</v>
      </c>
      <c r="W416" s="26"/>
      <c r="X416" s="28" t="s">
        <v>304</v>
      </c>
      <c r="Y416" s="26" t="s">
        <v>293</v>
      </c>
      <c r="Z416" s="26" t="s">
        <v>16</v>
      </c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</row>
    <row r="418" spans="1:26" ht="15" customHeight="1">
      <c r="A418" s="25" t="str">
        <f>"VSG"&amp;TEXT(I418,"00")&amp;"C-"&amp;TEXT(BenchGDE!$E418,"yy")&amp;TEXT(F418,"000")&amp;Z418&amp;"2."&amp;TEXT((C418),"00")</f>
        <v>VSG02C-24130F2.01</v>
      </c>
      <c r="B418" s="26">
        <v>600</v>
      </c>
      <c r="C418" s="26">
        <v>1</v>
      </c>
      <c r="D418" s="26" t="s">
        <v>529</v>
      </c>
      <c r="E418" s="29">
        <v>45421</v>
      </c>
      <c r="F418" s="30">
        <f t="shared" ref="F418" si="64">E418-DATE(YEAR(E418),1,0)</f>
        <v>130</v>
      </c>
      <c r="G418" s="26" t="s">
        <v>530</v>
      </c>
      <c r="H418" s="26" t="s">
        <v>303</v>
      </c>
      <c r="I418" s="26">
        <v>2</v>
      </c>
      <c r="U418" s="26"/>
      <c r="X418" s="28" t="s">
        <v>304</v>
      </c>
      <c r="Y418" s="26" t="s">
        <v>293</v>
      </c>
      <c r="Z418" s="26" t="s">
        <v>16</v>
      </c>
    </row>
    <row r="419" spans="1:26" ht="15" customHeight="1">
      <c r="A419" s="25" t="str">
        <f>"VSG"&amp;TEXT(I419,"00")&amp;"C-"&amp;TEXT(BenchGDE!$E419,"yy")&amp;TEXT(F419,"000")&amp;Z419&amp;"2."&amp;TEXT((C419),"00")</f>
        <v>VSG02C-24130F2.02</v>
      </c>
      <c r="B419" s="26">
        <v>600</v>
      </c>
      <c r="C419" s="26">
        <v>2</v>
      </c>
      <c r="D419" s="26" t="s">
        <v>531</v>
      </c>
      <c r="E419" s="29">
        <v>45421</v>
      </c>
      <c r="F419" s="30">
        <f t="shared" ref="F419:F427" si="65">E419-DATE(YEAR(E419),1,0)</f>
        <v>130</v>
      </c>
      <c r="G419" s="26" t="s">
        <v>530</v>
      </c>
      <c r="H419" s="26" t="s">
        <v>303</v>
      </c>
      <c r="I419" s="26">
        <v>2</v>
      </c>
      <c r="U419" s="26"/>
      <c r="X419" s="28" t="s">
        <v>304</v>
      </c>
      <c r="Y419" s="26" t="s">
        <v>293</v>
      </c>
      <c r="Z419" s="26" t="s">
        <v>16</v>
      </c>
    </row>
    <row r="420" spans="1:26" ht="15" customHeight="1">
      <c r="A420" s="25" t="str">
        <f>"VSG"&amp;TEXT(I420,"00")&amp;"C-"&amp;TEXT(BenchGDE!$E420,"yy")&amp;TEXT(F420,"000")&amp;Z420&amp;"2."&amp;TEXT((C420),"00")</f>
        <v>VSG02C-24130F2.03</v>
      </c>
      <c r="B420" s="26">
        <v>600</v>
      </c>
      <c r="C420" s="26">
        <v>3</v>
      </c>
      <c r="D420" s="26" t="s">
        <v>532</v>
      </c>
      <c r="E420" s="29">
        <v>45421</v>
      </c>
      <c r="F420" s="30">
        <f t="shared" si="65"/>
        <v>130</v>
      </c>
      <c r="G420" s="26" t="s">
        <v>530</v>
      </c>
      <c r="H420" s="26" t="s">
        <v>303</v>
      </c>
      <c r="I420" s="26">
        <v>2</v>
      </c>
      <c r="U420" s="26"/>
      <c r="X420" s="28" t="s">
        <v>304</v>
      </c>
      <c r="Y420" s="26" t="s">
        <v>293</v>
      </c>
      <c r="Z420" s="26" t="s">
        <v>16</v>
      </c>
    </row>
    <row r="421" spans="1:26" ht="15" customHeight="1">
      <c r="A421" s="25" t="str">
        <f>"VSG"&amp;TEXT(I421,"00")&amp;"C-"&amp;TEXT(BenchGDE!$E421,"yy")&amp;TEXT(F421,"000")&amp;Z421&amp;"2."&amp;TEXT((C421),"00")</f>
        <v>VSG02C-24130F2.04</v>
      </c>
      <c r="B421" s="26">
        <v>600</v>
      </c>
      <c r="C421" s="26">
        <v>4</v>
      </c>
      <c r="D421" s="26" t="s">
        <v>533</v>
      </c>
      <c r="E421" s="29">
        <v>45421</v>
      </c>
      <c r="F421" s="30">
        <f t="shared" si="65"/>
        <v>130</v>
      </c>
      <c r="G421" s="26" t="s">
        <v>530</v>
      </c>
      <c r="H421" s="26" t="s">
        <v>303</v>
      </c>
      <c r="I421" s="26">
        <v>2</v>
      </c>
      <c r="U421" s="26"/>
      <c r="X421" s="28" t="s">
        <v>304</v>
      </c>
      <c r="Y421" s="26" t="s">
        <v>293</v>
      </c>
      <c r="Z421" s="26" t="s">
        <v>16</v>
      </c>
    </row>
    <row r="422" spans="1:26" ht="15" customHeight="1">
      <c r="A422" s="25" t="str">
        <f>"VSG"&amp;TEXT(I422,"00")&amp;"C-"&amp;TEXT(BenchGDE!$E422,"yy")&amp;TEXT(F422,"000")&amp;Z422&amp;"2."&amp;TEXT((C422),"00")</f>
        <v>VSG02C-24130F2.05</v>
      </c>
      <c r="B422" s="26">
        <v>600</v>
      </c>
      <c r="C422" s="26">
        <v>5</v>
      </c>
      <c r="D422" s="26" t="s">
        <v>534</v>
      </c>
      <c r="E422" s="29">
        <v>45421</v>
      </c>
      <c r="F422" s="30">
        <f t="shared" si="65"/>
        <v>130</v>
      </c>
      <c r="G422" s="26" t="s">
        <v>530</v>
      </c>
      <c r="H422" s="26" t="s">
        <v>303</v>
      </c>
      <c r="I422" s="26">
        <v>2</v>
      </c>
      <c r="U422" s="26"/>
      <c r="X422" s="28" t="s">
        <v>304</v>
      </c>
      <c r="Y422" s="26" t="s">
        <v>293</v>
      </c>
      <c r="Z422" s="26" t="s">
        <v>16</v>
      </c>
    </row>
    <row r="423" spans="1:26" ht="15" customHeight="1">
      <c r="A423" s="25" t="str">
        <f>"VSG"&amp;TEXT(I423,"00")&amp;"C-"&amp;TEXT(BenchGDE!$E423,"yy")&amp;TEXT(F423,"000")&amp;Z423&amp;"2."&amp;TEXT((C423),"00")</f>
        <v>VSG02C-24130F2.06</v>
      </c>
      <c r="B423" s="26">
        <v>600</v>
      </c>
      <c r="C423" s="26">
        <v>6</v>
      </c>
      <c r="D423" s="26" t="s">
        <v>535</v>
      </c>
      <c r="E423" s="29">
        <v>45421</v>
      </c>
      <c r="F423" s="30">
        <f t="shared" si="65"/>
        <v>130</v>
      </c>
      <c r="G423" s="26" t="s">
        <v>530</v>
      </c>
      <c r="H423" s="26" t="s">
        <v>303</v>
      </c>
      <c r="I423" s="26">
        <v>2</v>
      </c>
      <c r="U423" s="26"/>
      <c r="X423" s="28" t="s">
        <v>304</v>
      </c>
      <c r="Y423" s="26" t="s">
        <v>293</v>
      </c>
      <c r="Z423" s="26" t="s">
        <v>16</v>
      </c>
    </row>
    <row r="424" spans="1:26" ht="15" customHeight="1">
      <c r="A424" s="25" t="str">
        <f>"VSG"&amp;TEXT(I424,"00")&amp;"C-"&amp;TEXT(BenchGDE!$E424,"yy")&amp;TEXT(F424,"000")&amp;Z424&amp;"2."&amp;TEXT((C424),"00")</f>
        <v>VSG02C-24130F2.07</v>
      </c>
      <c r="B424" s="26">
        <v>600</v>
      </c>
      <c r="C424" s="26">
        <v>7</v>
      </c>
      <c r="D424" s="26" t="s">
        <v>536</v>
      </c>
      <c r="E424" s="29">
        <v>45421</v>
      </c>
      <c r="F424" s="30">
        <f t="shared" si="65"/>
        <v>130</v>
      </c>
      <c r="G424" s="26" t="s">
        <v>530</v>
      </c>
      <c r="H424" s="26" t="s">
        <v>303</v>
      </c>
      <c r="I424" s="26">
        <v>2</v>
      </c>
      <c r="U424" s="26"/>
      <c r="X424" s="28" t="s">
        <v>304</v>
      </c>
      <c r="Y424" s="26" t="s">
        <v>293</v>
      </c>
      <c r="Z424" s="26" t="s">
        <v>16</v>
      </c>
    </row>
    <row r="425" spans="1:26" ht="15" customHeight="1">
      <c r="A425" s="25" t="str">
        <f>"VSG"&amp;TEXT(I425,"00")&amp;"C-"&amp;TEXT(BenchGDE!$E425,"yy")&amp;TEXT(F425,"000")&amp;Z425&amp;"2."&amp;TEXT((C425),"00")</f>
        <v>VSG02C-24130F2.08</v>
      </c>
      <c r="B425" s="26">
        <v>600</v>
      </c>
      <c r="C425" s="26">
        <v>8</v>
      </c>
      <c r="D425" s="26" t="s">
        <v>537</v>
      </c>
      <c r="E425" s="29">
        <v>45421</v>
      </c>
      <c r="F425" s="30">
        <f t="shared" si="65"/>
        <v>130</v>
      </c>
      <c r="G425" s="26" t="s">
        <v>530</v>
      </c>
      <c r="H425" s="26" t="s">
        <v>303</v>
      </c>
      <c r="I425" s="26">
        <v>2</v>
      </c>
      <c r="U425" s="26"/>
      <c r="X425" s="28" t="s">
        <v>304</v>
      </c>
      <c r="Y425" s="26" t="s">
        <v>293</v>
      </c>
      <c r="Z425" s="26" t="s">
        <v>16</v>
      </c>
    </row>
    <row r="426" spans="1:26" ht="15" customHeight="1">
      <c r="A426" s="25" t="str">
        <f>"VSG"&amp;TEXT(I426,"00")&amp;"C-"&amp;TEXT(BenchGDE!$E426,"yy")&amp;TEXT(F426,"000")&amp;Z426&amp;"2."&amp;TEXT((C426),"00")</f>
        <v>VSG02C-24130F2.09</v>
      </c>
      <c r="B426" s="26">
        <v>600</v>
      </c>
      <c r="C426" s="26">
        <v>9</v>
      </c>
      <c r="D426" s="26" t="s">
        <v>538</v>
      </c>
      <c r="E426" s="29">
        <v>45421</v>
      </c>
      <c r="F426" s="30">
        <f t="shared" si="65"/>
        <v>130</v>
      </c>
      <c r="G426" s="26" t="s">
        <v>530</v>
      </c>
      <c r="H426" s="26" t="s">
        <v>303</v>
      </c>
      <c r="I426" s="26">
        <v>2</v>
      </c>
      <c r="U426" s="26"/>
      <c r="X426" s="28" t="s">
        <v>304</v>
      </c>
      <c r="Y426" s="26" t="s">
        <v>293</v>
      </c>
      <c r="Z426" s="26" t="s">
        <v>16</v>
      </c>
    </row>
    <row r="427" spans="1:26" ht="15" customHeight="1">
      <c r="A427" s="25" t="str">
        <f>"VSG"&amp;TEXT(I427,"00")&amp;"C-"&amp;TEXT(BenchGDE!$E427,"yy")&amp;TEXT(F427,"000")&amp;Z427&amp;"2."&amp;TEXT((C427),"00")</f>
        <v>VSG02C-24130F2.10</v>
      </c>
      <c r="B427" s="26">
        <v>600</v>
      </c>
      <c r="C427" s="26">
        <v>10</v>
      </c>
      <c r="D427" s="26" t="s">
        <v>539</v>
      </c>
      <c r="E427" s="29">
        <v>45421</v>
      </c>
      <c r="F427" s="30">
        <f t="shared" si="65"/>
        <v>130</v>
      </c>
      <c r="G427" s="26" t="s">
        <v>530</v>
      </c>
      <c r="H427" s="26" t="s">
        <v>303</v>
      </c>
      <c r="I427" s="26">
        <v>2</v>
      </c>
      <c r="U427" s="26"/>
      <c r="X427" s="28" t="s">
        <v>304</v>
      </c>
      <c r="Y427" s="26" t="s">
        <v>293</v>
      </c>
      <c r="Z427" s="26" t="s">
        <v>16</v>
      </c>
    </row>
    <row r="428" spans="1:26" ht="15" customHeight="1">
      <c r="A428" s="25" t="str">
        <f>"VSG"&amp;TEXT(I428,"00")&amp;"C-"&amp;TEXT(BenchGDE!$E428,"yy")&amp;TEXT(F428,"000")&amp;Z428&amp;"2."&amp;TEXT((C428),"00")</f>
        <v>VSG02C-24130F2.11</v>
      </c>
      <c r="B428" s="26">
        <v>600</v>
      </c>
      <c r="C428" s="26">
        <v>11</v>
      </c>
      <c r="D428" s="26" t="s">
        <v>540</v>
      </c>
      <c r="E428" s="29">
        <v>45421</v>
      </c>
      <c r="F428" s="30">
        <f t="shared" ref="F428:F430" si="66">E428-DATE(YEAR(E428),1,0)</f>
        <v>130</v>
      </c>
      <c r="G428" s="26" t="s">
        <v>530</v>
      </c>
      <c r="H428" s="26" t="s">
        <v>303</v>
      </c>
      <c r="I428" s="26">
        <v>2</v>
      </c>
      <c r="U428" s="26"/>
      <c r="X428" s="28" t="s">
        <v>304</v>
      </c>
      <c r="Y428" s="26" t="s">
        <v>293</v>
      </c>
      <c r="Z428" s="26" t="s">
        <v>16</v>
      </c>
    </row>
    <row r="430" spans="1:26" ht="15" customHeight="1">
      <c r="A430" s="25" t="str">
        <f>"VSG"&amp;TEXT(I430,"00")&amp;"C-"&amp;TEXT(BenchGDE!$E430,"yy")&amp;TEXT(F430,"000")&amp;Z430&amp;"2."&amp;TEXT((C430),"00")</f>
        <v>VSG02C-24134F2.01</v>
      </c>
      <c r="B430">
        <v>600</v>
      </c>
      <c r="C430">
        <v>1</v>
      </c>
      <c r="D430" t="s">
        <v>541</v>
      </c>
      <c r="E430" s="1">
        <v>45425</v>
      </c>
      <c r="F430" s="30">
        <f t="shared" si="66"/>
        <v>134</v>
      </c>
      <c r="G430" s="26" t="s">
        <v>542</v>
      </c>
      <c r="H430" s="26" t="s">
        <v>303</v>
      </c>
      <c r="I430" s="26">
        <v>2</v>
      </c>
      <c r="U430" t="s">
        <v>543</v>
      </c>
      <c r="X430" s="28" t="s">
        <v>304</v>
      </c>
      <c r="Y430" s="26" t="s">
        <v>293</v>
      </c>
      <c r="Z430" s="26" t="s">
        <v>16</v>
      </c>
    </row>
    <row r="431" spans="1:26" ht="15" customHeight="1">
      <c r="A431" s="25" t="str">
        <f>"VSG"&amp;TEXT(I431,"00")&amp;"C-"&amp;TEXT(BenchGDE!$E431,"yy")&amp;TEXT(F431,"000")&amp;Z431&amp;"2."&amp;TEXT((C431),"00")</f>
        <v>VSG02C-24134F2.02</v>
      </c>
      <c r="B431">
        <v>600</v>
      </c>
      <c r="C431">
        <v>2</v>
      </c>
      <c r="D431" t="s">
        <v>544</v>
      </c>
      <c r="E431" s="1">
        <v>45425</v>
      </c>
      <c r="F431" s="30">
        <f t="shared" ref="F431:F443" si="67">E431-DATE(YEAR(E431),1,0)</f>
        <v>134</v>
      </c>
      <c r="G431" s="26" t="s">
        <v>542</v>
      </c>
      <c r="H431" s="26" t="s">
        <v>303</v>
      </c>
      <c r="I431" s="26">
        <v>2</v>
      </c>
      <c r="X431" s="28" t="s">
        <v>304</v>
      </c>
      <c r="Y431" s="26" t="s">
        <v>293</v>
      </c>
      <c r="Z431" s="26" t="s">
        <v>16</v>
      </c>
    </row>
    <row r="432" spans="1:26" ht="15" customHeight="1">
      <c r="A432" s="25" t="str">
        <f>"VSG"&amp;TEXT(I432,"00")&amp;"C-"&amp;TEXT(BenchGDE!$E432,"yy")&amp;TEXT(F432,"000")&amp;Z432&amp;"2."&amp;TEXT((C432),"00")</f>
        <v>VSG02C-24134F2.03</v>
      </c>
      <c r="B432">
        <v>600</v>
      </c>
      <c r="C432">
        <v>3</v>
      </c>
      <c r="D432" t="s">
        <v>545</v>
      </c>
      <c r="E432" s="1">
        <v>45425</v>
      </c>
      <c r="F432" s="30">
        <f t="shared" si="67"/>
        <v>134</v>
      </c>
      <c r="G432" s="26" t="s">
        <v>542</v>
      </c>
      <c r="H432" s="26" t="s">
        <v>303</v>
      </c>
      <c r="I432" s="26">
        <v>2</v>
      </c>
      <c r="X432" s="28" t="s">
        <v>304</v>
      </c>
      <c r="Y432" s="26" t="s">
        <v>293</v>
      </c>
      <c r="Z432" s="26" t="s">
        <v>16</v>
      </c>
    </row>
    <row r="433" spans="1:26" ht="15" customHeight="1">
      <c r="A433" s="25" t="str">
        <f>"VSG"&amp;TEXT(I433,"00")&amp;"C-"&amp;TEXT(BenchGDE!$E433,"yy")&amp;TEXT(F433,"000")&amp;Z433&amp;"2."&amp;TEXT((C433),"00")</f>
        <v>VSG02C-24134F2.04</v>
      </c>
      <c r="B433">
        <v>600</v>
      </c>
      <c r="C433">
        <v>4</v>
      </c>
      <c r="D433" t="s">
        <v>546</v>
      </c>
      <c r="E433" s="1">
        <v>45425</v>
      </c>
      <c r="F433" s="30">
        <f t="shared" si="67"/>
        <v>134</v>
      </c>
      <c r="G433" s="26" t="s">
        <v>542</v>
      </c>
      <c r="H433" s="26" t="s">
        <v>303</v>
      </c>
      <c r="I433" s="26">
        <v>2</v>
      </c>
      <c r="X433" s="28" t="s">
        <v>304</v>
      </c>
      <c r="Y433" s="26" t="s">
        <v>293</v>
      </c>
      <c r="Z433" s="26" t="s">
        <v>16</v>
      </c>
    </row>
    <row r="434" spans="1:26" ht="15" customHeight="1">
      <c r="A434" s="25" t="str">
        <f>"VSG"&amp;TEXT(I434,"00")&amp;"C-"&amp;TEXT(BenchGDE!$E434,"yy")&amp;TEXT(F434,"000")&amp;Z434&amp;"2."&amp;TEXT((C434),"00")</f>
        <v>VSG02C-24134F2.05</v>
      </c>
      <c r="B434">
        <v>600</v>
      </c>
      <c r="C434">
        <v>5</v>
      </c>
      <c r="D434" t="s">
        <v>547</v>
      </c>
      <c r="E434" s="1">
        <v>45425</v>
      </c>
      <c r="F434" s="30">
        <f t="shared" si="67"/>
        <v>134</v>
      </c>
      <c r="G434" s="26" t="s">
        <v>542</v>
      </c>
      <c r="H434" s="26" t="s">
        <v>303</v>
      </c>
      <c r="I434" s="26">
        <v>2</v>
      </c>
      <c r="X434" s="28" t="s">
        <v>304</v>
      </c>
      <c r="Y434" s="26" t="s">
        <v>293</v>
      </c>
      <c r="Z434" s="26" t="s">
        <v>16</v>
      </c>
    </row>
    <row r="435" spans="1:26" ht="15" customHeight="1">
      <c r="A435" s="25" t="str">
        <f>"VSG"&amp;TEXT(I435,"00")&amp;"C-"&amp;TEXT(BenchGDE!$E435,"yy")&amp;TEXT(F435,"000")&amp;Z435&amp;"2."&amp;TEXT((C435),"00")</f>
        <v>VSG02C-24134F2.06</v>
      </c>
      <c r="B435">
        <v>600</v>
      </c>
      <c r="C435">
        <v>6</v>
      </c>
      <c r="D435" t="s">
        <v>548</v>
      </c>
      <c r="E435" s="1">
        <v>45425</v>
      </c>
      <c r="F435" s="30">
        <f t="shared" si="67"/>
        <v>134</v>
      </c>
      <c r="G435" s="26" t="s">
        <v>542</v>
      </c>
      <c r="H435" s="26" t="s">
        <v>303</v>
      </c>
      <c r="I435" s="26">
        <v>2</v>
      </c>
      <c r="X435" s="28" t="s">
        <v>304</v>
      </c>
      <c r="Y435" s="26" t="s">
        <v>293</v>
      </c>
      <c r="Z435" s="26" t="s">
        <v>16</v>
      </c>
    </row>
    <row r="436" spans="1:26" ht="15" customHeight="1">
      <c r="A436" s="25" t="str">
        <f>"VSG"&amp;TEXT(I436,"00")&amp;"C-"&amp;TEXT(BenchGDE!$E436,"yy")&amp;TEXT(F436,"000")&amp;Z436&amp;"2."&amp;TEXT((C436),"00")</f>
        <v>VSG02C-24134F2.07</v>
      </c>
      <c r="B436">
        <v>600</v>
      </c>
      <c r="C436">
        <v>7</v>
      </c>
      <c r="D436" t="s">
        <v>549</v>
      </c>
      <c r="E436" s="1">
        <v>45425</v>
      </c>
      <c r="F436" s="30">
        <f t="shared" si="67"/>
        <v>134</v>
      </c>
      <c r="G436" s="26" t="s">
        <v>542</v>
      </c>
      <c r="H436" s="26" t="s">
        <v>303</v>
      </c>
      <c r="I436" s="26">
        <v>2</v>
      </c>
      <c r="X436" s="28" t="s">
        <v>304</v>
      </c>
      <c r="Y436" s="26" t="s">
        <v>293</v>
      </c>
      <c r="Z436" s="26" t="s">
        <v>16</v>
      </c>
    </row>
    <row r="437" spans="1:26" ht="15" customHeight="1">
      <c r="A437" s="25" t="str">
        <f>"VSG"&amp;TEXT(I437,"00")&amp;"C-"&amp;TEXT(BenchGDE!$E437,"yy")&amp;TEXT(F437,"000")&amp;Z437&amp;"2."&amp;TEXT((C437),"00")</f>
        <v>VSG02C-24134F2.08</v>
      </c>
      <c r="B437">
        <v>600</v>
      </c>
      <c r="C437">
        <v>8</v>
      </c>
      <c r="D437" t="s">
        <v>550</v>
      </c>
      <c r="E437" s="1">
        <v>45425</v>
      </c>
      <c r="F437" s="30">
        <f t="shared" si="67"/>
        <v>134</v>
      </c>
      <c r="G437" s="26" t="s">
        <v>542</v>
      </c>
      <c r="H437" s="26" t="s">
        <v>303</v>
      </c>
      <c r="I437" s="26">
        <v>2</v>
      </c>
      <c r="X437" s="28" t="s">
        <v>304</v>
      </c>
      <c r="Y437" s="26" t="s">
        <v>293</v>
      </c>
      <c r="Z437" s="26" t="s">
        <v>16</v>
      </c>
    </row>
    <row r="438" spans="1:26" ht="15" customHeight="1">
      <c r="A438" s="25" t="str">
        <f>"VSG"&amp;TEXT(I438,"00")&amp;"C-"&amp;TEXT(BenchGDE!$E438,"yy")&amp;TEXT(F438,"000")&amp;Z438&amp;"2."&amp;TEXT((C438),"00")</f>
        <v>VSG02C-24134F2.09</v>
      </c>
      <c r="B438">
        <v>600</v>
      </c>
      <c r="C438">
        <v>9</v>
      </c>
      <c r="D438" t="s">
        <v>551</v>
      </c>
      <c r="E438" s="1">
        <v>45425</v>
      </c>
      <c r="F438" s="30">
        <f t="shared" si="67"/>
        <v>134</v>
      </c>
      <c r="G438" s="26" t="s">
        <v>542</v>
      </c>
      <c r="H438" s="26" t="s">
        <v>303</v>
      </c>
      <c r="I438" s="26">
        <v>2</v>
      </c>
      <c r="X438" s="28" t="s">
        <v>304</v>
      </c>
      <c r="Y438" s="26" t="s">
        <v>293</v>
      </c>
      <c r="Z438" s="26" t="s">
        <v>16</v>
      </c>
    </row>
    <row r="439" spans="1:26" ht="15" customHeight="1">
      <c r="A439" s="25" t="str">
        <f>"VSG"&amp;TEXT(I439,"00")&amp;"C-"&amp;TEXT(BenchGDE!$E439,"yy")&amp;TEXT(F439,"000")&amp;Z439&amp;"2."&amp;TEXT((C439),"00")</f>
        <v>VSG02C-24134F2.10</v>
      </c>
      <c r="B439">
        <v>600</v>
      </c>
      <c r="C439">
        <v>10</v>
      </c>
      <c r="D439" t="s">
        <v>552</v>
      </c>
      <c r="E439" s="1">
        <v>45425</v>
      </c>
      <c r="F439" s="30">
        <f t="shared" si="67"/>
        <v>134</v>
      </c>
      <c r="G439" s="26" t="s">
        <v>542</v>
      </c>
      <c r="H439" s="26" t="s">
        <v>303</v>
      </c>
      <c r="I439" s="26">
        <v>2</v>
      </c>
      <c r="X439" s="28" t="s">
        <v>304</v>
      </c>
      <c r="Y439" s="26" t="s">
        <v>293</v>
      </c>
      <c r="Z439" s="26" t="s">
        <v>16</v>
      </c>
    </row>
    <row r="440" spans="1:26" ht="15" customHeight="1">
      <c r="A440" s="25" t="str">
        <f>"VSG"&amp;TEXT(I440,"00")&amp;"C-"&amp;TEXT(BenchGDE!$E440,"yy")&amp;TEXT(F440,"000")&amp;Z440&amp;"2."&amp;TEXT((C440),"00")</f>
        <v>VSG02C-24134F2.11</v>
      </c>
      <c r="B440">
        <v>600</v>
      </c>
      <c r="C440">
        <v>11</v>
      </c>
      <c r="D440" t="s">
        <v>553</v>
      </c>
      <c r="E440" s="1">
        <v>45425</v>
      </c>
      <c r="F440" s="30">
        <f t="shared" si="67"/>
        <v>134</v>
      </c>
      <c r="G440" s="26" t="s">
        <v>542</v>
      </c>
      <c r="H440" s="26" t="s">
        <v>303</v>
      </c>
      <c r="I440" s="26">
        <v>2</v>
      </c>
      <c r="X440" s="28" t="s">
        <v>304</v>
      </c>
      <c r="Y440" s="26" t="s">
        <v>293</v>
      </c>
      <c r="Z440" s="26" t="s">
        <v>16</v>
      </c>
    </row>
    <row r="441" spans="1:26" ht="15" customHeight="1">
      <c r="A441" s="25" t="str">
        <f>"VSG"&amp;TEXT(I441,"00")&amp;"C-"&amp;TEXT(BenchGDE!$E441,"yy")&amp;TEXT(F441,"000")&amp;Z441&amp;"2."&amp;TEXT((C441),"00")</f>
        <v>VSG02C-24134F2.12</v>
      </c>
      <c r="B441">
        <v>600</v>
      </c>
      <c r="C441">
        <v>12</v>
      </c>
      <c r="D441" t="s">
        <v>554</v>
      </c>
      <c r="E441" s="1">
        <v>45425</v>
      </c>
      <c r="F441" s="30">
        <f t="shared" si="67"/>
        <v>134</v>
      </c>
      <c r="G441" s="26" t="s">
        <v>542</v>
      </c>
      <c r="H441" s="26" t="s">
        <v>303</v>
      </c>
      <c r="I441" s="26">
        <v>2</v>
      </c>
      <c r="X441" s="28" t="s">
        <v>304</v>
      </c>
      <c r="Y441" s="26" t="s">
        <v>293</v>
      </c>
      <c r="Z441" s="26" t="s">
        <v>16</v>
      </c>
    </row>
    <row r="442" spans="1:26" ht="15" customHeight="1">
      <c r="A442" s="25" t="str">
        <f>"VSG"&amp;TEXT(I442,"00")&amp;"C-"&amp;TEXT(BenchGDE!$E442,"yy")&amp;TEXT(F442,"000")&amp;Z442&amp;"2."&amp;TEXT((C442),"00")</f>
        <v>VSG02C-24134F2.13</v>
      </c>
      <c r="B442">
        <v>600</v>
      </c>
      <c r="C442">
        <v>13</v>
      </c>
      <c r="D442" t="s">
        <v>555</v>
      </c>
      <c r="E442" s="1">
        <v>45425</v>
      </c>
      <c r="F442" s="30">
        <f t="shared" si="67"/>
        <v>134</v>
      </c>
      <c r="G442" s="26" t="s">
        <v>542</v>
      </c>
      <c r="H442" s="26" t="s">
        <v>303</v>
      </c>
      <c r="I442" s="26">
        <v>2</v>
      </c>
      <c r="X442" s="28" t="s">
        <v>304</v>
      </c>
      <c r="Y442" s="26" t="s">
        <v>293</v>
      </c>
      <c r="Z442" s="26" t="s">
        <v>16</v>
      </c>
    </row>
    <row r="443" spans="1:26" ht="15" customHeight="1">
      <c r="A443" s="25" t="str">
        <f>"VSG"&amp;TEXT(I443,"00")&amp;"C-"&amp;TEXT(BenchGDE!$E443,"yy")&amp;TEXT(F443,"000")&amp;Z443&amp;"2."&amp;TEXT((C443),"00")</f>
        <v>VSG02C-24134F2.14</v>
      </c>
      <c r="B443">
        <v>600</v>
      </c>
      <c r="C443">
        <v>14</v>
      </c>
      <c r="D443" t="s">
        <v>556</v>
      </c>
      <c r="E443" s="1">
        <v>45425</v>
      </c>
      <c r="F443" s="30">
        <f t="shared" si="67"/>
        <v>134</v>
      </c>
      <c r="G443" s="26" t="s">
        <v>542</v>
      </c>
      <c r="H443" s="26" t="s">
        <v>303</v>
      </c>
      <c r="I443" s="26">
        <v>2</v>
      </c>
      <c r="X443" s="28" t="s">
        <v>304</v>
      </c>
      <c r="Y443" s="26" t="s">
        <v>293</v>
      </c>
      <c r="Z443" s="26" t="s">
        <v>16</v>
      </c>
    </row>
    <row r="444" spans="1:26" ht="15" customHeight="1">
      <c r="A444" s="25"/>
      <c r="E444" s="1"/>
      <c r="F444" s="30"/>
      <c r="G444" s="26"/>
      <c r="H444" s="26"/>
      <c r="I444" s="26"/>
      <c r="X444" s="28"/>
      <c r="Y444" s="26"/>
      <c r="Z444" s="26"/>
    </row>
    <row r="445" spans="1:26" ht="15" customHeight="1">
      <c r="A445" s="25" t="str">
        <f>"VSG"&amp;TEXT(I445,"00")&amp;"C-"&amp;TEXT(BenchGDE!$E445,"yy")&amp;TEXT(F445,"000")&amp;Z445&amp;"2."&amp;TEXT((C445),"00")</f>
        <v>VSG02C-24135F2.01</v>
      </c>
      <c r="B445">
        <v>600</v>
      </c>
      <c r="C445">
        <v>1</v>
      </c>
      <c r="D445" t="s">
        <v>557</v>
      </c>
      <c r="E445" s="1">
        <v>45426</v>
      </c>
      <c r="F445" s="30">
        <f t="shared" ref="F445:F454" si="68">E445-DATE(YEAR(E445),1,0)</f>
        <v>135</v>
      </c>
      <c r="G445" s="26" t="s">
        <v>558</v>
      </c>
      <c r="H445" s="26" t="s">
        <v>303</v>
      </c>
      <c r="I445" s="26">
        <v>2</v>
      </c>
      <c r="U445" t="s">
        <v>543</v>
      </c>
      <c r="X445" s="28" t="s">
        <v>304</v>
      </c>
      <c r="Y445" s="26" t="s">
        <v>293</v>
      </c>
      <c r="Z445" s="26" t="s">
        <v>16</v>
      </c>
    </row>
    <row r="446" spans="1:26" ht="15" customHeight="1">
      <c r="A446" s="25" t="str">
        <f>"VSG"&amp;TEXT(I446,"00")&amp;"C-"&amp;TEXT(BenchGDE!$E446,"yy")&amp;TEXT(F446,"000")&amp;Z446&amp;"2."&amp;TEXT((C446),"00")</f>
        <v>VSG02C-24135F2.02</v>
      </c>
      <c r="B446">
        <v>600</v>
      </c>
      <c r="C446">
        <v>2</v>
      </c>
      <c r="D446" t="s">
        <v>559</v>
      </c>
      <c r="E446" s="1">
        <v>45426</v>
      </c>
      <c r="F446" s="30">
        <f t="shared" si="68"/>
        <v>135</v>
      </c>
      <c r="G446" s="26" t="s">
        <v>558</v>
      </c>
      <c r="H446" s="26" t="s">
        <v>303</v>
      </c>
      <c r="I446" s="26">
        <v>2</v>
      </c>
      <c r="V446">
        <v>0.14699999999999999</v>
      </c>
      <c r="X446" s="28" t="s">
        <v>304</v>
      </c>
      <c r="Y446" s="26" t="s">
        <v>293</v>
      </c>
      <c r="Z446" s="26" t="s">
        <v>16</v>
      </c>
    </row>
    <row r="447" spans="1:26" ht="15" customHeight="1">
      <c r="A447" s="25" t="str">
        <f>"VSG"&amp;TEXT(I447,"00")&amp;"C-"&amp;TEXT(BenchGDE!$E447,"yy")&amp;TEXT(F447,"000")&amp;Z447&amp;"2."&amp;TEXT((C447),"00")</f>
        <v>VSG02C-24135F2.03</v>
      </c>
      <c r="B447">
        <v>600</v>
      </c>
      <c r="C447">
        <v>3</v>
      </c>
      <c r="D447" t="s">
        <v>560</v>
      </c>
      <c r="E447" s="1">
        <v>45426</v>
      </c>
      <c r="F447" s="30">
        <f t="shared" si="68"/>
        <v>135</v>
      </c>
      <c r="G447" s="26" t="s">
        <v>558</v>
      </c>
      <c r="H447" s="26" t="s">
        <v>303</v>
      </c>
      <c r="I447" s="26">
        <v>2</v>
      </c>
      <c r="V447">
        <v>0.13</v>
      </c>
      <c r="X447" s="28" t="s">
        <v>304</v>
      </c>
      <c r="Y447" s="26" t="s">
        <v>293</v>
      </c>
      <c r="Z447" s="26" t="s">
        <v>16</v>
      </c>
    </row>
    <row r="448" spans="1:26" ht="15" customHeight="1">
      <c r="A448" s="25" t="str">
        <f>"VSG"&amp;TEXT(I448,"00")&amp;"C-"&amp;TEXT(BenchGDE!$E448,"yy")&amp;TEXT(F448,"000")&amp;Z448&amp;"2."&amp;TEXT((C448),"00")</f>
        <v>VSG02C-24135F2.04</v>
      </c>
      <c r="B448">
        <v>600</v>
      </c>
      <c r="C448">
        <v>4</v>
      </c>
      <c r="D448" t="s">
        <v>561</v>
      </c>
      <c r="E448" s="1">
        <v>45426</v>
      </c>
      <c r="F448" s="30">
        <f t="shared" si="68"/>
        <v>135</v>
      </c>
      <c r="G448" s="26" t="s">
        <v>558</v>
      </c>
      <c r="H448" s="26" t="s">
        <v>303</v>
      </c>
      <c r="I448" s="26">
        <v>2</v>
      </c>
      <c r="V448">
        <v>0.127</v>
      </c>
      <c r="X448" s="28" t="s">
        <v>304</v>
      </c>
      <c r="Y448" s="26" t="s">
        <v>293</v>
      </c>
      <c r="Z448" s="26" t="s">
        <v>16</v>
      </c>
    </row>
    <row r="449" spans="1:36" ht="15" customHeight="1">
      <c r="A449" s="25" t="str">
        <f>"VSG"&amp;TEXT(I449,"00")&amp;"C-"&amp;TEXT(BenchGDE!$E449,"yy")&amp;TEXT(F449,"000")&amp;Z449&amp;"2."&amp;TEXT((C449),"00")</f>
        <v>VSG02C-24135F2.05</v>
      </c>
      <c r="B449">
        <v>600</v>
      </c>
      <c r="C449">
        <v>5</v>
      </c>
      <c r="D449" t="s">
        <v>562</v>
      </c>
      <c r="E449" s="1">
        <v>45426</v>
      </c>
      <c r="F449" s="30">
        <f t="shared" si="68"/>
        <v>135</v>
      </c>
      <c r="G449" s="26" t="s">
        <v>558</v>
      </c>
      <c r="H449" s="26" t="s">
        <v>303</v>
      </c>
      <c r="I449" s="26">
        <v>2</v>
      </c>
      <c r="V449">
        <v>0.14499999999999999</v>
      </c>
      <c r="X449" s="28" t="s">
        <v>304</v>
      </c>
      <c r="Y449" s="26" t="s">
        <v>293</v>
      </c>
      <c r="Z449" s="26" t="s">
        <v>16</v>
      </c>
    </row>
    <row r="450" spans="1:36" ht="15" customHeight="1">
      <c r="A450" s="25" t="str">
        <f>"VSG"&amp;TEXT(I450,"00")&amp;"C-"&amp;TEXT(BenchGDE!$E450,"yy")&amp;TEXT(F450,"000")&amp;Z450&amp;"2."&amp;TEXT((C450),"00")</f>
        <v>VSG02C-24135F2.06</v>
      </c>
      <c r="B450">
        <v>600</v>
      </c>
      <c r="C450">
        <v>6</v>
      </c>
      <c r="D450" t="s">
        <v>563</v>
      </c>
      <c r="E450" s="1">
        <v>45426</v>
      </c>
      <c r="F450" s="30">
        <f t="shared" si="68"/>
        <v>135</v>
      </c>
      <c r="G450" s="26" t="s">
        <v>558</v>
      </c>
      <c r="H450" s="26" t="s">
        <v>303</v>
      </c>
      <c r="I450" s="26">
        <v>2</v>
      </c>
      <c r="V450">
        <v>0.154</v>
      </c>
      <c r="X450" s="28" t="s">
        <v>304</v>
      </c>
      <c r="Y450" s="26" t="s">
        <v>293</v>
      </c>
      <c r="Z450" s="26" t="s">
        <v>16</v>
      </c>
    </row>
    <row r="451" spans="1:36" ht="15" customHeight="1">
      <c r="A451" s="25" t="str">
        <f>"VSG"&amp;TEXT(I451,"00")&amp;"C-"&amp;TEXT(BenchGDE!$E451,"yy")&amp;TEXT(F451,"000")&amp;Z451&amp;"2."&amp;TEXT((C451),"00")</f>
        <v>VSG02C-24135F2.07</v>
      </c>
      <c r="B451">
        <v>600</v>
      </c>
      <c r="C451">
        <v>7</v>
      </c>
      <c r="D451" t="s">
        <v>564</v>
      </c>
      <c r="E451" s="1">
        <v>45426</v>
      </c>
      <c r="F451" s="30">
        <f t="shared" si="68"/>
        <v>135</v>
      </c>
      <c r="G451" s="26" t="s">
        <v>558</v>
      </c>
      <c r="H451" s="26" t="s">
        <v>303</v>
      </c>
      <c r="I451" s="26">
        <v>2</v>
      </c>
      <c r="V451">
        <v>0.13800000000000001</v>
      </c>
      <c r="X451" s="28" t="s">
        <v>304</v>
      </c>
      <c r="Y451" s="26" t="s">
        <v>293</v>
      </c>
      <c r="Z451" s="26" t="s">
        <v>16</v>
      </c>
    </row>
    <row r="452" spans="1:36" ht="15" customHeight="1">
      <c r="A452" s="25" t="str">
        <f>"VSG"&amp;TEXT(I452,"00")&amp;"C-"&amp;TEXT(BenchGDE!$E452,"yy")&amp;TEXT(F452,"000")&amp;Z452&amp;"2."&amp;TEXT((C452),"00")</f>
        <v>VSG02C-24135F2.08</v>
      </c>
      <c r="B452">
        <v>600</v>
      </c>
      <c r="C452">
        <v>8</v>
      </c>
      <c r="D452" t="s">
        <v>565</v>
      </c>
      <c r="E452" s="1">
        <v>45426</v>
      </c>
      <c r="F452" s="30">
        <f t="shared" si="68"/>
        <v>135</v>
      </c>
      <c r="G452" s="26" t="s">
        <v>558</v>
      </c>
      <c r="H452" s="26" t="s">
        <v>303</v>
      </c>
      <c r="I452" s="26">
        <v>2</v>
      </c>
      <c r="V452">
        <v>0.154</v>
      </c>
      <c r="X452" s="28" t="s">
        <v>304</v>
      </c>
      <c r="Y452" s="26" t="s">
        <v>293</v>
      </c>
      <c r="Z452" s="26" t="s">
        <v>16</v>
      </c>
    </row>
    <row r="453" spans="1:36" ht="15" customHeight="1">
      <c r="A453" s="25" t="str">
        <f>"VSG"&amp;TEXT(I453,"00")&amp;"C-"&amp;TEXT(BenchGDE!$E453,"yy")&amp;TEXT(F453,"000")&amp;Z453&amp;"2."&amp;TEXT((C453),"00")</f>
        <v>VSG02C-24135F2.09</v>
      </c>
      <c r="B453">
        <v>600</v>
      </c>
      <c r="C453">
        <v>9</v>
      </c>
      <c r="D453" t="s">
        <v>566</v>
      </c>
      <c r="E453" s="1">
        <v>45426</v>
      </c>
      <c r="F453" s="30">
        <f t="shared" si="68"/>
        <v>135</v>
      </c>
      <c r="G453" s="26" t="s">
        <v>558</v>
      </c>
      <c r="H453" s="26" t="s">
        <v>303</v>
      </c>
      <c r="I453" s="26">
        <v>2</v>
      </c>
      <c r="V453">
        <v>0.14499999999999999</v>
      </c>
      <c r="X453" s="28" t="s">
        <v>304</v>
      </c>
      <c r="Y453" s="26" t="s">
        <v>293</v>
      </c>
      <c r="Z453" s="26" t="s">
        <v>16</v>
      </c>
    </row>
    <row r="454" spans="1:36" ht="15" customHeight="1">
      <c r="A454" s="25" t="str">
        <f>"VSG"&amp;TEXT(I454,"00")&amp;"C-"&amp;TEXT(BenchGDE!$E454,"yy")&amp;TEXT(F454,"000")&amp;Z454&amp;"2."&amp;TEXT((C454),"00")</f>
        <v>VSG02C-24135F2.10</v>
      </c>
      <c r="B454">
        <v>600</v>
      </c>
      <c r="C454">
        <v>10</v>
      </c>
      <c r="D454" t="s">
        <v>567</v>
      </c>
      <c r="E454" s="1">
        <v>45426</v>
      </c>
      <c r="F454" s="30">
        <f t="shared" si="68"/>
        <v>135</v>
      </c>
      <c r="G454" s="26" t="s">
        <v>558</v>
      </c>
      <c r="H454" s="26" t="s">
        <v>303</v>
      </c>
      <c r="I454" s="26">
        <v>2</v>
      </c>
      <c r="V454">
        <v>0.14499999999999999</v>
      </c>
      <c r="X454" s="28" t="s">
        <v>304</v>
      </c>
      <c r="Y454" s="26" t="s">
        <v>293</v>
      </c>
      <c r="Z454" s="26" t="s">
        <v>16</v>
      </c>
    </row>
    <row r="456" spans="1:36" ht="15" customHeight="1">
      <c r="A456" s="25" t="str">
        <f>"VSG"&amp;TEXT(I456,"00")&amp;"C-"&amp;TEXT(BenchGDE!$E456,"yy")&amp;TEXT(F456,"000")&amp;Z456&amp;"2."&amp;TEXT((C456),"00")</f>
        <v>VSG01C-24127F2.04</v>
      </c>
      <c r="B456" s="26">
        <v>100</v>
      </c>
      <c r="C456" s="26">
        <v>4</v>
      </c>
      <c r="D456" s="26" t="s">
        <v>568</v>
      </c>
      <c r="E456" s="29">
        <v>45418</v>
      </c>
      <c r="F456" s="30">
        <f t="shared" ref="F456:F468" si="69">E456-DATE(YEAR(E456),1,0)</f>
        <v>127</v>
      </c>
      <c r="G456" s="26" t="s">
        <v>515</v>
      </c>
      <c r="H456" s="26" t="s">
        <v>303</v>
      </c>
      <c r="I456" s="26">
        <v>1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>
        <v>0.26900000000000002</v>
      </c>
      <c r="V456" s="26">
        <v>0.156</v>
      </c>
      <c r="W456" s="26"/>
      <c r="X456" s="28" t="s">
        <v>304</v>
      </c>
      <c r="Y456" s="26" t="s">
        <v>293</v>
      </c>
      <c r="Z456" s="26" t="s">
        <v>16</v>
      </c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</row>
    <row r="457" spans="1:36" ht="15" customHeight="1">
      <c r="A457" s="25" t="str">
        <f>"VSG"&amp;TEXT(I457,"00")&amp;"C-"&amp;TEXT(BenchGDE!$E457,"yy")&amp;TEXT(F457,"000")&amp;Z457&amp;"2."&amp;TEXT((C457),"00")</f>
        <v>VSG01C-24127F2.05</v>
      </c>
      <c r="B457" s="26">
        <v>100</v>
      </c>
      <c r="C457" s="26">
        <v>5</v>
      </c>
      <c r="D457" s="26" t="s">
        <v>569</v>
      </c>
      <c r="E457" s="29">
        <v>45418</v>
      </c>
      <c r="F457" s="30">
        <f t="shared" si="69"/>
        <v>127</v>
      </c>
      <c r="G457" s="26" t="s">
        <v>515</v>
      </c>
      <c r="H457" s="26" t="s">
        <v>303</v>
      </c>
      <c r="I457" s="26">
        <v>1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>
        <v>0.23300000000000001</v>
      </c>
      <c r="V457" s="26">
        <v>0.156</v>
      </c>
      <c r="W457" s="26"/>
      <c r="X457" s="28" t="s">
        <v>304</v>
      </c>
      <c r="Y457" s="26" t="s">
        <v>293</v>
      </c>
      <c r="Z457" s="26" t="s">
        <v>16</v>
      </c>
      <c r="AA457" s="26" t="s">
        <v>570</v>
      </c>
      <c r="AB457" s="26" t="s">
        <v>571</v>
      </c>
      <c r="AC457" s="26"/>
      <c r="AD457" s="26"/>
      <c r="AE457" s="26"/>
      <c r="AF457" s="26"/>
      <c r="AG457" s="26"/>
      <c r="AH457" s="26"/>
      <c r="AI457" s="26"/>
      <c r="AJ457" s="26"/>
    </row>
    <row r="458" spans="1:36" ht="15" customHeight="1">
      <c r="A458" s="25" t="str">
        <f>"VSG"&amp;TEXT(I458,"00")&amp;"C-"&amp;TEXT(BenchGDE!$E458,"yy")&amp;TEXT(F458,"000")&amp;Z458&amp;"2."&amp;TEXT((C458),"00")</f>
        <v>VSG01C-24127F2.06</v>
      </c>
      <c r="B458" s="26">
        <v>100</v>
      </c>
      <c r="C458" s="26">
        <v>6</v>
      </c>
      <c r="D458" s="26" t="s">
        <v>572</v>
      </c>
      <c r="E458" s="29">
        <v>45418</v>
      </c>
      <c r="F458" s="30">
        <f t="shared" si="69"/>
        <v>127</v>
      </c>
      <c r="G458" s="65" t="s">
        <v>515</v>
      </c>
      <c r="H458" s="26" t="s">
        <v>303</v>
      </c>
      <c r="I458" s="26">
        <v>1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>
        <v>0.25600000000000001</v>
      </c>
      <c r="V458" s="26">
        <v>0.156</v>
      </c>
      <c r="W458" s="26"/>
      <c r="X458" s="28" t="s">
        <v>304</v>
      </c>
      <c r="Y458" s="26" t="s">
        <v>293</v>
      </c>
      <c r="Z458" s="26" t="s">
        <v>16</v>
      </c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spans="1:36" ht="15" customHeight="1">
      <c r="A459" s="25" t="str">
        <f>"VSG"&amp;TEXT(I459,"00")&amp;"C-"&amp;TEXT(BenchGDE!$E459,"yy")&amp;TEXT(F459,"000")&amp;Z459&amp;"2."&amp;TEXT((C459),"00")</f>
        <v>VSG01C-24127F2.07</v>
      </c>
      <c r="B459" s="26">
        <v>100</v>
      </c>
      <c r="C459" s="26">
        <v>7</v>
      </c>
      <c r="D459" s="26" t="s">
        <v>573</v>
      </c>
      <c r="E459" s="29">
        <v>45418</v>
      </c>
      <c r="F459" s="30">
        <f t="shared" si="69"/>
        <v>127</v>
      </c>
      <c r="G459" s="65" t="s">
        <v>515</v>
      </c>
      <c r="H459" s="26" t="s">
        <v>303</v>
      </c>
      <c r="I459" s="26">
        <v>1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>
        <v>0.20899999999999999</v>
      </c>
      <c r="V459" s="26">
        <v>0.14499999999999999</v>
      </c>
      <c r="W459" s="26"/>
      <c r="X459" s="28" t="s">
        <v>304</v>
      </c>
      <c r="Y459" s="26" t="s">
        <v>293</v>
      </c>
      <c r="Z459" s="26" t="s">
        <v>16</v>
      </c>
      <c r="AA459" s="26" t="s">
        <v>570</v>
      </c>
      <c r="AB459" s="26" t="s">
        <v>571</v>
      </c>
      <c r="AC459" s="26"/>
      <c r="AD459" s="26"/>
      <c r="AE459" s="26"/>
      <c r="AF459" s="26"/>
      <c r="AG459" s="26"/>
      <c r="AH459" s="26"/>
      <c r="AI459" s="26"/>
      <c r="AJ459" s="26"/>
    </row>
    <row r="460" spans="1:36" ht="15" customHeight="1">
      <c r="A460" s="25" t="str">
        <f>"VSG"&amp;TEXT(I460,"00")&amp;"C-"&amp;TEXT(BenchGDE!$E460,"yy")&amp;TEXT(F460,"000")&amp;Z460&amp;"2."&amp;TEXT((C460),"00")</f>
        <v>VSG01C-24127F2.08</v>
      </c>
      <c r="B460" s="26">
        <v>100</v>
      </c>
      <c r="C460" s="26">
        <v>8</v>
      </c>
      <c r="D460" s="26" t="s">
        <v>574</v>
      </c>
      <c r="E460" s="29">
        <v>45418</v>
      </c>
      <c r="F460" s="30">
        <f t="shared" si="69"/>
        <v>127</v>
      </c>
      <c r="G460" s="65" t="s">
        <v>515</v>
      </c>
      <c r="H460" s="26" t="s">
        <v>303</v>
      </c>
      <c r="I460" s="26">
        <v>1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>
        <v>0.193</v>
      </c>
      <c r="V460" s="26">
        <v>0.14499999999999999</v>
      </c>
      <c r="W460" s="26"/>
      <c r="X460" s="28" t="s">
        <v>304</v>
      </c>
      <c r="Y460" s="26" t="s">
        <v>293</v>
      </c>
      <c r="Z460" s="26" t="s">
        <v>16</v>
      </c>
      <c r="AA460" s="26" t="s">
        <v>570</v>
      </c>
      <c r="AB460" s="26" t="s">
        <v>571</v>
      </c>
      <c r="AC460" s="26"/>
      <c r="AD460" s="26"/>
      <c r="AE460" s="26"/>
      <c r="AF460" s="26"/>
      <c r="AG460" s="26"/>
      <c r="AH460" s="26"/>
      <c r="AI460" s="26"/>
      <c r="AJ460" s="26"/>
    </row>
    <row r="461" spans="1:36" ht="15" customHeight="1">
      <c r="A461" s="25" t="str">
        <f>"VSG"&amp;TEXT(I461,"00")&amp;"C-"&amp;TEXT(BenchGDE!$E461,"yy")&amp;TEXT(F461,"000")&amp;Z461&amp;"2."&amp;TEXT((C461),"00")</f>
        <v>VSG01C-24127F2.09</v>
      </c>
      <c r="B461" s="26">
        <v>100</v>
      </c>
      <c r="C461" s="26">
        <v>9</v>
      </c>
      <c r="D461" s="26" t="s">
        <v>575</v>
      </c>
      <c r="E461" s="29">
        <v>45418</v>
      </c>
      <c r="F461" s="30">
        <f t="shared" si="69"/>
        <v>127</v>
      </c>
      <c r="G461" s="26" t="s">
        <v>515</v>
      </c>
      <c r="H461" s="26" t="s">
        <v>303</v>
      </c>
      <c r="I461" s="26">
        <v>1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>
        <v>0.152</v>
      </c>
      <c r="W461" s="26"/>
      <c r="X461" s="28" t="s">
        <v>304</v>
      </c>
      <c r="Y461" s="26" t="s">
        <v>293</v>
      </c>
      <c r="Z461" s="26" t="s">
        <v>16</v>
      </c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</row>
    <row r="462" spans="1:36" ht="15" customHeight="1">
      <c r="A462" s="25" t="str">
        <f>"VSG"&amp;TEXT(I462,"00")&amp;"C-"&amp;TEXT(BenchGDE!$E462,"yy")&amp;TEXT(F462,"000")&amp;Z462&amp;"2."&amp;TEXT((C462),"00")</f>
        <v>VSG01C-24127F2.10</v>
      </c>
      <c r="B462" s="26">
        <v>100</v>
      </c>
      <c r="C462" s="26">
        <v>10</v>
      </c>
      <c r="D462" s="26" t="s">
        <v>576</v>
      </c>
      <c r="E462" s="29">
        <v>45418</v>
      </c>
      <c r="F462" s="30">
        <f t="shared" si="69"/>
        <v>127</v>
      </c>
      <c r="G462" s="26" t="s">
        <v>515</v>
      </c>
      <c r="H462" s="26" t="s">
        <v>303</v>
      </c>
      <c r="I462" s="26">
        <v>1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>
        <v>0.152</v>
      </c>
      <c r="W462" s="26"/>
      <c r="X462" s="28" t="s">
        <v>304</v>
      </c>
      <c r="Y462" s="26" t="s">
        <v>293</v>
      </c>
      <c r="Z462" s="26" t="s">
        <v>16</v>
      </c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</row>
    <row r="463" spans="1:36" ht="15" customHeight="1">
      <c r="A463" s="25" t="str">
        <f>"VSG"&amp;TEXT(I463,"00")&amp;"C-"&amp;TEXT(BenchGDE!$E463,"yy")&amp;TEXT(F463,"000")&amp;Z463&amp;"2."&amp;TEXT((C463),"00")</f>
        <v>VSG01C-24127F2.11</v>
      </c>
      <c r="B463" s="26">
        <v>100</v>
      </c>
      <c r="C463" s="26">
        <v>11</v>
      </c>
      <c r="D463" s="26" t="s">
        <v>577</v>
      </c>
      <c r="E463" s="29">
        <v>45418</v>
      </c>
      <c r="F463" s="30">
        <f t="shared" si="69"/>
        <v>127</v>
      </c>
      <c r="G463" s="26" t="s">
        <v>515</v>
      </c>
      <c r="H463" s="26" t="s">
        <v>303</v>
      </c>
      <c r="I463" s="26">
        <v>1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>
        <v>0.13</v>
      </c>
      <c r="W463" s="26"/>
      <c r="X463" s="28" t="s">
        <v>304</v>
      </c>
      <c r="Y463" s="26" t="s">
        <v>293</v>
      </c>
      <c r="Z463" s="26" t="s">
        <v>16</v>
      </c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</row>
    <row r="464" spans="1:36" ht="15" customHeight="1">
      <c r="A464" s="25" t="str">
        <f>"VSG"&amp;TEXT(I464,"00")&amp;"C-"&amp;TEXT(BenchGDE!$E464,"yy")&amp;TEXT(F464,"000")&amp;Z464&amp;"2."&amp;TEXT((C464),"00")</f>
        <v>VSG01C-24127F2.12</v>
      </c>
      <c r="B464" s="26">
        <v>100</v>
      </c>
      <c r="C464" s="26">
        <v>12</v>
      </c>
      <c r="D464" s="26" t="s">
        <v>578</v>
      </c>
      <c r="E464" s="29">
        <v>45418</v>
      </c>
      <c r="F464" s="30">
        <f t="shared" si="69"/>
        <v>127</v>
      </c>
      <c r="G464" s="26" t="s">
        <v>515</v>
      </c>
      <c r="H464" s="26" t="s">
        <v>303</v>
      </c>
      <c r="I464" s="26">
        <v>1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>
        <v>0.13</v>
      </c>
      <c r="W464" s="26"/>
      <c r="X464" s="28" t="s">
        <v>304</v>
      </c>
      <c r="Y464" s="26" t="s">
        <v>293</v>
      </c>
      <c r="Z464" s="26" t="s">
        <v>16</v>
      </c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</row>
    <row r="465" spans="1:36" ht="15" customHeight="1">
      <c r="A465" s="25" t="str">
        <f>"VSG"&amp;TEXT(I465,"00")&amp;"C-"&amp;TEXT(BenchGDE!$E465,"yy")&amp;TEXT(F465,"000")&amp;Z465&amp;"2."&amp;TEXT((C465),"00")</f>
        <v>VSG01C-24127F2.13</v>
      </c>
      <c r="B465" s="26">
        <v>100</v>
      </c>
      <c r="C465" s="26">
        <v>13</v>
      </c>
      <c r="D465" s="26" t="s">
        <v>579</v>
      </c>
      <c r="E465" s="29">
        <v>45418</v>
      </c>
      <c r="F465" s="30">
        <f t="shared" si="69"/>
        <v>127</v>
      </c>
      <c r="G465" s="26" t="s">
        <v>515</v>
      </c>
      <c r="H465" s="26" t="s">
        <v>303</v>
      </c>
      <c r="I465" s="26">
        <v>1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>
        <v>0.14499999999999999</v>
      </c>
      <c r="W465" s="26"/>
      <c r="X465" s="28" t="s">
        <v>304</v>
      </c>
      <c r="Y465" s="26" t="s">
        <v>293</v>
      </c>
      <c r="Z465" s="26" t="s">
        <v>16</v>
      </c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</row>
    <row r="466" spans="1:36" ht="15" customHeight="1">
      <c r="A466" s="25" t="str">
        <f>"VSG"&amp;TEXT(I466,"00")&amp;"C-"&amp;TEXT(BenchGDE!$E466,"yy")&amp;TEXT(F466,"000")&amp;Z466&amp;"2."&amp;TEXT((C466),"00")</f>
        <v>VSG01C-24127F2.14</v>
      </c>
      <c r="B466" s="26">
        <v>100</v>
      </c>
      <c r="C466" s="26">
        <v>14</v>
      </c>
      <c r="D466" s="26" t="s">
        <v>580</v>
      </c>
      <c r="E466" s="29">
        <v>45418</v>
      </c>
      <c r="F466" s="30">
        <f t="shared" si="69"/>
        <v>127</v>
      </c>
      <c r="G466" s="26" t="s">
        <v>515</v>
      </c>
      <c r="H466" s="26" t="s">
        <v>303</v>
      </c>
      <c r="I466" s="26">
        <v>1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>
        <v>0.14499999999999999</v>
      </c>
      <c r="W466" s="26"/>
      <c r="X466" s="28" t="s">
        <v>304</v>
      </c>
      <c r="Y466" s="26" t="s">
        <v>293</v>
      </c>
      <c r="Z466" s="26" t="s">
        <v>16</v>
      </c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</row>
    <row r="467" spans="1:36" ht="15" customHeight="1">
      <c r="A467" s="25" t="str">
        <f>"VSG"&amp;TEXT(I467,"00")&amp;"C-"&amp;TEXT(BenchGDE!$E467,"yy")&amp;TEXT(F467,"000")&amp;Z467&amp;"2."&amp;TEXT((C467),"00")</f>
        <v>VSG01C-24127F2.15</v>
      </c>
      <c r="B467" s="26">
        <v>100</v>
      </c>
      <c r="C467" s="26">
        <v>15</v>
      </c>
      <c r="D467" s="26" t="s">
        <v>581</v>
      </c>
      <c r="E467" s="29">
        <v>45418</v>
      </c>
      <c r="F467" s="30">
        <f t="shared" si="69"/>
        <v>127</v>
      </c>
      <c r="G467" s="26" t="s">
        <v>515</v>
      </c>
      <c r="H467" s="26" t="s">
        <v>303</v>
      </c>
      <c r="I467" s="26">
        <v>1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>
        <v>0.14099999999999999</v>
      </c>
      <c r="W467" s="26"/>
      <c r="X467" s="28" t="s">
        <v>304</v>
      </c>
      <c r="Y467" s="26" t="s">
        <v>293</v>
      </c>
      <c r="Z467" s="26" t="s">
        <v>16</v>
      </c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</row>
    <row r="468" spans="1:36" ht="15" customHeight="1">
      <c r="A468" s="25" t="str">
        <f>"VSG"&amp;TEXT(I468,"00")&amp;"C-"&amp;TEXT(BenchGDE!$E468,"yy")&amp;TEXT(F468,"000")&amp;Z468&amp;"2."&amp;TEXT((C468),"00")</f>
        <v>VSG01C-24127F2.16</v>
      </c>
      <c r="B468" s="26">
        <v>100</v>
      </c>
      <c r="C468" s="26">
        <v>16</v>
      </c>
      <c r="D468" s="26" t="s">
        <v>582</v>
      </c>
      <c r="E468" s="29">
        <v>45418</v>
      </c>
      <c r="F468" s="30">
        <f t="shared" si="69"/>
        <v>127</v>
      </c>
      <c r="G468" s="26" t="s">
        <v>515</v>
      </c>
      <c r="H468" s="26" t="s">
        <v>303</v>
      </c>
      <c r="I468" s="26">
        <v>1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>
        <v>0.14099999999999999</v>
      </c>
      <c r="W468" s="26"/>
      <c r="X468" s="28" t="s">
        <v>304</v>
      </c>
      <c r="Y468" s="26" t="s">
        <v>293</v>
      </c>
      <c r="Z468" s="26" t="s">
        <v>16</v>
      </c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</row>
    <row r="470" spans="1:36" ht="15" customHeight="1">
      <c r="A470" s="25" t="str">
        <f>"VSG"&amp;TEXT(I470,"00")&amp;"C-"&amp;TEXT(BenchGDE!$E470,"yy")&amp;TEXT(F470,"000")&amp;Z470&amp;"2."&amp;TEXT((C470),"00")</f>
        <v>VSG01C-24134F2.01</v>
      </c>
      <c r="B470">
        <v>100</v>
      </c>
      <c r="C470">
        <v>1</v>
      </c>
      <c r="D470" t="s">
        <v>544</v>
      </c>
      <c r="E470" s="1">
        <v>45425</v>
      </c>
      <c r="F470" s="30">
        <f t="shared" ref="F470" si="70">E470-DATE(YEAR(E470),1,0)</f>
        <v>134</v>
      </c>
      <c r="G470" s="26" t="s">
        <v>542</v>
      </c>
      <c r="H470" s="26" t="s">
        <v>303</v>
      </c>
      <c r="I470" s="26">
        <v>1</v>
      </c>
      <c r="V470">
        <v>0.13800000000000001</v>
      </c>
      <c r="X470" s="28" t="s">
        <v>304</v>
      </c>
      <c r="Y470" s="26" t="s">
        <v>293</v>
      </c>
      <c r="Z470" s="26" t="s">
        <v>16</v>
      </c>
    </row>
    <row r="471" spans="1:36" ht="15" customHeight="1">
      <c r="A471" s="25" t="str">
        <f>"VSG"&amp;TEXT(I471,"00")&amp;"C-"&amp;TEXT(BenchGDE!$E471,"yy")&amp;TEXT(F471,"000")&amp;Z471&amp;"2."&amp;TEXT((C471),"00")</f>
        <v>VSG01C-24134F2.02</v>
      </c>
      <c r="B471">
        <v>100</v>
      </c>
      <c r="C471">
        <v>2</v>
      </c>
      <c r="D471" t="s">
        <v>544</v>
      </c>
      <c r="E471" s="1">
        <v>45425</v>
      </c>
      <c r="F471" s="30">
        <f t="shared" ref="F471:F475" si="71">E471-DATE(YEAR(E471),1,0)</f>
        <v>134</v>
      </c>
      <c r="G471" s="26" t="s">
        <v>542</v>
      </c>
      <c r="H471" s="26" t="s">
        <v>303</v>
      </c>
      <c r="I471" s="26">
        <v>1</v>
      </c>
      <c r="V471">
        <v>0.13800000000000001</v>
      </c>
      <c r="X471" s="28" t="s">
        <v>304</v>
      </c>
      <c r="Y471" s="26" t="s">
        <v>293</v>
      </c>
      <c r="Z471" s="26" t="s">
        <v>16</v>
      </c>
    </row>
    <row r="472" spans="1:36" ht="15" customHeight="1">
      <c r="A472" s="25" t="str">
        <f>"VSG"&amp;TEXT(I472,"00")&amp;"C-"&amp;TEXT(BenchGDE!$E472,"yy")&amp;TEXT(F472,"000")&amp;Z472&amp;"2."&amp;TEXT((C472),"00")</f>
        <v>VSG01C-24134F2.03</v>
      </c>
      <c r="B472">
        <v>100</v>
      </c>
      <c r="C472">
        <v>3</v>
      </c>
      <c r="D472" t="s">
        <v>544</v>
      </c>
      <c r="E472" s="1">
        <v>45425</v>
      </c>
      <c r="F472" s="30">
        <f t="shared" si="71"/>
        <v>134</v>
      </c>
      <c r="G472" s="26" t="s">
        <v>542</v>
      </c>
      <c r="H472" s="26" t="s">
        <v>303</v>
      </c>
      <c r="I472" s="26">
        <v>1</v>
      </c>
      <c r="V472">
        <v>0.13800000000000001</v>
      </c>
      <c r="X472" s="28" t="s">
        <v>304</v>
      </c>
      <c r="Y472" s="26" t="s">
        <v>293</v>
      </c>
      <c r="Z472" s="26" t="s">
        <v>16</v>
      </c>
    </row>
    <row r="473" spans="1:36" ht="15" customHeight="1">
      <c r="A473" s="25" t="str">
        <f>"VSG"&amp;TEXT(I473,"00")&amp;"C-"&amp;TEXT(BenchGDE!$E473,"yy")&amp;TEXT(F473,"000")&amp;Z473&amp;"2."&amp;TEXT((C473),"00")</f>
        <v>VSG01C-24134F2.04</v>
      </c>
      <c r="B473">
        <v>100</v>
      </c>
      <c r="C473">
        <v>4</v>
      </c>
      <c r="D473" t="s">
        <v>544</v>
      </c>
      <c r="E473" s="1">
        <v>45425</v>
      </c>
      <c r="F473" s="30">
        <f t="shared" si="71"/>
        <v>134</v>
      </c>
      <c r="G473" s="26" t="s">
        <v>542</v>
      </c>
      <c r="H473" s="26" t="s">
        <v>303</v>
      </c>
      <c r="I473" s="26">
        <v>1</v>
      </c>
      <c r="V473">
        <v>0.13800000000000001</v>
      </c>
      <c r="X473" s="28" t="s">
        <v>304</v>
      </c>
      <c r="Y473" s="26" t="s">
        <v>293</v>
      </c>
      <c r="Z473" s="26" t="s">
        <v>16</v>
      </c>
    </row>
    <row r="474" spans="1:36" ht="15" customHeight="1">
      <c r="A474" s="25" t="str">
        <f>"VSG"&amp;TEXT(I474,"00")&amp;"C-"&amp;TEXT(BenchGDE!$E474,"yy")&amp;TEXT(F474,"000")&amp;Z474&amp;"2."&amp;TEXT((C474),"00")</f>
        <v>VSG01C-24134F2.05</v>
      </c>
      <c r="B474">
        <v>100</v>
      </c>
      <c r="C474">
        <v>5</v>
      </c>
      <c r="D474" t="s">
        <v>544</v>
      </c>
      <c r="E474" s="1">
        <v>45425</v>
      </c>
      <c r="F474" s="30">
        <f t="shared" si="71"/>
        <v>134</v>
      </c>
      <c r="G474" s="26" t="s">
        <v>542</v>
      </c>
      <c r="H474" s="26" t="s">
        <v>303</v>
      </c>
      <c r="I474" s="26">
        <v>1</v>
      </c>
      <c r="V474">
        <v>0.13800000000000001</v>
      </c>
      <c r="X474" s="28" t="s">
        <v>304</v>
      </c>
      <c r="Y474" s="26" t="s">
        <v>293</v>
      </c>
      <c r="Z474" s="26" t="s">
        <v>16</v>
      </c>
    </row>
    <row r="475" spans="1:36" ht="15" customHeight="1">
      <c r="A475" s="25" t="str">
        <f>"VSG"&amp;TEXT(I475,"00")&amp;"C-"&amp;TEXT(BenchGDE!$E475,"yy")&amp;TEXT(F475,"000")&amp;Z475&amp;"2."&amp;TEXT((C475),"00")</f>
        <v>VSG01C-24134F2.06</v>
      </c>
      <c r="B475">
        <v>100</v>
      </c>
      <c r="C475">
        <v>6</v>
      </c>
      <c r="D475" t="s">
        <v>544</v>
      </c>
      <c r="E475" s="1">
        <v>45425</v>
      </c>
      <c r="F475" s="30">
        <f t="shared" si="71"/>
        <v>134</v>
      </c>
      <c r="G475" s="26" t="s">
        <v>542</v>
      </c>
      <c r="H475" s="26" t="s">
        <v>303</v>
      </c>
      <c r="I475" s="26">
        <v>1</v>
      </c>
      <c r="V475">
        <v>0.13800000000000001</v>
      </c>
      <c r="X475" s="28" t="s">
        <v>304</v>
      </c>
      <c r="Y475" s="26" t="s">
        <v>293</v>
      </c>
      <c r="Z475" s="26" t="s">
        <v>16</v>
      </c>
    </row>
    <row r="476" spans="1:36" ht="15" customHeight="1">
      <c r="A476" s="25"/>
      <c r="E476" s="1"/>
      <c r="F476" s="30"/>
      <c r="G476" s="26"/>
      <c r="H476" s="26"/>
      <c r="I476" s="26"/>
      <c r="X476" s="28"/>
      <c r="Y476" s="26"/>
      <c r="Z476" s="26"/>
    </row>
    <row r="477" spans="1:36" ht="15" customHeight="1">
      <c r="A477" s="25" t="str">
        <f>"VSG"&amp;TEXT(I477,"00")&amp;"C-"&amp;TEXT(BenchGDE!$E477,"yy")&amp;TEXT(F477,"000")&amp;Z477&amp;"2."&amp;TEXT((C477),"00")</f>
        <v>VSG02C-24137F2.01</v>
      </c>
      <c r="B477">
        <v>600</v>
      </c>
      <c r="C477">
        <v>1</v>
      </c>
      <c r="D477" t="s">
        <v>583</v>
      </c>
      <c r="E477" s="1">
        <v>45428</v>
      </c>
      <c r="F477" s="30">
        <f t="shared" ref="F477" si="72">E477-DATE(YEAR(E477),1,0)</f>
        <v>137</v>
      </c>
      <c r="G477" s="26" t="s">
        <v>584</v>
      </c>
      <c r="H477" s="26" t="s">
        <v>303</v>
      </c>
      <c r="I477" s="26">
        <v>2</v>
      </c>
      <c r="U477">
        <v>0.20200000000000001</v>
      </c>
      <c r="V477">
        <v>0.13100000000000001</v>
      </c>
      <c r="W477">
        <v>0.32200000000000001</v>
      </c>
      <c r="X477" s="28" t="s">
        <v>304</v>
      </c>
      <c r="Y477" s="26" t="s">
        <v>293</v>
      </c>
      <c r="Z477" s="26" t="s">
        <v>16</v>
      </c>
      <c r="AA477" t="s">
        <v>570</v>
      </c>
      <c r="AB477" t="s">
        <v>585</v>
      </c>
    </row>
    <row r="478" spans="1:36" ht="15" customHeight="1">
      <c r="A478" s="25" t="str">
        <f>"VSG"&amp;TEXT(I478,"00")&amp;"C-"&amp;TEXT(BenchGDE!$E478,"yy")&amp;TEXT(F478,"000")&amp;Z478&amp;"2."&amp;TEXT((C478),"00")</f>
        <v>VSG02C-24137F2.02</v>
      </c>
      <c r="B478">
        <v>600</v>
      </c>
      <c r="C478">
        <v>2</v>
      </c>
      <c r="D478" t="s">
        <v>586</v>
      </c>
      <c r="E478" s="1">
        <v>45428</v>
      </c>
      <c r="F478" s="30">
        <f t="shared" ref="F478:F486" si="73">E478-DATE(YEAR(E478),1,0)</f>
        <v>137</v>
      </c>
      <c r="G478" s="26" t="s">
        <v>584</v>
      </c>
      <c r="H478" s="26" t="s">
        <v>303</v>
      </c>
      <c r="I478" s="26">
        <v>2</v>
      </c>
      <c r="U478">
        <v>0.191</v>
      </c>
      <c r="V478">
        <v>0.14000000000000001</v>
      </c>
      <c r="W478">
        <v>0.30599999999999999</v>
      </c>
      <c r="X478" s="28" t="s">
        <v>304</v>
      </c>
      <c r="Y478" s="26" t="s">
        <v>293</v>
      </c>
      <c r="Z478" s="26" t="s">
        <v>16</v>
      </c>
      <c r="AA478" t="s">
        <v>570</v>
      </c>
      <c r="AB478" t="s">
        <v>585</v>
      </c>
    </row>
    <row r="479" spans="1:36" ht="15" customHeight="1">
      <c r="A479" s="25" t="str">
        <f>"VSG"&amp;TEXT(I479,"00")&amp;"C-"&amp;TEXT(BenchGDE!$E479,"yy")&amp;TEXT(F479,"000")&amp;Z479&amp;"2."&amp;TEXT((C479),"00")</f>
        <v>VSG02C-24137F2.03</v>
      </c>
      <c r="B479">
        <v>600</v>
      </c>
      <c r="C479">
        <v>3</v>
      </c>
      <c r="D479" t="s">
        <v>587</v>
      </c>
      <c r="E479" s="1">
        <v>45428</v>
      </c>
      <c r="F479" s="30">
        <f t="shared" si="73"/>
        <v>137</v>
      </c>
      <c r="G479" s="26" t="s">
        <v>584</v>
      </c>
      <c r="H479" s="26" t="s">
        <v>303</v>
      </c>
      <c r="I479" s="26">
        <v>2</v>
      </c>
      <c r="U479">
        <v>0.21</v>
      </c>
      <c r="V479">
        <v>0.15</v>
      </c>
      <c r="W479">
        <v>0.33800000000000002</v>
      </c>
      <c r="X479" s="28" t="s">
        <v>304</v>
      </c>
      <c r="Y479" s="26" t="s">
        <v>293</v>
      </c>
      <c r="Z479" s="26" t="s">
        <v>16</v>
      </c>
      <c r="AA479" t="s">
        <v>570</v>
      </c>
      <c r="AB479" t="s">
        <v>585</v>
      </c>
    </row>
    <row r="480" spans="1:36" ht="15" customHeight="1">
      <c r="A480" s="25" t="str">
        <f>"VSG"&amp;TEXT(I480,"00")&amp;"C-"&amp;TEXT(BenchGDE!$E480,"yy")&amp;TEXT(F480,"000")&amp;Z480&amp;"2."&amp;TEXT((C480),"00")</f>
        <v>VSG02C-24137F2.04</v>
      </c>
      <c r="B480">
        <v>600</v>
      </c>
      <c r="C480">
        <v>4</v>
      </c>
      <c r="D480" t="s">
        <v>588</v>
      </c>
      <c r="E480" s="1">
        <v>45428</v>
      </c>
      <c r="F480" s="30">
        <f t="shared" si="73"/>
        <v>137</v>
      </c>
      <c r="G480" s="26" t="s">
        <v>584</v>
      </c>
      <c r="H480" s="26" t="s">
        <v>303</v>
      </c>
      <c r="I480" s="26">
        <v>2</v>
      </c>
      <c r="U480">
        <v>0.22900000000000001</v>
      </c>
      <c r="V480">
        <v>0.16</v>
      </c>
      <c r="W480">
        <v>0.36299999999999999</v>
      </c>
      <c r="X480" s="28" t="s">
        <v>304</v>
      </c>
      <c r="Y480" s="26" t="s">
        <v>293</v>
      </c>
      <c r="Z480" s="26" t="s">
        <v>16</v>
      </c>
      <c r="AA480" t="s">
        <v>570</v>
      </c>
      <c r="AB480" t="s">
        <v>585</v>
      </c>
    </row>
    <row r="481" spans="1:28" ht="15" customHeight="1">
      <c r="A481" s="25" t="str">
        <f>"VSG"&amp;TEXT(I481,"00")&amp;"C-"&amp;TEXT(BenchGDE!$E481,"yy")&amp;TEXT(F481,"000")&amp;Z481&amp;"2."&amp;TEXT((C481),"00")</f>
        <v>VSG02C-24137F2.05</v>
      </c>
      <c r="B481">
        <v>600</v>
      </c>
      <c r="C481">
        <v>5</v>
      </c>
      <c r="D481" t="s">
        <v>589</v>
      </c>
      <c r="E481" s="1">
        <v>45428</v>
      </c>
      <c r="F481" s="30">
        <f t="shared" si="73"/>
        <v>137</v>
      </c>
      <c r="G481" s="26" t="s">
        <v>584</v>
      </c>
      <c r="H481" s="26" t="s">
        <v>303</v>
      </c>
      <c r="I481" s="26">
        <v>2</v>
      </c>
      <c r="U481">
        <v>0.22600000000000001</v>
      </c>
      <c r="V481">
        <v>0.15</v>
      </c>
      <c r="W481">
        <v>0.36</v>
      </c>
      <c r="X481" s="28" t="s">
        <v>304</v>
      </c>
      <c r="Y481" s="26" t="s">
        <v>293</v>
      </c>
      <c r="Z481" s="26" t="s">
        <v>16</v>
      </c>
      <c r="AA481" t="s">
        <v>570</v>
      </c>
      <c r="AB481" t="s">
        <v>585</v>
      </c>
    </row>
    <row r="482" spans="1:28" ht="15" customHeight="1">
      <c r="A482" s="25" t="str">
        <f>"VSG"&amp;TEXT(I482,"00")&amp;"C-"&amp;TEXT(BenchGDE!$E482,"yy")&amp;TEXT(F482,"000")&amp;Z482&amp;"2."&amp;TEXT((C482),"00")</f>
        <v>VSG02C-24137F2.06</v>
      </c>
      <c r="B482">
        <v>600</v>
      </c>
      <c r="C482">
        <v>6</v>
      </c>
      <c r="D482" t="s">
        <v>590</v>
      </c>
      <c r="E482" s="1">
        <v>45428</v>
      </c>
      <c r="F482" s="30">
        <f t="shared" si="73"/>
        <v>137</v>
      </c>
      <c r="G482" s="26" t="s">
        <v>584</v>
      </c>
      <c r="H482" s="26" t="s">
        <v>303</v>
      </c>
      <c r="I482" s="26">
        <v>2</v>
      </c>
      <c r="U482">
        <v>0.214</v>
      </c>
      <c r="V482">
        <v>0.15</v>
      </c>
      <c r="W482">
        <v>0.34100000000000003</v>
      </c>
      <c r="X482" s="28" t="s">
        <v>304</v>
      </c>
      <c r="Y482" s="26" t="s">
        <v>293</v>
      </c>
      <c r="Z482" s="26" t="s">
        <v>16</v>
      </c>
    </row>
    <row r="483" spans="1:28" ht="15" customHeight="1">
      <c r="A483" s="25" t="str">
        <f>"VSG"&amp;TEXT(I483,"00")&amp;"C-"&amp;TEXT(BenchGDE!$E483,"yy")&amp;TEXT(F483,"000")&amp;Z483&amp;"2."&amp;TEXT((C483),"00")</f>
        <v>VSG02C-24137F2.07</v>
      </c>
      <c r="B483">
        <v>600</v>
      </c>
      <c r="C483">
        <v>7</v>
      </c>
      <c r="D483" t="s">
        <v>591</v>
      </c>
      <c r="E483" s="1">
        <v>45428</v>
      </c>
      <c r="F483" s="30">
        <f t="shared" si="73"/>
        <v>137</v>
      </c>
      <c r="G483" s="26" t="s">
        <v>584</v>
      </c>
      <c r="H483" s="26" t="s">
        <v>303</v>
      </c>
      <c r="I483" s="26">
        <v>2</v>
      </c>
      <c r="U483">
        <v>0.222</v>
      </c>
      <c r="V483">
        <v>0.154</v>
      </c>
      <c r="W483">
        <v>0.35899999999999999</v>
      </c>
      <c r="X483" s="28" t="s">
        <v>304</v>
      </c>
      <c r="Y483" s="26" t="s">
        <v>293</v>
      </c>
      <c r="Z483" s="26" t="s">
        <v>16</v>
      </c>
    </row>
    <row r="484" spans="1:28" ht="15" customHeight="1">
      <c r="A484" s="25" t="str">
        <f>"VSG"&amp;TEXT(I484,"00")&amp;"C-"&amp;TEXT(BenchGDE!$E484,"yy")&amp;TEXT(F484,"000")&amp;Z484&amp;"2."&amp;TEXT((C484),"00")</f>
        <v>VSG02C-24137F2.08</v>
      </c>
      <c r="B484">
        <v>600</v>
      </c>
      <c r="C484">
        <v>8</v>
      </c>
      <c r="D484" t="s">
        <v>592</v>
      </c>
      <c r="E484" s="1">
        <v>45428</v>
      </c>
      <c r="F484" s="30">
        <f t="shared" si="73"/>
        <v>137</v>
      </c>
      <c r="G484" s="26" t="s">
        <v>584</v>
      </c>
      <c r="H484" s="26" t="s">
        <v>303</v>
      </c>
      <c r="I484" s="26">
        <v>2</v>
      </c>
      <c r="U484">
        <v>0.219</v>
      </c>
      <c r="V484">
        <v>0.154</v>
      </c>
      <c r="W484">
        <v>0.35199999999999998</v>
      </c>
      <c r="X484" s="28" t="s">
        <v>304</v>
      </c>
      <c r="Y484" s="26" t="s">
        <v>293</v>
      </c>
      <c r="Z484" s="26" t="s">
        <v>16</v>
      </c>
    </row>
    <row r="485" spans="1:28" ht="15" customHeight="1">
      <c r="A485" s="25" t="str">
        <f>"VSG"&amp;TEXT(I485,"00")&amp;"C-"&amp;TEXT(BenchGDE!$E485,"yy")&amp;TEXT(F485,"000")&amp;Z485&amp;"2."&amp;TEXT((C485),"00")</f>
        <v>VSG02C-24137F2.09</v>
      </c>
      <c r="B485">
        <v>600</v>
      </c>
      <c r="C485">
        <v>9</v>
      </c>
      <c r="D485" t="s">
        <v>593</v>
      </c>
      <c r="E485" s="1">
        <v>45428</v>
      </c>
      <c r="F485" s="30">
        <f t="shared" si="73"/>
        <v>137</v>
      </c>
      <c r="G485" s="26" t="s">
        <v>584</v>
      </c>
      <c r="H485" s="26" t="s">
        <v>303</v>
      </c>
      <c r="I485" s="26">
        <v>2</v>
      </c>
      <c r="U485">
        <v>0.22600000000000001</v>
      </c>
      <c r="V485">
        <v>0.15</v>
      </c>
      <c r="W485">
        <v>0.35799999999999998</v>
      </c>
      <c r="X485" s="28" t="s">
        <v>304</v>
      </c>
      <c r="Y485" s="26" t="s">
        <v>293</v>
      </c>
      <c r="Z485" s="26" t="s">
        <v>16</v>
      </c>
    </row>
    <row r="486" spans="1:28" ht="15" customHeight="1">
      <c r="A486" s="25" t="str">
        <f>"VSG"&amp;TEXT(I486,"00")&amp;"C-"&amp;TEXT(BenchGDE!$E486,"yy")&amp;TEXT(F486,"000")&amp;Z486&amp;"2."&amp;TEXT((C486),"00")</f>
        <v>VSG02C-24137F2.10</v>
      </c>
      <c r="B486">
        <v>600</v>
      </c>
      <c r="C486">
        <v>10</v>
      </c>
      <c r="D486" t="s">
        <v>594</v>
      </c>
      <c r="E486" s="1">
        <v>45428</v>
      </c>
      <c r="F486" s="30">
        <f t="shared" si="73"/>
        <v>137</v>
      </c>
      <c r="G486" s="26" t="s">
        <v>584</v>
      </c>
      <c r="H486" s="26" t="s">
        <v>303</v>
      </c>
      <c r="I486" s="26">
        <v>2</v>
      </c>
      <c r="U486">
        <v>0.21</v>
      </c>
      <c r="V486">
        <v>0.154</v>
      </c>
      <c r="W486">
        <v>0.33700000000000002</v>
      </c>
      <c r="X486" s="28" t="s">
        <v>304</v>
      </c>
      <c r="Y486" s="26" t="s">
        <v>293</v>
      </c>
      <c r="Z486" s="26" t="s">
        <v>16</v>
      </c>
    </row>
    <row r="487" spans="1:28" ht="15" customHeight="1">
      <c r="A487" s="25"/>
      <c r="E487" s="1"/>
      <c r="F487" s="30"/>
      <c r="G487" s="26"/>
      <c r="H487" s="26"/>
      <c r="I487" s="26"/>
      <c r="X487" s="28"/>
      <c r="Y487" s="26"/>
      <c r="Z487" s="26"/>
    </row>
    <row r="488" spans="1:28" ht="15" customHeight="1">
      <c r="A488" s="25" t="str">
        <f>"VSG"&amp;TEXT(I488,"00")&amp;"C-"&amp;TEXT(BenchGDE!$E488,"yy")&amp;TEXT(F488,"000")&amp;Z488&amp;"2."&amp;TEXT((C488),"00")</f>
        <v>VSG01C-24137F2.01</v>
      </c>
      <c r="B488">
        <v>100</v>
      </c>
      <c r="C488">
        <v>1</v>
      </c>
      <c r="D488" t="s">
        <v>595</v>
      </c>
      <c r="E488" s="1">
        <v>45428</v>
      </c>
      <c r="F488" s="30">
        <f t="shared" ref="F488" si="74">E488-DATE(YEAR(E488),1,0)</f>
        <v>137</v>
      </c>
      <c r="G488" s="26" t="s">
        <v>584</v>
      </c>
      <c r="H488" s="26" t="s">
        <v>303</v>
      </c>
      <c r="I488" s="26">
        <v>1</v>
      </c>
      <c r="U488">
        <v>0.184</v>
      </c>
      <c r="V488">
        <v>0.13100000000000001</v>
      </c>
      <c r="W488">
        <v>0.29799999999999999</v>
      </c>
      <c r="X488" s="28" t="s">
        <v>304</v>
      </c>
      <c r="Y488" s="26" t="s">
        <v>293</v>
      </c>
      <c r="Z488" s="26" t="s">
        <v>16</v>
      </c>
    </row>
    <row r="489" spans="1:28" ht="15" customHeight="1">
      <c r="A489" s="25" t="str">
        <f>"VSG"&amp;TEXT(I489,"00")&amp;"C-"&amp;TEXT(BenchGDE!$E489,"yy")&amp;TEXT(F489,"000")&amp;Z489&amp;"2."&amp;TEXT((C489),"00")</f>
        <v>VSG01C-24137F2.02</v>
      </c>
      <c r="B489">
        <v>100</v>
      </c>
      <c r="C489">
        <v>2</v>
      </c>
      <c r="D489" t="s">
        <v>596</v>
      </c>
      <c r="E489" s="1">
        <v>45428</v>
      </c>
      <c r="F489" s="30">
        <f t="shared" ref="F489:F497" si="75">E489-DATE(YEAR(E489),1,0)</f>
        <v>137</v>
      </c>
      <c r="G489" s="26" t="s">
        <v>584</v>
      </c>
      <c r="H489" s="26" t="s">
        <v>303</v>
      </c>
      <c r="I489" s="26">
        <v>1</v>
      </c>
      <c r="U489">
        <v>0.183</v>
      </c>
      <c r="V489">
        <v>0.13100000000000001</v>
      </c>
      <c r="W489">
        <v>0.29399999999999998</v>
      </c>
      <c r="X489" s="28" t="s">
        <v>304</v>
      </c>
      <c r="Y489" s="26" t="s">
        <v>293</v>
      </c>
      <c r="Z489" s="26" t="s">
        <v>16</v>
      </c>
    </row>
    <row r="490" spans="1:28" ht="15" customHeight="1">
      <c r="A490" s="25" t="str">
        <f>"VSG"&amp;TEXT(I490,"00")&amp;"C-"&amp;TEXT(BenchGDE!$E490,"yy")&amp;TEXT(F490,"000")&amp;Z490&amp;"2."&amp;TEXT((C490),"00")</f>
        <v>VSG01C-24137F2.03</v>
      </c>
      <c r="B490">
        <v>100</v>
      </c>
      <c r="C490">
        <v>3</v>
      </c>
      <c r="D490" t="s">
        <v>597</v>
      </c>
      <c r="E490" s="1">
        <v>45428</v>
      </c>
      <c r="F490" s="30">
        <f t="shared" si="75"/>
        <v>137</v>
      </c>
      <c r="G490" s="26" t="s">
        <v>584</v>
      </c>
      <c r="H490" s="26" t="s">
        <v>303</v>
      </c>
      <c r="I490" s="26">
        <v>1</v>
      </c>
      <c r="U490">
        <v>0.20499999999999999</v>
      </c>
      <c r="V490">
        <v>0.14000000000000001</v>
      </c>
      <c r="W490">
        <v>0.33200000000000002</v>
      </c>
      <c r="X490" s="28" t="s">
        <v>304</v>
      </c>
      <c r="Y490" s="26" t="s">
        <v>293</v>
      </c>
      <c r="Z490" s="26" t="s">
        <v>16</v>
      </c>
    </row>
    <row r="491" spans="1:28" ht="15" customHeight="1">
      <c r="A491" s="25" t="str">
        <f>"VSG"&amp;TEXT(I491,"00")&amp;"C-"&amp;TEXT(BenchGDE!$E491,"yy")&amp;TEXT(F491,"000")&amp;Z491&amp;"2."&amp;TEXT((C491),"00")</f>
        <v>VSG01C-24137F2.04</v>
      </c>
      <c r="B491">
        <v>100</v>
      </c>
      <c r="C491">
        <v>4</v>
      </c>
      <c r="D491" t="s">
        <v>598</v>
      </c>
      <c r="E491" s="1">
        <v>45428</v>
      </c>
      <c r="F491" s="30">
        <f t="shared" si="75"/>
        <v>137</v>
      </c>
      <c r="G491" s="26" t="s">
        <v>584</v>
      </c>
      <c r="H491" s="26" t="s">
        <v>303</v>
      </c>
      <c r="I491" s="26">
        <v>1</v>
      </c>
      <c r="U491">
        <v>0.19800000000000001</v>
      </c>
      <c r="V491">
        <v>0.14000000000000001</v>
      </c>
      <c r="W491">
        <v>0.32100000000000001</v>
      </c>
      <c r="X491" s="28" t="s">
        <v>304</v>
      </c>
      <c r="Y491" s="26" t="s">
        <v>293</v>
      </c>
      <c r="Z491" s="26" t="s">
        <v>16</v>
      </c>
    </row>
    <row r="492" spans="1:28" ht="15" customHeight="1">
      <c r="A492" s="25" t="str">
        <f>"VSG"&amp;TEXT(I492,"00")&amp;"C-"&amp;TEXT(BenchGDE!$E492,"yy")&amp;TEXT(F492,"000")&amp;Z492&amp;"2."&amp;TEXT((C492),"00")</f>
        <v>VSG01C-24137F2.05</v>
      </c>
      <c r="B492">
        <v>100</v>
      </c>
      <c r="C492">
        <v>5</v>
      </c>
      <c r="D492" t="s">
        <v>599</v>
      </c>
      <c r="E492" s="1">
        <v>45428</v>
      </c>
      <c r="F492" s="30">
        <f t="shared" si="75"/>
        <v>137</v>
      </c>
      <c r="G492" s="26" t="s">
        <v>584</v>
      </c>
      <c r="H492" s="26" t="s">
        <v>303</v>
      </c>
      <c r="I492" s="26">
        <v>1</v>
      </c>
      <c r="U492">
        <v>0.20300000000000001</v>
      </c>
      <c r="V492">
        <v>0.15</v>
      </c>
      <c r="W492">
        <v>0.32600000000000001</v>
      </c>
      <c r="X492" s="28" t="s">
        <v>304</v>
      </c>
      <c r="Y492" s="26" t="s">
        <v>293</v>
      </c>
      <c r="Z492" s="26" t="s">
        <v>16</v>
      </c>
    </row>
    <row r="493" spans="1:28" ht="15" customHeight="1">
      <c r="A493" s="25" t="str">
        <f>"VSG"&amp;TEXT(I493,"00")&amp;"C-"&amp;TEXT(BenchGDE!$E493,"yy")&amp;TEXT(F493,"000")&amp;Z493&amp;"2."&amp;TEXT((C493),"00")</f>
        <v>VSG01C-24137F2.06</v>
      </c>
      <c r="B493">
        <v>100</v>
      </c>
      <c r="C493">
        <v>6</v>
      </c>
      <c r="D493" t="s">
        <v>600</v>
      </c>
      <c r="E493" s="1">
        <v>45428</v>
      </c>
      <c r="F493" s="30">
        <f t="shared" si="75"/>
        <v>137</v>
      </c>
      <c r="G493" s="26" t="s">
        <v>584</v>
      </c>
      <c r="H493" s="26" t="s">
        <v>303</v>
      </c>
      <c r="I493" s="26">
        <v>1</v>
      </c>
      <c r="U493">
        <v>0.183</v>
      </c>
      <c r="V493">
        <v>0.15</v>
      </c>
      <c r="W493">
        <v>0.29699999999999999</v>
      </c>
      <c r="X493" s="28" t="s">
        <v>304</v>
      </c>
      <c r="Y493" s="26" t="s">
        <v>293</v>
      </c>
      <c r="Z493" s="26" t="s">
        <v>16</v>
      </c>
    </row>
    <row r="494" spans="1:28" ht="15" customHeight="1">
      <c r="A494" s="25" t="str">
        <f>"VSG"&amp;TEXT(I494,"00")&amp;"C-"&amp;TEXT(BenchGDE!$E494,"yy")&amp;TEXT(F494,"000")&amp;Z494&amp;"2."&amp;TEXT((C494),"00")</f>
        <v>VSG01C-24137F2.07</v>
      </c>
      <c r="B494">
        <v>100</v>
      </c>
      <c r="C494">
        <v>7</v>
      </c>
      <c r="D494" t="s">
        <v>601</v>
      </c>
      <c r="E494" s="1">
        <v>45428</v>
      </c>
      <c r="F494" s="30">
        <f t="shared" si="75"/>
        <v>137</v>
      </c>
      <c r="G494" s="26" t="s">
        <v>584</v>
      </c>
      <c r="H494" s="26" t="s">
        <v>303</v>
      </c>
      <c r="I494" s="26">
        <v>1</v>
      </c>
      <c r="U494">
        <v>0.221</v>
      </c>
      <c r="V494">
        <v>0.16</v>
      </c>
      <c r="W494">
        <v>0.34899999999999998</v>
      </c>
      <c r="X494" s="28" t="s">
        <v>304</v>
      </c>
      <c r="Y494" s="26" t="s">
        <v>293</v>
      </c>
      <c r="Z494" s="26" t="s">
        <v>16</v>
      </c>
    </row>
    <row r="495" spans="1:28" ht="15" customHeight="1">
      <c r="A495" s="25" t="str">
        <f>"VSG"&amp;TEXT(I495,"00")&amp;"C-"&amp;TEXT(BenchGDE!$E495,"yy")&amp;TEXT(F495,"000")&amp;Z495&amp;"2."&amp;TEXT((C495),"00")</f>
        <v>VSG01C-24137F2.08</v>
      </c>
      <c r="B495">
        <v>100</v>
      </c>
      <c r="C495">
        <v>8</v>
      </c>
      <c r="D495" t="s">
        <v>602</v>
      </c>
      <c r="E495" s="1">
        <v>45428</v>
      </c>
      <c r="F495" s="30">
        <f t="shared" si="75"/>
        <v>137</v>
      </c>
      <c r="G495" s="26" t="s">
        <v>584</v>
      </c>
      <c r="H495" s="26" t="s">
        <v>303</v>
      </c>
      <c r="I495" s="26">
        <v>1</v>
      </c>
      <c r="U495">
        <v>0.20799999999999999</v>
      </c>
      <c r="V495">
        <v>0.16</v>
      </c>
      <c r="W495">
        <v>0.33200000000000002</v>
      </c>
      <c r="X495" s="28" t="s">
        <v>304</v>
      </c>
      <c r="Y495" s="26" t="s">
        <v>293</v>
      </c>
      <c r="Z495" s="26" t="s">
        <v>16</v>
      </c>
    </row>
    <row r="496" spans="1:28" ht="15" customHeight="1">
      <c r="A496" s="25" t="str">
        <f>"VSG"&amp;TEXT(I496,"00")&amp;"C-"&amp;TEXT(BenchGDE!$E496,"yy")&amp;TEXT(F496,"000")&amp;Z496&amp;"2."&amp;TEXT((C496),"00")</f>
        <v>VSG01C-24137F2.09</v>
      </c>
      <c r="B496">
        <v>100</v>
      </c>
      <c r="C496">
        <v>9</v>
      </c>
      <c r="D496" t="s">
        <v>603</v>
      </c>
      <c r="E496" s="1">
        <v>45428</v>
      </c>
      <c r="F496" s="30">
        <f t="shared" si="75"/>
        <v>137</v>
      </c>
      <c r="G496" s="26" t="s">
        <v>584</v>
      </c>
      <c r="H496" s="26" t="s">
        <v>303</v>
      </c>
      <c r="I496" s="26">
        <v>1</v>
      </c>
      <c r="U496">
        <v>0.21099999999999999</v>
      </c>
      <c r="V496">
        <v>0.15</v>
      </c>
      <c r="W496">
        <v>0.33300000000000002</v>
      </c>
      <c r="X496" s="28" t="s">
        <v>304</v>
      </c>
      <c r="Y496" s="26" t="s">
        <v>293</v>
      </c>
      <c r="Z496" s="26" t="s">
        <v>16</v>
      </c>
    </row>
    <row r="497" spans="1:31" ht="15" customHeight="1">
      <c r="A497" s="25" t="str">
        <f>"VSG"&amp;TEXT(I497,"00")&amp;"C-"&amp;TEXT(BenchGDE!$E497,"yy")&amp;TEXT(F497,"000")&amp;Z497&amp;"2."&amp;TEXT((C497),"00")</f>
        <v>VSG01C-24137F2.10</v>
      </c>
      <c r="B497">
        <v>100</v>
      </c>
      <c r="C497">
        <v>10</v>
      </c>
      <c r="D497" t="s">
        <v>604</v>
      </c>
      <c r="E497" s="1">
        <v>45428</v>
      </c>
      <c r="F497" s="30">
        <f t="shared" si="75"/>
        <v>137</v>
      </c>
      <c r="G497" s="26" t="s">
        <v>584</v>
      </c>
      <c r="H497" s="26" t="s">
        <v>303</v>
      </c>
      <c r="I497" s="26">
        <v>1</v>
      </c>
      <c r="U497">
        <v>0.19500000000000001</v>
      </c>
      <c r="V497">
        <v>0.15</v>
      </c>
      <c r="W497">
        <v>0.312</v>
      </c>
      <c r="X497" s="28" t="s">
        <v>304</v>
      </c>
      <c r="Y497" s="26" t="s">
        <v>293</v>
      </c>
      <c r="Z497" s="26" t="s">
        <v>16</v>
      </c>
    </row>
    <row r="499" spans="1:31" ht="15" customHeight="1">
      <c r="A499" s="25" t="str">
        <f>"VSG"&amp;TEXT(I499,"00")&amp;"C-"&amp;TEXT(BenchGDE!$E499,"yy")&amp;TEXT(F499,"000")&amp;Z499&amp;"2."&amp;TEXT((C499),"00")</f>
        <v>VSG01C-24022E2.12</v>
      </c>
      <c r="B499">
        <v>100</v>
      </c>
      <c r="C499">
        <v>12</v>
      </c>
      <c r="D499" t="s">
        <v>605</v>
      </c>
      <c r="E499" s="1">
        <v>45313</v>
      </c>
      <c r="F499" s="19">
        <f t="shared" ref="F499" si="76">E499-DATE(YEAR(E499),1,0)</f>
        <v>22</v>
      </c>
      <c r="G499" t="s">
        <v>244</v>
      </c>
      <c r="H499" t="s">
        <v>63</v>
      </c>
      <c r="I499">
        <f t="shared" ref="I499" si="77">IF(B499=100,1,(IF(B499=600,2,3)))</f>
        <v>1</v>
      </c>
      <c r="J499" s="3"/>
      <c r="K499" s="90"/>
      <c r="U499" t="s">
        <v>606</v>
      </c>
      <c r="V499">
        <v>0.17</v>
      </c>
      <c r="X499" s="20" t="s">
        <v>245</v>
      </c>
      <c r="Y499" t="s">
        <v>217</v>
      </c>
      <c r="Z499" t="s">
        <v>13</v>
      </c>
      <c r="AE499" t="s">
        <v>607</v>
      </c>
    </row>
    <row r="500" spans="1:31" ht="15" customHeight="1">
      <c r="A500" s="25" t="str">
        <f>"VSG"&amp;TEXT(I500,"00")&amp;"C-"&amp;TEXT(BenchGDE!$E500,"yy")&amp;TEXT(F500,"000")&amp;Z500&amp;"2."&amp;TEXT((C500),"00")</f>
        <v>VSG01C-24022E2.13</v>
      </c>
      <c r="B500">
        <v>100</v>
      </c>
      <c r="C500">
        <v>13</v>
      </c>
      <c r="D500" t="s">
        <v>605</v>
      </c>
      <c r="E500" s="1">
        <v>45313</v>
      </c>
      <c r="F500" s="19">
        <f t="shared" ref="F500:F502" si="78">E500-DATE(YEAR(E500),1,0)</f>
        <v>22</v>
      </c>
      <c r="G500" t="s">
        <v>244</v>
      </c>
      <c r="H500" t="s">
        <v>63</v>
      </c>
      <c r="I500">
        <f t="shared" ref="I500:I502" si="79">IF(B500=100,1,(IF(B500=600,2,3)))</f>
        <v>1</v>
      </c>
      <c r="J500" s="3"/>
      <c r="K500" s="90"/>
      <c r="U500" t="s">
        <v>606</v>
      </c>
      <c r="V500">
        <v>0.17</v>
      </c>
      <c r="X500" s="20" t="s">
        <v>245</v>
      </c>
      <c r="Y500" t="s">
        <v>217</v>
      </c>
      <c r="Z500" t="s">
        <v>13</v>
      </c>
      <c r="AE500" t="s">
        <v>607</v>
      </c>
    </row>
    <row r="501" spans="1:31" ht="15" customHeight="1">
      <c r="A501" s="25" t="str">
        <f>"VSG"&amp;TEXT(I501,"00")&amp;"C-"&amp;TEXT(BenchGDE!$E501,"yy")&amp;TEXT(F501,"000")&amp;Z501&amp;"2."&amp;TEXT((C501),"00")</f>
        <v>VSG01C-24022E2.14</v>
      </c>
      <c r="B501">
        <v>100</v>
      </c>
      <c r="C501">
        <v>14</v>
      </c>
      <c r="D501" t="s">
        <v>605</v>
      </c>
      <c r="E501" s="1">
        <v>45313</v>
      </c>
      <c r="F501" s="19">
        <f t="shared" si="78"/>
        <v>22</v>
      </c>
      <c r="G501" t="s">
        <v>244</v>
      </c>
      <c r="H501" t="s">
        <v>63</v>
      </c>
      <c r="I501">
        <f t="shared" si="79"/>
        <v>1</v>
      </c>
      <c r="J501" s="3"/>
      <c r="K501" s="90"/>
      <c r="U501" t="s">
        <v>606</v>
      </c>
      <c r="V501">
        <v>0.17</v>
      </c>
      <c r="X501" s="20" t="s">
        <v>245</v>
      </c>
      <c r="Y501" t="s">
        <v>217</v>
      </c>
      <c r="Z501" t="s">
        <v>13</v>
      </c>
      <c r="AE501" t="s">
        <v>607</v>
      </c>
    </row>
    <row r="502" spans="1:31" ht="15" customHeight="1">
      <c r="A502" s="25" t="str">
        <f>"VSG"&amp;TEXT(I502,"00")&amp;"C-"&amp;TEXT(BenchGDE!$E502,"yy")&amp;TEXT(F502,"000")&amp;Z502&amp;"2."&amp;TEXT((C502),"00")</f>
        <v>VSG01C-24022E2.15</v>
      </c>
      <c r="B502">
        <v>100</v>
      </c>
      <c r="C502">
        <v>15</v>
      </c>
      <c r="D502" t="s">
        <v>605</v>
      </c>
      <c r="E502" s="1">
        <v>45313</v>
      </c>
      <c r="F502" s="19">
        <f t="shared" si="78"/>
        <v>22</v>
      </c>
      <c r="G502" t="s">
        <v>244</v>
      </c>
      <c r="H502" t="s">
        <v>63</v>
      </c>
      <c r="I502">
        <f t="shared" si="79"/>
        <v>1</v>
      </c>
      <c r="J502" s="3"/>
      <c r="K502" s="90"/>
      <c r="U502" t="s">
        <v>606</v>
      </c>
      <c r="V502">
        <v>0.17</v>
      </c>
      <c r="X502" s="20" t="s">
        <v>245</v>
      </c>
      <c r="Y502" t="s">
        <v>217</v>
      </c>
      <c r="Z502" t="s">
        <v>13</v>
      </c>
      <c r="AE502" t="s">
        <v>607</v>
      </c>
    </row>
    <row r="503" spans="1:31" ht="15" customHeight="1">
      <c r="A503" s="25"/>
    </row>
    <row r="504" spans="1:31" ht="15" customHeight="1">
      <c r="A504" s="25" t="str">
        <f>"VSG"&amp;TEXT(I504,"00")&amp;"C-"&amp;TEXT(BenchGDE!$E504,"yy")&amp;TEXT(F504,"000")&amp;Z504&amp;"2."&amp;TEXT((C504),"00")</f>
        <v>VSG01C-24008E2.01</v>
      </c>
      <c r="B504">
        <v>100</v>
      </c>
      <c r="C504">
        <v>1</v>
      </c>
      <c r="D504" t="s">
        <v>608</v>
      </c>
      <c r="E504" s="1">
        <v>45299</v>
      </c>
      <c r="F504" s="19">
        <f t="shared" ref="F504" si="80">E504-DATE(YEAR(E504),1,0)</f>
        <v>8</v>
      </c>
      <c r="G504" t="s">
        <v>244</v>
      </c>
      <c r="H504" t="s">
        <v>63</v>
      </c>
      <c r="I504">
        <f t="shared" ref="I504" si="81">IF(B504=100,1,(IF(B504=600,2,3)))</f>
        <v>1</v>
      </c>
      <c r="J504" s="3"/>
      <c r="K504" s="90"/>
      <c r="U504" t="s">
        <v>606</v>
      </c>
      <c r="V504">
        <v>0.15</v>
      </c>
      <c r="X504" s="20" t="s">
        <v>245</v>
      </c>
      <c r="Y504" t="s">
        <v>217</v>
      </c>
      <c r="Z504" t="s">
        <v>13</v>
      </c>
      <c r="AE504" t="s">
        <v>607</v>
      </c>
    </row>
    <row r="505" spans="1:31" ht="15" customHeight="1">
      <c r="A505" s="25" t="str">
        <f>"VSG"&amp;TEXT(I505,"00")&amp;"C-"&amp;TEXT(BenchGDE!$E505,"yy")&amp;TEXT(F505,"000")&amp;Z505&amp;"2."&amp;TEXT((C505),"00")</f>
        <v>VSG01C-24008E2.02</v>
      </c>
      <c r="B505">
        <v>100</v>
      </c>
      <c r="C505">
        <v>2</v>
      </c>
      <c r="D505" t="s">
        <v>608</v>
      </c>
      <c r="E505" s="1">
        <v>45299</v>
      </c>
      <c r="F505" s="19">
        <f t="shared" ref="F505:F507" si="82">E505-DATE(YEAR(E505),1,0)</f>
        <v>8</v>
      </c>
      <c r="G505" t="s">
        <v>244</v>
      </c>
      <c r="H505" t="s">
        <v>63</v>
      </c>
      <c r="I505">
        <f t="shared" ref="I505:I507" si="83">IF(B505=100,1,(IF(B505=600,2,3)))</f>
        <v>1</v>
      </c>
      <c r="J505" s="3"/>
      <c r="K505" s="90"/>
      <c r="U505" t="s">
        <v>606</v>
      </c>
      <c r="V505">
        <v>0.15</v>
      </c>
      <c r="X505" s="20" t="s">
        <v>245</v>
      </c>
      <c r="Y505" t="s">
        <v>217</v>
      </c>
      <c r="Z505" t="s">
        <v>13</v>
      </c>
      <c r="AE505" t="s">
        <v>607</v>
      </c>
    </row>
    <row r="506" spans="1:31" ht="15" customHeight="1">
      <c r="A506" s="25" t="str">
        <f>"VSG"&amp;TEXT(I506,"00")&amp;"C-"&amp;TEXT(BenchGDE!$E506,"yy")&amp;TEXT(F506,"000")&amp;Z506&amp;"2."&amp;TEXT((C506),"00")</f>
        <v>VSG01C-24008E2.03</v>
      </c>
      <c r="B506">
        <v>100</v>
      </c>
      <c r="C506">
        <v>3</v>
      </c>
      <c r="D506" t="s">
        <v>608</v>
      </c>
      <c r="E506" s="1">
        <v>45299</v>
      </c>
      <c r="F506" s="19">
        <f t="shared" si="82"/>
        <v>8</v>
      </c>
      <c r="G506" t="s">
        <v>244</v>
      </c>
      <c r="H506" t="s">
        <v>63</v>
      </c>
      <c r="I506">
        <f t="shared" si="83"/>
        <v>1</v>
      </c>
      <c r="J506" s="3"/>
      <c r="K506" s="90"/>
      <c r="U506" t="s">
        <v>606</v>
      </c>
      <c r="V506">
        <v>0.15</v>
      </c>
      <c r="X506" s="20" t="s">
        <v>245</v>
      </c>
      <c r="Y506" t="s">
        <v>217</v>
      </c>
      <c r="Z506" t="s">
        <v>13</v>
      </c>
      <c r="AE506" t="s">
        <v>607</v>
      </c>
    </row>
    <row r="507" spans="1:31" ht="15" customHeight="1">
      <c r="A507" s="25" t="str">
        <f>"VSG"&amp;TEXT(I507,"00")&amp;"C-"&amp;TEXT(BenchGDE!$E507,"yy")&amp;TEXT(F507,"000")&amp;Z507&amp;"2."&amp;TEXT((C507),"00")</f>
        <v>VSG01C-24008E2.04</v>
      </c>
      <c r="B507">
        <v>100</v>
      </c>
      <c r="C507">
        <v>4</v>
      </c>
      <c r="D507" t="s">
        <v>608</v>
      </c>
      <c r="E507" s="1">
        <v>45299</v>
      </c>
      <c r="F507" s="19">
        <f t="shared" si="82"/>
        <v>8</v>
      </c>
      <c r="G507" t="s">
        <v>244</v>
      </c>
      <c r="H507" t="s">
        <v>63</v>
      </c>
      <c r="I507">
        <f t="shared" si="83"/>
        <v>1</v>
      </c>
      <c r="J507" s="3"/>
      <c r="K507" s="90"/>
      <c r="U507" t="s">
        <v>606</v>
      </c>
      <c r="V507">
        <v>0.15</v>
      </c>
      <c r="X507" s="20" t="s">
        <v>245</v>
      </c>
      <c r="Y507" t="s">
        <v>217</v>
      </c>
      <c r="Z507" t="s">
        <v>13</v>
      </c>
      <c r="AE507" t="s">
        <v>607</v>
      </c>
    </row>
    <row r="509" spans="1:31" ht="15" customHeight="1">
      <c r="A509" s="25" t="str">
        <f>"VSG"&amp;TEXT(I509,"00")&amp;"C-"&amp;TEXT(BenchGDE!$E509,"yy")&amp;TEXT(F509,"000")&amp;Z509&amp;"2."&amp;TEXT((C509),"00")</f>
        <v>VSG01C-24134F2.01</v>
      </c>
      <c r="B509">
        <v>100</v>
      </c>
      <c r="C509">
        <v>1</v>
      </c>
      <c r="D509" t="s">
        <v>545</v>
      </c>
      <c r="E509" s="1">
        <v>45425</v>
      </c>
      <c r="F509" s="19">
        <f t="shared" ref="F509" si="84">E509-DATE(YEAR(E509),1,0)</f>
        <v>134</v>
      </c>
      <c r="G509" t="s">
        <v>609</v>
      </c>
      <c r="H509" t="s">
        <v>63</v>
      </c>
      <c r="I509">
        <f t="shared" ref="I509" si="85">IF(B509=100,1,(IF(B509=600,2,3)))</f>
        <v>1</v>
      </c>
      <c r="J509" s="3"/>
      <c r="K509" s="90"/>
      <c r="X509" s="20" t="s">
        <v>245</v>
      </c>
      <c r="Y509" t="s">
        <v>17</v>
      </c>
      <c r="Z509" t="s">
        <v>16</v>
      </c>
      <c r="AE509" t="s">
        <v>610</v>
      </c>
    </row>
    <row r="510" spans="1:31" ht="15" customHeight="1">
      <c r="A510" s="25" t="str">
        <f>"VSG"&amp;TEXT(I510,"00")&amp;"C-"&amp;TEXT(BenchGDE!$E510,"yy")&amp;TEXT(F510,"000")&amp;Z510&amp;"2."&amp;TEXT((C510),"00")</f>
        <v>VSG01C-24134F2.02</v>
      </c>
      <c r="B510">
        <v>100</v>
      </c>
      <c r="C510">
        <v>2</v>
      </c>
      <c r="D510" t="s">
        <v>545</v>
      </c>
      <c r="E510" s="1">
        <v>45425</v>
      </c>
      <c r="F510" s="19">
        <f>E510-DATE(YEAR(E510),1,0)</f>
        <v>134</v>
      </c>
      <c r="G510" t="s">
        <v>609</v>
      </c>
      <c r="H510" t="s">
        <v>63</v>
      </c>
      <c r="I510">
        <f>IF(B510=100,1,(IF(B510=600,2,3)))</f>
        <v>1</v>
      </c>
      <c r="J510" s="3"/>
      <c r="K510" s="90"/>
      <c r="X510" s="20" t="s">
        <v>245</v>
      </c>
      <c r="Y510" t="s">
        <v>17</v>
      </c>
      <c r="Z510" t="s">
        <v>16</v>
      </c>
      <c r="AE510" t="s">
        <v>610</v>
      </c>
    </row>
    <row r="512" spans="1:31" ht="15" customHeight="1">
      <c r="A512" s="25" t="str">
        <f>"VSG"&amp;TEXT(I512,"00")&amp;"C-"&amp;TEXT(BenchGDE!$E512,"yy")&amp;TEXT(F512,"000")&amp;Z512&amp;"2."&amp;TEXT((C512),"00")</f>
        <v>VSG01C-24134F2.01</v>
      </c>
      <c r="B512">
        <v>100</v>
      </c>
      <c r="C512">
        <v>1</v>
      </c>
      <c r="D512" t="s">
        <v>546</v>
      </c>
      <c r="E512" s="1">
        <v>45425</v>
      </c>
      <c r="F512" s="19">
        <f>E512-DATE(YEAR(E512),1,0)</f>
        <v>134</v>
      </c>
      <c r="G512" t="s">
        <v>542</v>
      </c>
      <c r="H512" t="s">
        <v>63</v>
      </c>
      <c r="I512">
        <f>IF(B512=100,1,(IF(B512=600,2,3)))</f>
        <v>1</v>
      </c>
      <c r="J512" s="3"/>
      <c r="K512" s="90"/>
      <c r="X512" s="20" t="s">
        <v>245</v>
      </c>
      <c r="Y512" t="s">
        <v>17</v>
      </c>
      <c r="Z512" t="s">
        <v>16</v>
      </c>
      <c r="AE512" t="s">
        <v>610</v>
      </c>
    </row>
    <row r="513" spans="1:36" ht="15" customHeight="1">
      <c r="A513" s="25" t="str">
        <f>"VSG"&amp;TEXT(I513,"00")&amp;"C-"&amp;TEXT(BenchGDE!$E513,"yy")&amp;TEXT(F513,"000")&amp;Z513&amp;"2."&amp;TEXT((C513),"00")</f>
        <v>VSG01C-24134F2.02</v>
      </c>
      <c r="B513">
        <v>100</v>
      </c>
      <c r="C513">
        <v>2</v>
      </c>
      <c r="D513" t="s">
        <v>546</v>
      </c>
      <c r="E513" s="1">
        <v>45425</v>
      </c>
      <c r="F513" s="19">
        <f>E513-DATE(YEAR(E513),1,0)</f>
        <v>134</v>
      </c>
      <c r="G513" t="s">
        <v>542</v>
      </c>
      <c r="H513" t="s">
        <v>63</v>
      </c>
      <c r="I513">
        <f>IF(B513=100,1,(IF(B513=600,2,3)))</f>
        <v>1</v>
      </c>
      <c r="J513" s="3"/>
      <c r="K513" s="90"/>
      <c r="X513" s="20" t="s">
        <v>245</v>
      </c>
      <c r="Y513" t="s">
        <v>17</v>
      </c>
      <c r="Z513" t="s">
        <v>16</v>
      </c>
      <c r="AE513" t="s">
        <v>610</v>
      </c>
    </row>
    <row r="514" spans="1:36" ht="15" customHeight="1">
      <c r="A514" s="25" t="str">
        <f>"VSG"&amp;TEXT(I514,"00")&amp;"C-"&amp;TEXT(BenchGDE!$E514,"yy")&amp;TEXT(F514,"000")&amp;Z514&amp;"2."&amp;TEXT((C514),"00")</f>
        <v>VSG01C-24134F2.03</v>
      </c>
      <c r="B514">
        <v>100</v>
      </c>
      <c r="C514">
        <v>3</v>
      </c>
      <c r="D514" t="s">
        <v>546</v>
      </c>
      <c r="E514" s="1">
        <v>45425</v>
      </c>
      <c r="F514" s="19">
        <f>E514-DATE(YEAR(E514),1,0)</f>
        <v>134</v>
      </c>
      <c r="G514" t="s">
        <v>542</v>
      </c>
      <c r="H514" t="s">
        <v>63</v>
      </c>
      <c r="I514">
        <f>IF(B514=100,1,(IF(B514=600,2,3)))</f>
        <v>1</v>
      </c>
      <c r="J514" s="3"/>
      <c r="K514" s="90"/>
      <c r="X514" s="20" t="s">
        <v>245</v>
      </c>
      <c r="Y514" t="s">
        <v>17</v>
      </c>
      <c r="Z514" t="s">
        <v>16</v>
      </c>
      <c r="AE514" t="s">
        <v>610</v>
      </c>
    </row>
    <row r="515" spans="1:36" ht="15" customHeight="1">
      <c r="A515" s="25" t="str">
        <f>"VSG"&amp;TEXT(I515,"00")&amp;"C-"&amp;TEXT(BenchGDE!$E515,"yy")&amp;TEXT(F515,"000")&amp;Z515&amp;"2."&amp;TEXT((C515),"00")</f>
        <v>VSG01C-24134F2.04</v>
      </c>
      <c r="B515">
        <v>100</v>
      </c>
      <c r="C515">
        <v>4</v>
      </c>
      <c r="D515" t="s">
        <v>546</v>
      </c>
      <c r="E515" s="1">
        <v>45425</v>
      </c>
      <c r="F515" s="19">
        <f>E515-DATE(YEAR(E515),1,0)</f>
        <v>134</v>
      </c>
      <c r="G515" t="s">
        <v>542</v>
      </c>
      <c r="H515" t="s">
        <v>63</v>
      </c>
      <c r="I515">
        <f>IF(B515=100,1,(IF(B515=600,2,3)))</f>
        <v>1</v>
      </c>
      <c r="J515" s="3"/>
      <c r="K515" s="90"/>
      <c r="X515" s="20" t="s">
        <v>245</v>
      </c>
      <c r="Y515" t="s">
        <v>17</v>
      </c>
      <c r="Z515" t="s">
        <v>16</v>
      </c>
      <c r="AE515" t="s">
        <v>610</v>
      </c>
    </row>
    <row r="517" spans="1:36" ht="15" customHeight="1">
      <c r="A517" s="25" t="str">
        <f>"VSG"&amp;TEXT(I517,"00")&amp;"C-"&amp;TEXT(BenchGDE!$E517,"yy")&amp;TEXT(F517,"000")&amp;Z517&amp;"2."&amp;TEXT((C517),"00")</f>
        <v>VSG01C-24127F2.17</v>
      </c>
      <c r="B517" s="26">
        <v>100</v>
      </c>
      <c r="C517" s="26">
        <v>17</v>
      </c>
      <c r="D517" s="26" t="s">
        <v>611</v>
      </c>
      <c r="E517" s="29">
        <v>45418</v>
      </c>
      <c r="F517" s="30">
        <f t="shared" ref="F517" si="86">E517-DATE(YEAR(E517),1,0)</f>
        <v>127</v>
      </c>
      <c r="G517" s="26" t="s">
        <v>515</v>
      </c>
      <c r="H517" s="26" t="s">
        <v>303</v>
      </c>
      <c r="I517" s="26">
        <v>1</v>
      </c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>
        <v>0.12</v>
      </c>
      <c r="W517" s="26">
        <v>0.192</v>
      </c>
      <c r="X517" s="28" t="s">
        <v>304</v>
      </c>
      <c r="Y517" s="26" t="s">
        <v>293</v>
      </c>
      <c r="Z517" s="26" t="s">
        <v>16</v>
      </c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</row>
    <row r="518" spans="1:36" ht="15" customHeight="1">
      <c r="A518" s="25" t="str">
        <f>"VSG"&amp;TEXT(I518,"00")&amp;"C-"&amp;TEXT(BenchGDE!$E518,"yy")&amp;TEXT(F518,"000")&amp;Z518&amp;"2."&amp;TEXT((C518),"00")</f>
        <v>VSG01C-24127F2.18</v>
      </c>
      <c r="B518" s="26">
        <v>100</v>
      </c>
      <c r="C518" s="26">
        <v>18</v>
      </c>
      <c r="D518" s="26" t="s">
        <v>612</v>
      </c>
      <c r="E518" s="29">
        <v>45418</v>
      </c>
      <c r="F518" s="30">
        <f t="shared" ref="F518:F521" si="87">E518-DATE(YEAR(E518),1,0)</f>
        <v>127</v>
      </c>
      <c r="G518" s="26" t="s">
        <v>515</v>
      </c>
      <c r="H518" s="26" t="s">
        <v>303</v>
      </c>
      <c r="I518" s="26">
        <v>1</v>
      </c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>
        <v>0.17499999999999999</v>
      </c>
      <c r="W518" s="26">
        <v>0.2</v>
      </c>
      <c r="X518" s="28" t="s">
        <v>304</v>
      </c>
      <c r="Y518" s="26" t="s">
        <v>293</v>
      </c>
      <c r="Z518" s="26" t="s">
        <v>16</v>
      </c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</row>
    <row r="519" spans="1:36" ht="15" customHeight="1">
      <c r="A519" s="25" t="str">
        <f>"VSG"&amp;TEXT(I519,"00")&amp;"C-"&amp;TEXT(BenchGDE!$E519,"yy")&amp;TEXT(F519,"000")&amp;Z519&amp;"2."&amp;TEXT((C519),"00")</f>
        <v>VSG01C-24127F2.19</v>
      </c>
      <c r="B519" s="26">
        <v>100</v>
      </c>
      <c r="C519" s="26">
        <v>19</v>
      </c>
      <c r="D519" s="26" t="s">
        <v>613</v>
      </c>
      <c r="E519" s="29">
        <v>45418</v>
      </c>
      <c r="F519" s="30">
        <f t="shared" si="87"/>
        <v>127</v>
      </c>
      <c r="G519" s="26" t="s">
        <v>515</v>
      </c>
      <c r="H519" s="26" t="s">
        <v>303</v>
      </c>
      <c r="I519" s="26">
        <v>1</v>
      </c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>
        <v>0.17499999999999999</v>
      </c>
      <c r="W519" s="26">
        <v>0.20399999999999999</v>
      </c>
      <c r="X519" s="28" t="s">
        <v>304</v>
      </c>
      <c r="Y519" s="26" t="s">
        <v>293</v>
      </c>
      <c r="Z519" s="26" t="s">
        <v>16</v>
      </c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</row>
    <row r="520" spans="1:36" ht="15" customHeight="1">
      <c r="A520" s="25" t="str">
        <f>"VSG"&amp;TEXT(I520,"00")&amp;"C-"&amp;TEXT(BenchGDE!$E520,"yy")&amp;TEXT(F520,"000")&amp;Z520&amp;"2."&amp;TEXT((C520),"00")</f>
        <v>VSG01C-24127F2.20</v>
      </c>
      <c r="B520" s="26">
        <v>100</v>
      </c>
      <c r="C520" s="26">
        <v>20</v>
      </c>
      <c r="D520" s="26" t="s">
        <v>614</v>
      </c>
      <c r="E520" s="29">
        <v>45418</v>
      </c>
      <c r="F520" s="30">
        <f t="shared" si="87"/>
        <v>127</v>
      </c>
      <c r="G520" s="26" t="s">
        <v>515</v>
      </c>
      <c r="H520" s="26" t="s">
        <v>303</v>
      </c>
      <c r="I520" s="26">
        <v>1</v>
      </c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>
        <v>0.14699999999999999</v>
      </c>
      <c r="W520" s="26">
        <v>0.22</v>
      </c>
      <c r="X520" s="28" t="s">
        <v>304</v>
      </c>
      <c r="Y520" s="26" t="s">
        <v>293</v>
      </c>
      <c r="Z520" s="26" t="s">
        <v>16</v>
      </c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</row>
    <row r="521" spans="1:36" ht="15" customHeight="1">
      <c r="A521" s="25" t="str">
        <f>"VSG"&amp;TEXT(I521,"00")&amp;"C-"&amp;TEXT(BenchGDE!$E521,"yy")&amp;TEXT(F521,"000")&amp;Z521&amp;"2."&amp;TEXT((C521),"00")</f>
        <v>VSG01C-24127F2.21</v>
      </c>
      <c r="B521" s="26">
        <v>100</v>
      </c>
      <c r="C521" s="26">
        <v>21</v>
      </c>
      <c r="D521" s="26" t="s">
        <v>615</v>
      </c>
      <c r="E521" s="29">
        <v>45418</v>
      </c>
      <c r="F521" s="30">
        <f t="shared" si="87"/>
        <v>127</v>
      </c>
      <c r="G521" s="26" t="s">
        <v>515</v>
      </c>
      <c r="H521" s="26" t="s">
        <v>303</v>
      </c>
      <c r="I521" s="26">
        <v>1</v>
      </c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>
        <v>0.14699999999999999</v>
      </c>
      <c r="W521" s="26">
        <v>0.20799999999999999</v>
      </c>
      <c r="X521" s="28" t="s">
        <v>304</v>
      </c>
      <c r="Y521" s="26" t="s">
        <v>293</v>
      </c>
      <c r="Z521" s="26" t="s">
        <v>16</v>
      </c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3" spans="1:36" ht="15.75" customHeight="1">
      <c r="A523" s="76" t="str">
        <f>"VSG"&amp;TEXT(I523,"00")&amp;"C-"&amp;TEXT(BenchGDE!$E523,"yy")&amp;TEXT(F523,"000")&amp;Z523&amp;"2."&amp;TEXT((C523),"00")</f>
        <v>VSG01C-24135F2.01</v>
      </c>
      <c r="B523">
        <v>100</v>
      </c>
      <c r="C523">
        <v>1</v>
      </c>
      <c r="D523" t="s">
        <v>557</v>
      </c>
      <c r="E523" s="1">
        <v>45426</v>
      </c>
      <c r="F523" s="30">
        <f t="shared" ref="F523" si="88">E523-DATE(YEAR(E523),1,0)</f>
        <v>135</v>
      </c>
      <c r="G523" s="26" t="s">
        <v>558</v>
      </c>
      <c r="H523" s="26" t="s">
        <v>303</v>
      </c>
      <c r="I523" s="26">
        <v>1</v>
      </c>
      <c r="U523" t="s">
        <v>543</v>
      </c>
      <c r="V523" t="s">
        <v>616</v>
      </c>
      <c r="X523" s="28" t="s">
        <v>304</v>
      </c>
      <c r="Y523" s="26" t="s">
        <v>293</v>
      </c>
      <c r="Z523" s="26" t="s">
        <v>16</v>
      </c>
      <c r="AA523" t="s">
        <v>570</v>
      </c>
      <c r="AB523" t="s">
        <v>571</v>
      </c>
    </row>
    <row r="524" spans="1:36" ht="15" customHeight="1">
      <c r="A524" s="76" t="str">
        <f>"VSG"&amp;TEXT(I524,"00")&amp;"C-"&amp;TEXT(BenchGDE!$E524,"yy")&amp;TEXT(F524,"000")&amp;Z524&amp;"2."&amp;TEXT((C524),"00")</f>
        <v>VSG01C-24135F2.02</v>
      </c>
      <c r="B524">
        <v>100</v>
      </c>
      <c r="C524">
        <v>2</v>
      </c>
      <c r="D524" t="s">
        <v>617</v>
      </c>
      <c r="E524" s="1">
        <v>45426</v>
      </c>
      <c r="F524" s="30">
        <f t="shared" ref="F524:F527" si="89">E524-DATE(YEAR(E524),1,0)</f>
        <v>135</v>
      </c>
      <c r="G524" s="26" t="s">
        <v>558</v>
      </c>
      <c r="H524" s="26" t="s">
        <v>303</v>
      </c>
      <c r="I524" s="26">
        <v>1</v>
      </c>
      <c r="U524" t="s">
        <v>543</v>
      </c>
      <c r="V524" t="s">
        <v>618</v>
      </c>
      <c r="X524" s="28" t="s">
        <v>304</v>
      </c>
      <c r="Y524" s="26" t="s">
        <v>293</v>
      </c>
      <c r="Z524" s="26" t="s">
        <v>16</v>
      </c>
      <c r="AA524" t="s">
        <v>570</v>
      </c>
      <c r="AB524" t="s">
        <v>571</v>
      </c>
    </row>
    <row r="525" spans="1:36" ht="15" customHeight="1">
      <c r="A525" s="25" t="str">
        <f>"VSG"&amp;TEXT(I525,"00")&amp;"C-"&amp;TEXT(BenchGDE!$E525,"yy")&amp;TEXT(F525,"000")&amp;Z525&amp;"2."&amp;TEXT((C525),"00")</f>
        <v>VSG01C-24135F2.03</v>
      </c>
      <c r="B525">
        <v>100</v>
      </c>
      <c r="C525">
        <v>3</v>
      </c>
      <c r="D525" t="s">
        <v>619</v>
      </c>
      <c r="E525" s="1">
        <v>45426</v>
      </c>
      <c r="F525" s="30">
        <f t="shared" si="89"/>
        <v>135</v>
      </c>
      <c r="G525" s="26" t="s">
        <v>558</v>
      </c>
      <c r="H525" s="26" t="s">
        <v>303</v>
      </c>
      <c r="I525" s="26">
        <v>1</v>
      </c>
      <c r="V525">
        <v>0.14699999999999999</v>
      </c>
      <c r="X525" s="28" t="s">
        <v>304</v>
      </c>
      <c r="Y525" s="26" t="s">
        <v>293</v>
      </c>
      <c r="Z525" s="26" t="s">
        <v>16</v>
      </c>
    </row>
    <row r="526" spans="1:36" ht="15" customHeight="1">
      <c r="A526" s="25" t="str">
        <f>"VSG"&amp;TEXT(I526,"00")&amp;"C-"&amp;TEXT(BenchGDE!$E526,"yy")&amp;TEXT(F526,"000")&amp;Z526&amp;"2."&amp;TEXT((C526),"00")</f>
        <v>VSG01C-24135F2.04</v>
      </c>
      <c r="B526">
        <v>100</v>
      </c>
      <c r="C526">
        <v>4</v>
      </c>
      <c r="D526" t="s">
        <v>620</v>
      </c>
      <c r="E526" s="1">
        <v>45426</v>
      </c>
      <c r="F526" s="30">
        <f t="shared" si="89"/>
        <v>135</v>
      </c>
      <c r="G526" s="26" t="s">
        <v>558</v>
      </c>
      <c r="H526" s="26" t="s">
        <v>303</v>
      </c>
      <c r="I526" s="26">
        <v>1</v>
      </c>
      <c r="V526">
        <v>0.13</v>
      </c>
      <c r="X526" s="28" t="s">
        <v>304</v>
      </c>
      <c r="Y526" s="26" t="s">
        <v>293</v>
      </c>
      <c r="Z526" s="26" t="s">
        <v>16</v>
      </c>
    </row>
    <row r="527" spans="1:36" ht="15" customHeight="1">
      <c r="A527" s="25" t="str">
        <f>"VSG"&amp;TEXT(I527,"00")&amp;"C-"&amp;TEXT(BenchGDE!$E527,"yy")&amp;TEXT(F527,"000")&amp;Z527&amp;"2."&amp;TEXT((C527),"00")</f>
        <v>VSG01C-24135F2.05</v>
      </c>
      <c r="B527">
        <v>100</v>
      </c>
      <c r="C527">
        <v>5</v>
      </c>
      <c r="D527" t="s">
        <v>621</v>
      </c>
      <c r="E527" s="1">
        <v>45426</v>
      </c>
      <c r="F527" s="30">
        <f t="shared" si="89"/>
        <v>135</v>
      </c>
      <c r="G527" s="26" t="s">
        <v>558</v>
      </c>
      <c r="H527" s="26" t="s">
        <v>303</v>
      </c>
      <c r="I527" s="26">
        <v>1</v>
      </c>
      <c r="V527">
        <v>0.127</v>
      </c>
      <c r="X527" s="28" t="s">
        <v>304</v>
      </c>
      <c r="Y527" s="26" t="s">
        <v>293</v>
      </c>
      <c r="Z527" s="26" t="s">
        <v>16</v>
      </c>
    </row>
    <row r="528" spans="1:36" ht="15" customHeight="1">
      <c r="A528" s="25" t="str">
        <f>"VSG"&amp;TEXT(I528,"00")&amp;"C-"&amp;TEXT(BenchGDE!$E528,"yy")&amp;TEXT(F528,"000")&amp;Z528&amp;"2."&amp;TEXT((C528),"00")</f>
        <v>VSG01C-24135F2.06</v>
      </c>
      <c r="B528">
        <v>100</v>
      </c>
      <c r="C528">
        <v>6</v>
      </c>
      <c r="D528" t="s">
        <v>622</v>
      </c>
      <c r="E528" s="1">
        <v>45426</v>
      </c>
      <c r="F528" s="30">
        <f t="shared" ref="F528" si="90">E528-DATE(YEAR(E528),1,0)</f>
        <v>135</v>
      </c>
      <c r="G528" s="26" t="s">
        <v>558</v>
      </c>
      <c r="H528" s="26" t="s">
        <v>303</v>
      </c>
      <c r="I528" s="26">
        <v>1</v>
      </c>
      <c r="V528">
        <v>0.127</v>
      </c>
      <c r="X528" s="28" t="s">
        <v>304</v>
      </c>
      <c r="Y528" s="26" t="s">
        <v>293</v>
      </c>
      <c r="Z528" s="26" t="s">
        <v>16</v>
      </c>
    </row>
    <row r="529" spans="1:36" ht="15" customHeight="1">
      <c r="A529" s="25" t="str">
        <f>"VSG"&amp;TEXT(I529,"00")&amp;"C-"&amp;TEXT(BenchGDE!$E529,"yy")&amp;TEXT(F529,"000")&amp;Z529&amp;"2."&amp;TEXT((C529),"00")</f>
        <v>VSG01C-24135F2.07</v>
      </c>
      <c r="B529">
        <v>100</v>
      </c>
      <c r="C529">
        <v>7</v>
      </c>
      <c r="D529" t="s">
        <v>623</v>
      </c>
      <c r="E529" s="1">
        <v>45426</v>
      </c>
      <c r="F529" s="30">
        <f t="shared" ref="F529:F536" si="91">E529-DATE(YEAR(E529),1,0)</f>
        <v>135</v>
      </c>
      <c r="G529" s="26" t="s">
        <v>558</v>
      </c>
      <c r="H529" s="26" t="s">
        <v>303</v>
      </c>
      <c r="I529" s="26">
        <v>1</v>
      </c>
      <c r="V529">
        <v>0.14499999999999999</v>
      </c>
      <c r="X529" s="28" t="s">
        <v>304</v>
      </c>
      <c r="Y529" s="26" t="s">
        <v>293</v>
      </c>
      <c r="Z529" s="26" t="s">
        <v>16</v>
      </c>
    </row>
    <row r="530" spans="1:36" ht="15" customHeight="1">
      <c r="A530" s="25" t="str">
        <f>"VSG"&amp;TEXT(I530,"00")&amp;"C-"&amp;TEXT(BenchGDE!$E530,"yy")&amp;TEXT(F530,"000")&amp;Z530&amp;"2."&amp;TEXT((C530),"00")</f>
        <v>VSG01C-24135F2.08</v>
      </c>
      <c r="B530">
        <v>100</v>
      </c>
      <c r="C530">
        <v>8</v>
      </c>
      <c r="D530" t="s">
        <v>624</v>
      </c>
      <c r="E530" s="1">
        <v>45426</v>
      </c>
      <c r="F530" s="30">
        <f t="shared" si="91"/>
        <v>135</v>
      </c>
      <c r="G530" s="26" t="s">
        <v>558</v>
      </c>
      <c r="H530" s="26" t="s">
        <v>303</v>
      </c>
      <c r="I530" s="26">
        <v>1</v>
      </c>
      <c r="V530">
        <v>0.14499999999999999</v>
      </c>
      <c r="X530" s="28" t="s">
        <v>304</v>
      </c>
      <c r="Y530" s="26" t="s">
        <v>293</v>
      </c>
      <c r="Z530" s="26" t="s">
        <v>16</v>
      </c>
    </row>
    <row r="531" spans="1:36" ht="15" customHeight="1">
      <c r="A531" s="25" t="str">
        <f>"VSG"&amp;TEXT(I531,"00")&amp;"C-"&amp;TEXT(BenchGDE!$E531,"yy")&amp;TEXT(F531,"000")&amp;Z531&amp;"2."&amp;TEXT((C531),"00")</f>
        <v>VSG01C-24135F2.09</v>
      </c>
      <c r="B531">
        <v>100</v>
      </c>
      <c r="C531">
        <v>9</v>
      </c>
      <c r="D531" t="s">
        <v>625</v>
      </c>
      <c r="E531" s="1">
        <v>45426</v>
      </c>
      <c r="F531" s="30">
        <f t="shared" si="91"/>
        <v>135</v>
      </c>
      <c r="G531" s="26" t="s">
        <v>558</v>
      </c>
      <c r="H531" s="26" t="s">
        <v>303</v>
      </c>
      <c r="I531" s="26">
        <v>1</v>
      </c>
      <c r="V531">
        <v>0.154</v>
      </c>
      <c r="X531" s="28" t="s">
        <v>304</v>
      </c>
      <c r="Y531" s="26" t="s">
        <v>293</v>
      </c>
      <c r="Z531" s="26" t="s">
        <v>16</v>
      </c>
    </row>
    <row r="532" spans="1:36" ht="15" customHeight="1">
      <c r="A532" s="25" t="str">
        <f>"VSG"&amp;TEXT(I532,"00")&amp;"C-"&amp;TEXT(BenchGDE!$E532,"yy")&amp;TEXT(F532,"000")&amp;Z532&amp;"2."&amp;TEXT((C532),"00")</f>
        <v>VSG01C-24135F2.10</v>
      </c>
      <c r="B532">
        <v>100</v>
      </c>
      <c r="C532">
        <v>10</v>
      </c>
      <c r="D532" t="s">
        <v>626</v>
      </c>
      <c r="E532" s="1">
        <v>45426</v>
      </c>
      <c r="F532" s="30">
        <f t="shared" si="91"/>
        <v>135</v>
      </c>
      <c r="G532" s="26" t="s">
        <v>558</v>
      </c>
      <c r="H532" s="26" t="s">
        <v>303</v>
      </c>
      <c r="I532" s="26">
        <v>1</v>
      </c>
      <c r="V532">
        <v>0.154</v>
      </c>
      <c r="X532" s="28" t="s">
        <v>304</v>
      </c>
      <c r="Y532" s="26" t="s">
        <v>293</v>
      </c>
      <c r="Z532" s="26" t="s">
        <v>16</v>
      </c>
    </row>
    <row r="533" spans="1:36" ht="15" customHeight="1">
      <c r="A533" s="25" t="str">
        <f>"VSG"&amp;TEXT(I533,"00")&amp;"C-"&amp;TEXT(BenchGDE!$E533,"yy")&amp;TEXT(F533,"000")&amp;Z533&amp;"2."&amp;TEXT((C533),"00")</f>
        <v>VSG01C-24135F2.11</v>
      </c>
      <c r="B533">
        <v>100</v>
      </c>
      <c r="C533">
        <v>11</v>
      </c>
      <c r="D533" t="s">
        <v>627</v>
      </c>
      <c r="E533" s="1">
        <v>45426</v>
      </c>
      <c r="F533" s="30">
        <f t="shared" si="91"/>
        <v>135</v>
      </c>
      <c r="G533" s="26" t="s">
        <v>558</v>
      </c>
      <c r="H533" s="26" t="s">
        <v>303</v>
      </c>
      <c r="I533" s="26">
        <v>1</v>
      </c>
      <c r="V533">
        <v>0.13800000000000001</v>
      </c>
      <c r="X533" s="28" t="s">
        <v>304</v>
      </c>
      <c r="Y533" s="26" t="s">
        <v>293</v>
      </c>
      <c r="Z533" s="26" t="s">
        <v>16</v>
      </c>
    </row>
    <row r="534" spans="1:36" ht="15" customHeight="1">
      <c r="A534" s="25" t="str">
        <f>"VSG"&amp;TEXT(I534,"00")&amp;"C-"&amp;TEXT(BenchGDE!$E534,"yy")&amp;TEXT(F534,"000")&amp;Z534&amp;"2."&amp;TEXT((C534),"00")</f>
        <v>VSG01C-24135F2.12</v>
      </c>
      <c r="B534">
        <v>100</v>
      </c>
      <c r="C534">
        <v>12</v>
      </c>
      <c r="D534" t="s">
        <v>628</v>
      </c>
      <c r="E534" s="1">
        <v>45426</v>
      </c>
      <c r="F534" s="30">
        <f t="shared" si="91"/>
        <v>135</v>
      </c>
      <c r="G534" s="26" t="s">
        <v>558</v>
      </c>
      <c r="H534" s="26" t="s">
        <v>303</v>
      </c>
      <c r="I534" s="26">
        <v>1</v>
      </c>
      <c r="V534">
        <v>0.13800000000000001</v>
      </c>
      <c r="X534" s="28" t="s">
        <v>304</v>
      </c>
      <c r="Y534" s="26" t="s">
        <v>293</v>
      </c>
      <c r="Z534" s="26" t="s">
        <v>16</v>
      </c>
    </row>
    <row r="535" spans="1:36" ht="15" customHeight="1">
      <c r="A535" s="25" t="str">
        <f>"VSG"&amp;TEXT(I535,"00")&amp;"C-"&amp;TEXT(BenchGDE!$E535,"yy")&amp;TEXT(F535,"000")&amp;Z535&amp;"2."&amp;TEXT((C535),"00")</f>
        <v>VSG01C-24135F2.13</v>
      </c>
      <c r="B535">
        <v>100</v>
      </c>
      <c r="C535">
        <v>13</v>
      </c>
      <c r="D535" t="s">
        <v>629</v>
      </c>
      <c r="E535" s="1">
        <v>45426</v>
      </c>
      <c r="F535" s="30">
        <f t="shared" si="91"/>
        <v>135</v>
      </c>
      <c r="G535" s="26" t="s">
        <v>558</v>
      </c>
      <c r="H535" s="26" t="s">
        <v>303</v>
      </c>
      <c r="I535" s="26">
        <v>1</v>
      </c>
      <c r="V535">
        <v>0.154</v>
      </c>
      <c r="X535" s="28" t="s">
        <v>304</v>
      </c>
      <c r="Y535" s="26" t="s">
        <v>293</v>
      </c>
      <c r="Z535" s="26" t="s">
        <v>16</v>
      </c>
    </row>
    <row r="536" spans="1:36" ht="15" customHeight="1">
      <c r="A536" s="25" t="str">
        <f>"VSG"&amp;TEXT(I536,"00")&amp;"C-"&amp;TEXT(BenchGDE!$E536,"yy")&amp;TEXT(F536,"000")&amp;Z536&amp;"2."&amp;TEXT((C536),"00")</f>
        <v>VSG01C-24135F2.14</v>
      </c>
      <c r="B536">
        <v>100</v>
      </c>
      <c r="C536">
        <v>14</v>
      </c>
      <c r="D536" t="s">
        <v>630</v>
      </c>
      <c r="E536" s="1">
        <v>45426</v>
      </c>
      <c r="F536" s="30">
        <f t="shared" si="91"/>
        <v>135</v>
      </c>
      <c r="G536" s="26" t="s">
        <v>558</v>
      </c>
      <c r="H536" s="26" t="s">
        <v>303</v>
      </c>
      <c r="I536" s="26">
        <v>1</v>
      </c>
      <c r="V536">
        <v>0.154</v>
      </c>
      <c r="X536" s="28" t="s">
        <v>304</v>
      </c>
      <c r="Y536" s="26" t="s">
        <v>293</v>
      </c>
      <c r="Z536" s="26" t="s">
        <v>16</v>
      </c>
    </row>
    <row r="538" spans="1:36" ht="15" customHeight="1">
      <c r="A538" s="25" t="str">
        <f>"VSG"&amp;TEXT(I538,"00")&amp;"C-"&amp;TEXT(BenchGDE!$E538,"yy")&amp;TEXT(F538,"000")&amp;Z538&amp;"2."&amp;TEXT((C538),"00")</f>
        <v>VSG01C-24134F2.13</v>
      </c>
      <c r="B538" s="26">
        <v>100</v>
      </c>
      <c r="C538" s="26">
        <v>13</v>
      </c>
      <c r="D538" s="26" t="s">
        <v>547</v>
      </c>
      <c r="E538" s="29">
        <v>45425</v>
      </c>
      <c r="F538" s="30">
        <f t="shared" ref="F538:F539" si="92">E538-DATE(YEAR(E538),1,0)</f>
        <v>134</v>
      </c>
      <c r="G538" s="26" t="s">
        <v>542</v>
      </c>
      <c r="H538" s="26" t="s">
        <v>303</v>
      </c>
      <c r="I538" s="26">
        <v>1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>
        <v>0.14699999999999999</v>
      </c>
      <c r="W538" s="26">
        <v>0.22</v>
      </c>
      <c r="X538" s="28" t="s">
        <v>304</v>
      </c>
      <c r="Y538" s="26" t="s">
        <v>293</v>
      </c>
      <c r="Z538" s="26" t="s">
        <v>16</v>
      </c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</row>
    <row r="539" spans="1:36" ht="15" customHeight="1">
      <c r="A539" s="25" t="str">
        <f>"VSG"&amp;TEXT(I539,"00")&amp;"C-"&amp;TEXT(BenchGDE!$E539,"yy")&amp;TEXT(F539,"000")&amp;Z539&amp;"2."&amp;TEXT((C539),"00")</f>
        <v>VSG01C-24134F2.14</v>
      </c>
      <c r="B539" s="26">
        <v>100</v>
      </c>
      <c r="C539" s="26">
        <v>14</v>
      </c>
      <c r="D539" s="26" t="s">
        <v>547</v>
      </c>
      <c r="E539" s="29">
        <v>45425</v>
      </c>
      <c r="F539" s="30">
        <f t="shared" si="92"/>
        <v>134</v>
      </c>
      <c r="G539" s="26" t="s">
        <v>542</v>
      </c>
      <c r="H539" s="26" t="s">
        <v>303</v>
      </c>
      <c r="I539" s="26">
        <v>1</v>
      </c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>
        <v>0.14699999999999999</v>
      </c>
      <c r="W539" s="26">
        <v>0.20799999999999999</v>
      </c>
      <c r="X539" s="28" t="s">
        <v>304</v>
      </c>
      <c r="Y539" s="26" t="s">
        <v>293</v>
      </c>
      <c r="Z539" s="26" t="s">
        <v>16</v>
      </c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</row>
    <row r="540" spans="1:36" ht="15" customHeight="1">
      <c r="A540" s="25" t="str">
        <f>"VSG"&amp;TEXT(I540,"00")&amp;"C-"&amp;TEXT(BenchGDE!$E540,"yy")&amp;TEXT(F540,"000")&amp;Z540&amp;"2."&amp;TEXT((C540),"00")</f>
        <v>VSG01C-24134F2.15</v>
      </c>
      <c r="B540" s="26">
        <v>100</v>
      </c>
      <c r="C540" s="26">
        <v>15</v>
      </c>
      <c r="D540" s="26" t="s">
        <v>547</v>
      </c>
      <c r="E540" s="29">
        <v>45425</v>
      </c>
      <c r="F540" s="30">
        <f t="shared" ref="F540:F541" si="93">E540-DATE(YEAR(E540),1,0)</f>
        <v>134</v>
      </c>
      <c r="G540" s="26" t="s">
        <v>542</v>
      </c>
      <c r="H540" s="26" t="s">
        <v>303</v>
      </c>
      <c r="I540" s="26">
        <v>1</v>
      </c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>
        <v>0.14699999999999999</v>
      </c>
      <c r="W540" s="26">
        <v>0.22</v>
      </c>
      <c r="X540" s="28" t="s">
        <v>304</v>
      </c>
      <c r="Y540" s="26" t="s">
        <v>293</v>
      </c>
      <c r="Z540" s="26" t="s">
        <v>16</v>
      </c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</row>
    <row r="541" spans="1:36" ht="15" customHeight="1">
      <c r="A541" s="25" t="str">
        <f>"VSG"&amp;TEXT(I541,"00")&amp;"C-"&amp;TEXT(BenchGDE!$E541,"yy")&amp;TEXT(F541,"000")&amp;Z541&amp;"2."&amp;TEXT((C541),"00")</f>
        <v>VSG01C-24134F2.16</v>
      </c>
      <c r="B541" s="26">
        <v>100</v>
      </c>
      <c r="C541" s="26">
        <v>16</v>
      </c>
      <c r="D541" s="26" t="s">
        <v>547</v>
      </c>
      <c r="E541" s="29">
        <v>45425</v>
      </c>
      <c r="F541" s="30">
        <f t="shared" si="93"/>
        <v>134</v>
      </c>
      <c r="G541" s="26" t="s">
        <v>542</v>
      </c>
      <c r="H541" s="26" t="s">
        <v>303</v>
      </c>
      <c r="I541" s="26">
        <v>1</v>
      </c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>
        <v>0.14699999999999999</v>
      </c>
      <c r="W541" s="26">
        <v>0.20799999999999999</v>
      </c>
      <c r="X541" s="28" t="s">
        <v>304</v>
      </c>
      <c r="Y541" s="26" t="s">
        <v>293</v>
      </c>
      <c r="Z541" s="26" t="s">
        <v>16</v>
      </c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</row>
    <row r="543" spans="1:36" ht="15" customHeight="1">
      <c r="A543" s="25" t="str">
        <f>"VSG"&amp;TEXT(I543,"00")&amp;"C-"&amp;TEXT(BenchGDE!$E543,"yy")&amp;TEXT(F543,"000")&amp;Z543&amp;"2."&amp;TEXT((C543),"00")</f>
        <v>VSG02C-24192F2.01</v>
      </c>
      <c r="B543" s="26">
        <v>600</v>
      </c>
      <c r="C543" s="26">
        <v>1</v>
      </c>
      <c r="D543" s="26" t="s">
        <v>631</v>
      </c>
      <c r="E543" s="29">
        <v>45483</v>
      </c>
      <c r="F543" s="30">
        <f t="shared" ref="F543" si="94">E543-DATE(YEAR(E543),1,0)</f>
        <v>192</v>
      </c>
      <c r="G543" s="26" t="s">
        <v>632</v>
      </c>
      <c r="H543" s="26" t="s">
        <v>303</v>
      </c>
      <c r="I543" s="26">
        <v>2</v>
      </c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8" t="s">
        <v>304</v>
      </c>
      <c r="Y543" s="26" t="s">
        <v>293</v>
      </c>
      <c r="Z543" s="26" t="s">
        <v>16</v>
      </c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spans="1:36" ht="15" customHeight="1">
      <c r="A544" s="25" t="str">
        <f>"VSG"&amp;TEXT(I544,"00")&amp;"C-"&amp;TEXT(BenchGDE!$E544,"yy")&amp;TEXT(F544,"000")&amp;Z544&amp;"2."&amp;TEXT((C544),"00")</f>
        <v>VSG02C-24192F2.02</v>
      </c>
      <c r="B544" s="26">
        <v>600</v>
      </c>
      <c r="C544" s="26">
        <v>2</v>
      </c>
      <c r="D544" s="26" t="s">
        <v>633</v>
      </c>
      <c r="E544" s="29">
        <v>45483</v>
      </c>
      <c r="F544" s="30">
        <f t="shared" ref="F544:F545" si="95">E544-DATE(YEAR(E544),1,0)</f>
        <v>192</v>
      </c>
      <c r="G544" s="26" t="s">
        <v>632</v>
      </c>
      <c r="H544" s="26" t="s">
        <v>303</v>
      </c>
      <c r="I544" s="26">
        <v>2</v>
      </c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8" t="s">
        <v>304</v>
      </c>
      <c r="Y544" s="26" t="s">
        <v>293</v>
      </c>
      <c r="Z544" s="26" t="s">
        <v>16</v>
      </c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</row>
    <row r="545" spans="1:36" ht="15" customHeight="1">
      <c r="A545" s="25" t="str">
        <f>"VSG"&amp;TEXT(I545,"00")&amp;"C-"&amp;TEXT(BenchGDE!$E545,"yy")&amp;TEXT(F545,"000")&amp;Z545&amp;"2."&amp;TEXT((C545),"00")</f>
        <v>VSG02C-241922.03</v>
      </c>
      <c r="B545" s="26">
        <v>600</v>
      </c>
      <c r="C545" s="26">
        <v>3</v>
      </c>
      <c r="D545" s="26" t="s">
        <v>634</v>
      </c>
      <c r="E545" s="29">
        <v>45483</v>
      </c>
      <c r="F545" s="30">
        <f t="shared" si="95"/>
        <v>192</v>
      </c>
      <c r="G545" s="26" t="s">
        <v>632</v>
      </c>
      <c r="H545" s="26" t="s">
        <v>303</v>
      </c>
      <c r="I545" s="26">
        <v>2</v>
      </c>
    </row>
    <row r="546" spans="1:36" ht="15" customHeight="1">
      <c r="A546" s="25" t="str">
        <f>"VSG"&amp;TEXT(I546,"00")&amp;"C-"&amp;TEXT(BenchGDE!$E546,"yy")&amp;TEXT(F546,"000")&amp;Z546&amp;"2."&amp;TEXT((C546),"00")</f>
        <v>VSG02C-241922.04</v>
      </c>
      <c r="B546" s="26">
        <v>600</v>
      </c>
      <c r="C546" s="26">
        <v>4</v>
      </c>
      <c r="D546" s="26" t="s">
        <v>635</v>
      </c>
      <c r="E546" s="29">
        <v>45483</v>
      </c>
      <c r="F546" s="30">
        <f t="shared" ref="F546:F552" si="96">E546-DATE(YEAR(E546),1,0)</f>
        <v>192</v>
      </c>
      <c r="G546" s="26" t="s">
        <v>632</v>
      </c>
      <c r="H546" s="26" t="s">
        <v>303</v>
      </c>
      <c r="I546" s="26">
        <v>2</v>
      </c>
    </row>
    <row r="547" spans="1:36" ht="15" customHeight="1">
      <c r="A547" s="25" t="str">
        <f>"VSG"&amp;TEXT(I547,"00")&amp;"C-"&amp;TEXT(BenchGDE!$E547,"yy")&amp;TEXT(F547,"000")&amp;Z547&amp;"2."&amp;TEXT((C547),"00")</f>
        <v>VSG02C-241922.05</v>
      </c>
      <c r="B547" s="26">
        <v>600</v>
      </c>
      <c r="C547" s="26">
        <v>5</v>
      </c>
      <c r="D547" s="26" t="s">
        <v>636</v>
      </c>
      <c r="E547" s="29">
        <v>45483</v>
      </c>
      <c r="F547" s="30">
        <f t="shared" si="96"/>
        <v>192</v>
      </c>
      <c r="G547" s="26" t="s">
        <v>632</v>
      </c>
      <c r="H547" s="26" t="s">
        <v>303</v>
      </c>
      <c r="I547" s="26">
        <v>2</v>
      </c>
    </row>
    <row r="548" spans="1:36" ht="15" customHeight="1">
      <c r="A548" s="25" t="str">
        <f>"VSG"&amp;TEXT(I548,"00")&amp;"C-"&amp;TEXT(BenchGDE!$E548,"yy")&amp;TEXT(F548,"000")&amp;Z548&amp;"2."&amp;TEXT((C548),"00")</f>
        <v>VSG02C-241922.06</v>
      </c>
      <c r="B548" s="26">
        <v>600</v>
      </c>
      <c r="C548" s="26">
        <v>6</v>
      </c>
      <c r="D548" s="26" t="s">
        <v>637</v>
      </c>
      <c r="E548" s="29">
        <v>45483</v>
      </c>
      <c r="F548" s="30">
        <f t="shared" si="96"/>
        <v>192</v>
      </c>
      <c r="G548" s="26" t="s">
        <v>632</v>
      </c>
      <c r="H548" s="26" t="s">
        <v>303</v>
      </c>
      <c r="I548" s="26">
        <v>2</v>
      </c>
    </row>
    <row r="549" spans="1:36" ht="15" customHeight="1">
      <c r="A549" s="25" t="str">
        <f>"VSG"&amp;TEXT(I549,"00")&amp;"C-"&amp;TEXT(BenchGDE!$E549,"yy")&amp;TEXT(F549,"000")&amp;Z549&amp;"2."&amp;TEXT((C549),"00")</f>
        <v>VSG02C-241922.07</v>
      </c>
      <c r="B549" s="26">
        <v>600</v>
      </c>
      <c r="C549" s="26">
        <v>7</v>
      </c>
      <c r="D549" s="26" t="s">
        <v>638</v>
      </c>
      <c r="E549" s="29">
        <v>45483</v>
      </c>
      <c r="F549" s="30">
        <f t="shared" si="96"/>
        <v>192</v>
      </c>
      <c r="G549" s="26" t="s">
        <v>632</v>
      </c>
      <c r="H549" s="26" t="s">
        <v>303</v>
      </c>
      <c r="I549" s="26">
        <v>2</v>
      </c>
    </row>
    <row r="550" spans="1:36" ht="15" customHeight="1">
      <c r="A550" s="25" t="str">
        <f>"VSG"&amp;TEXT(I550,"00")&amp;"C-"&amp;TEXT(BenchGDE!$E550,"yy")&amp;TEXT(F550,"000")&amp;Z550&amp;"2."&amp;TEXT((C550),"00")</f>
        <v>VSG02C-241922.08</v>
      </c>
      <c r="B550" s="26">
        <v>600</v>
      </c>
      <c r="C550" s="26">
        <v>8</v>
      </c>
      <c r="D550" s="26" t="s">
        <v>639</v>
      </c>
      <c r="E550" s="29">
        <v>45483</v>
      </c>
      <c r="F550" s="30">
        <f t="shared" si="96"/>
        <v>192</v>
      </c>
      <c r="G550" s="26" t="s">
        <v>632</v>
      </c>
      <c r="H550" s="26" t="s">
        <v>303</v>
      </c>
      <c r="I550" s="26">
        <v>2</v>
      </c>
    </row>
    <row r="551" spans="1:36" ht="15" customHeight="1">
      <c r="A551" s="25" t="str">
        <f>"VSG"&amp;TEXT(I551,"00")&amp;"C-"&amp;TEXT(BenchGDE!$E551,"yy")&amp;TEXT(F551,"000")&amp;Z551&amp;"2."&amp;TEXT((C551),"00")</f>
        <v>VSG02C-241922.09</v>
      </c>
      <c r="B551" s="26">
        <v>600</v>
      </c>
      <c r="C551" s="26">
        <v>9</v>
      </c>
      <c r="D551" s="26" t="s">
        <v>640</v>
      </c>
      <c r="E551" s="29">
        <v>45483</v>
      </c>
      <c r="F551" s="30">
        <f t="shared" si="96"/>
        <v>192</v>
      </c>
      <c r="G551" s="26" t="s">
        <v>632</v>
      </c>
      <c r="H551" s="26" t="s">
        <v>303</v>
      </c>
      <c r="I551" s="26">
        <v>2</v>
      </c>
    </row>
    <row r="552" spans="1:36" ht="15" customHeight="1">
      <c r="A552" s="25" t="str">
        <f>"VSG"&amp;TEXT(I552,"00")&amp;"C-"&amp;TEXT(BenchGDE!$E552,"yy")&amp;TEXT(F552,"000")&amp;Z552&amp;"2."&amp;TEXT((C552),"00")</f>
        <v>VSG02C-241922.10</v>
      </c>
      <c r="B552" s="26">
        <v>600</v>
      </c>
      <c r="C552" s="26">
        <v>10</v>
      </c>
      <c r="D552" s="26" t="s">
        <v>641</v>
      </c>
      <c r="E552" s="29">
        <v>45483</v>
      </c>
      <c r="F552" s="30">
        <f t="shared" si="96"/>
        <v>192</v>
      </c>
      <c r="G552" s="26" t="s">
        <v>632</v>
      </c>
      <c r="H552" s="26" t="s">
        <v>303</v>
      </c>
      <c r="I552" s="26">
        <v>2</v>
      </c>
    </row>
    <row r="553" spans="1:36" ht="15" customHeight="1">
      <c r="A553" s="25"/>
      <c r="B553" s="26"/>
      <c r="C553" s="26"/>
      <c r="D553" s="26"/>
      <c r="E553" s="29"/>
      <c r="F553" s="30"/>
      <c r="G553" s="26"/>
      <c r="H553" s="26"/>
      <c r="I553" s="26"/>
    </row>
    <row r="554" spans="1:36" ht="15" customHeight="1">
      <c r="A554" s="25" t="str">
        <f>"VSG"&amp;TEXT(I554,"00")&amp;"C-"&amp;TEXT(BenchGDE!$E554,"yy")&amp;TEXT(F554,"000")&amp;Z554&amp;"2."&amp;TEXT((C554),"00")</f>
        <v>VSG01C-24127F2.17</v>
      </c>
      <c r="B554" s="26">
        <v>100</v>
      </c>
      <c r="C554" s="26">
        <v>17</v>
      </c>
      <c r="D554" s="26" t="s">
        <v>527</v>
      </c>
      <c r="E554" s="29">
        <v>45418</v>
      </c>
      <c r="F554" s="30">
        <f t="shared" ref="F554:F555" si="97">E554-DATE(YEAR(E554),1,0)</f>
        <v>127</v>
      </c>
      <c r="G554" s="26" t="s">
        <v>515</v>
      </c>
      <c r="H554" s="26" t="s">
        <v>303</v>
      </c>
      <c r="I554" s="26">
        <v>1</v>
      </c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>
        <v>0.14099999999999999</v>
      </c>
      <c r="W554" s="26"/>
      <c r="X554" s="28" t="s">
        <v>304</v>
      </c>
      <c r="Y554" s="26" t="s">
        <v>293</v>
      </c>
      <c r="Z554" s="26" t="s">
        <v>16</v>
      </c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</row>
    <row r="555" spans="1:36" ht="15" customHeight="1">
      <c r="A555" s="25" t="str">
        <f>"VSG"&amp;TEXT(I555,"00")&amp;"C-"&amp;TEXT(BenchGDE!$E555,"yy")&amp;TEXT(F555,"000")&amp;Z555&amp;"2."&amp;TEXT((C555),"00")</f>
        <v>VSG01C-24127F2.18</v>
      </c>
      <c r="B555" s="26">
        <v>100</v>
      </c>
      <c r="C555" s="26">
        <v>18</v>
      </c>
      <c r="D555" s="26" t="s">
        <v>528</v>
      </c>
      <c r="E555" s="29">
        <v>45418</v>
      </c>
      <c r="F555" s="30">
        <f t="shared" si="97"/>
        <v>127</v>
      </c>
      <c r="G555" s="26" t="s">
        <v>515</v>
      </c>
      <c r="H555" s="26" t="s">
        <v>303</v>
      </c>
      <c r="I555" s="26">
        <v>1</v>
      </c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>
        <v>0.14099999999999999</v>
      </c>
      <c r="W555" s="26"/>
      <c r="X555" s="28" t="s">
        <v>304</v>
      </c>
      <c r="Y555" s="26" t="s">
        <v>293</v>
      </c>
      <c r="Z555" s="26" t="s">
        <v>16</v>
      </c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</row>
    <row r="1048528" spans="9:9" ht="15" customHeight="1">
      <c r="I1048528">
        <f>IF(B1048528=100,1,(IF(B1048528=600,2,3)))</f>
        <v>3</v>
      </c>
    </row>
  </sheetData>
  <mergeCells count="2">
    <mergeCell ref="J1:S1"/>
    <mergeCell ref="U1:V1"/>
  </mergeCells>
  <phoneticPr fontId="2" type="noConversion"/>
  <pageMargins left="0.7" right="0.7" top="0.75" bottom="0.75" header="0.3" footer="0.3"/>
  <pageSetup orientation="portrait" r:id="rId1"/>
  <ignoredErrors>
    <ignoredError sqref="J21" formulaRange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92FF-F894-42A1-ABC4-08C92AD2B4CE}">
  <sheetPr codeName="Sheet3"/>
  <dimension ref="A1:S151"/>
  <sheetViews>
    <sheetView zoomScale="72" zoomScaleNormal="70" workbookViewId="0">
      <pane ySplit="1" topLeftCell="R152" activePane="bottomLeft" state="frozen"/>
      <selection pane="bottomLeft" activeCell="R152" sqref="R152"/>
    </sheetView>
  </sheetViews>
  <sheetFormatPr defaultRowHeight="15"/>
  <cols>
    <col min="1" max="1" width="29.140625" bestFit="1" customWidth="1"/>
    <col min="2" max="2" width="2.28515625" bestFit="1" customWidth="1"/>
    <col min="3" max="3" width="18.85546875" customWidth="1"/>
    <col min="4" max="4" width="24.85546875" bestFit="1" customWidth="1"/>
    <col min="5" max="5" width="11.42578125" bestFit="1" customWidth="1"/>
    <col min="6" max="6" width="9.42578125" customWidth="1"/>
    <col min="7" max="7" width="13.85546875" bestFit="1" customWidth="1"/>
    <col min="8" max="8" width="9.85546875" style="8" bestFit="1" customWidth="1"/>
    <col min="9" max="9" width="8.7109375" style="10"/>
    <col min="10" max="10" width="9.7109375" style="17" bestFit="1" customWidth="1"/>
    <col min="11" max="11" width="8.7109375" style="12" bestFit="1"/>
    <col min="12" max="12" width="9.42578125" style="8" customWidth="1"/>
    <col min="13" max="13" width="8.7109375" style="12"/>
    <col min="14" max="14" width="13.42578125" style="8" bestFit="1" customWidth="1"/>
    <col min="15" max="15" width="10.140625" style="8" bestFit="1" customWidth="1"/>
    <col min="16" max="16" width="13.7109375" style="8" customWidth="1"/>
  </cols>
  <sheetData>
    <row r="1" spans="1:18">
      <c r="C1" t="s">
        <v>22</v>
      </c>
      <c r="D1" t="s">
        <v>25</v>
      </c>
      <c r="E1" t="s">
        <v>26</v>
      </c>
      <c r="F1" t="s">
        <v>642</v>
      </c>
      <c r="G1" t="s">
        <v>23</v>
      </c>
      <c r="H1" s="8" t="s">
        <v>643</v>
      </c>
      <c r="I1" s="10" t="s">
        <v>20</v>
      </c>
      <c r="J1" s="17" t="s">
        <v>5</v>
      </c>
      <c r="K1" s="8" t="s">
        <v>39</v>
      </c>
      <c r="L1" s="8" t="s">
        <v>644</v>
      </c>
      <c r="M1" s="8" t="s">
        <v>40</v>
      </c>
      <c r="N1" s="8" t="s">
        <v>43</v>
      </c>
      <c r="O1" s="8" t="s">
        <v>2</v>
      </c>
      <c r="P1" s="8" t="s">
        <v>44</v>
      </c>
      <c r="Q1" t="s">
        <v>45</v>
      </c>
      <c r="R1" t="s">
        <v>48</v>
      </c>
    </row>
    <row r="2" spans="1:18">
      <c r="C2" t="s">
        <v>55</v>
      </c>
      <c r="D2" t="s">
        <v>55</v>
      </c>
      <c r="H2" s="10" t="s">
        <v>55</v>
      </c>
      <c r="I2" s="10" t="s">
        <v>54</v>
      </c>
      <c r="K2" s="8" t="s">
        <v>57</v>
      </c>
      <c r="M2" s="8" t="s">
        <v>57</v>
      </c>
    </row>
    <row r="3" spans="1:18">
      <c r="A3" t="str">
        <f t="shared" ref="A3:A15" si="0">"VSG05C-23"&amp;TEXT(H3,"000")&amp;O3&amp;"2."&amp;TEXT(RIGHT(B3),"00")</f>
        <v>VSG05C-23062A2.01</v>
      </c>
      <c r="B3">
        <v>1</v>
      </c>
      <c r="C3" t="s">
        <v>645</v>
      </c>
      <c r="D3" t="s">
        <v>646</v>
      </c>
      <c r="F3">
        <v>2</v>
      </c>
      <c r="G3" s="1">
        <v>44988</v>
      </c>
      <c r="H3" s="14">
        <f>G3-DATE(YEAR(G3),1,0)</f>
        <v>62</v>
      </c>
      <c r="I3" s="8">
        <v>5</v>
      </c>
      <c r="J3" s="10"/>
      <c r="K3" s="12">
        <v>8.0000000000000002E-3</v>
      </c>
      <c r="N3" s="8" t="s">
        <v>8</v>
      </c>
      <c r="O3" s="8" t="str">
        <f>IF(N3="Shule","A",)</f>
        <v>A</v>
      </c>
    </row>
    <row r="4" spans="1:18">
      <c r="A4" t="str">
        <f t="shared" si="0"/>
        <v>VSG05C-23129E2.01</v>
      </c>
      <c r="B4">
        <v>1</v>
      </c>
      <c r="C4" t="s">
        <v>122</v>
      </c>
      <c r="D4" t="s">
        <v>647</v>
      </c>
      <c r="F4">
        <v>2</v>
      </c>
      <c r="G4" s="1">
        <v>45056</v>
      </c>
      <c r="H4" s="14">
        <v>129</v>
      </c>
      <c r="I4" s="8">
        <v>5</v>
      </c>
      <c r="J4" s="10"/>
      <c r="K4" s="12">
        <v>0.35</v>
      </c>
      <c r="M4" s="12">
        <v>0.15</v>
      </c>
      <c r="N4" s="15" t="s">
        <v>14</v>
      </c>
      <c r="O4" s="8" t="s">
        <v>13</v>
      </c>
    </row>
    <row r="5" spans="1:18">
      <c r="A5" t="str">
        <f t="shared" si="0"/>
        <v>VSG05C-23129E2.02</v>
      </c>
      <c r="B5">
        <v>2</v>
      </c>
      <c r="C5" t="s">
        <v>122</v>
      </c>
      <c r="D5" t="s">
        <v>647</v>
      </c>
      <c r="F5">
        <v>2</v>
      </c>
      <c r="G5" s="1">
        <v>45056</v>
      </c>
      <c r="H5" s="14">
        <v>129</v>
      </c>
      <c r="I5" s="8">
        <v>5</v>
      </c>
      <c r="J5" s="10"/>
      <c r="K5" s="12">
        <v>0.35</v>
      </c>
      <c r="M5" s="12">
        <v>0.15</v>
      </c>
      <c r="N5" s="15" t="s">
        <v>14</v>
      </c>
      <c r="O5" s="8" t="s">
        <v>13</v>
      </c>
    </row>
    <row r="6" spans="1:18">
      <c r="A6" t="str">
        <f t="shared" si="0"/>
        <v>VSG05C-23132E2.01</v>
      </c>
      <c r="B6">
        <v>1</v>
      </c>
      <c r="C6" t="s">
        <v>648</v>
      </c>
      <c r="D6" t="s">
        <v>649</v>
      </c>
      <c r="F6">
        <v>2</v>
      </c>
      <c r="G6" s="1">
        <v>45058</v>
      </c>
      <c r="H6" s="14">
        <f t="shared" ref="H6:H37" si="1">G6-DATE(YEAR(G6),1,0)</f>
        <v>132</v>
      </c>
      <c r="I6" s="8">
        <v>5</v>
      </c>
      <c r="J6" s="10"/>
      <c r="K6" s="12">
        <v>0.154</v>
      </c>
      <c r="M6" s="12">
        <v>0.217</v>
      </c>
      <c r="N6" s="15" t="s">
        <v>14</v>
      </c>
      <c r="O6" s="8" t="s">
        <v>13</v>
      </c>
      <c r="P6" s="8" t="s">
        <v>72</v>
      </c>
    </row>
    <row r="7" spans="1:18">
      <c r="A7" t="str">
        <f t="shared" si="0"/>
        <v>VSG05C-23167A2.01</v>
      </c>
      <c r="B7">
        <v>1</v>
      </c>
      <c r="C7" t="s">
        <v>650</v>
      </c>
      <c r="D7" t="s">
        <v>651</v>
      </c>
      <c r="F7">
        <v>2</v>
      </c>
      <c r="G7" s="1">
        <v>45093</v>
      </c>
      <c r="H7" s="14">
        <f t="shared" si="1"/>
        <v>167</v>
      </c>
      <c r="I7" s="8">
        <v>5</v>
      </c>
      <c r="J7" s="10"/>
      <c r="K7" s="12">
        <v>0.38290000000000002</v>
      </c>
      <c r="M7" s="12">
        <v>0.30399999999999999</v>
      </c>
      <c r="N7" s="8" t="s">
        <v>652</v>
      </c>
      <c r="O7" s="8" t="s">
        <v>7</v>
      </c>
    </row>
    <row r="8" spans="1:18">
      <c r="A8" t="str">
        <f t="shared" si="0"/>
        <v>VSG05C-23167A2.02</v>
      </c>
      <c r="B8">
        <v>2</v>
      </c>
      <c r="C8" t="s">
        <v>653</v>
      </c>
      <c r="D8" t="s">
        <v>651</v>
      </c>
      <c r="F8">
        <v>2</v>
      </c>
      <c r="G8" s="1">
        <v>45093</v>
      </c>
      <c r="H8" s="14">
        <f t="shared" si="1"/>
        <v>167</v>
      </c>
      <c r="I8" s="8">
        <v>5</v>
      </c>
      <c r="J8" s="10"/>
      <c r="K8" s="12">
        <v>0.5897</v>
      </c>
      <c r="M8" s="12">
        <v>0.30399999999999999</v>
      </c>
      <c r="N8" s="8" t="s">
        <v>652</v>
      </c>
      <c r="O8" s="8" t="s">
        <v>7</v>
      </c>
    </row>
    <row r="9" spans="1:18">
      <c r="A9" t="str">
        <f t="shared" si="0"/>
        <v>VSG05C-23170A2.01</v>
      </c>
      <c r="B9">
        <v>1</v>
      </c>
      <c r="C9" t="s">
        <v>654</v>
      </c>
      <c r="D9" t="s">
        <v>655</v>
      </c>
      <c r="F9">
        <v>2</v>
      </c>
      <c r="G9" s="1">
        <v>45096</v>
      </c>
      <c r="H9" s="14">
        <f t="shared" si="1"/>
        <v>170</v>
      </c>
      <c r="I9" s="8">
        <v>5</v>
      </c>
      <c r="J9" s="10"/>
      <c r="K9" s="12">
        <v>0.17299999999999999</v>
      </c>
      <c r="M9" s="12">
        <v>0.161</v>
      </c>
      <c r="N9" s="8" t="s">
        <v>8</v>
      </c>
      <c r="O9" s="8" t="s">
        <v>7</v>
      </c>
    </row>
    <row r="10" spans="1:18">
      <c r="A10" t="str">
        <f t="shared" si="0"/>
        <v>VSG05C-23171E2.01</v>
      </c>
      <c r="B10">
        <v>1</v>
      </c>
      <c r="C10" t="s">
        <v>142</v>
      </c>
      <c r="D10" t="s">
        <v>651</v>
      </c>
      <c r="F10">
        <v>2</v>
      </c>
      <c r="G10" s="1">
        <v>45097</v>
      </c>
      <c r="H10" s="14">
        <f t="shared" si="1"/>
        <v>171</v>
      </c>
      <c r="I10" s="8">
        <v>5</v>
      </c>
      <c r="J10" s="10"/>
      <c r="K10" s="12">
        <v>0.115</v>
      </c>
      <c r="M10" s="12">
        <v>0.17399999999999999</v>
      </c>
      <c r="N10" s="8" t="s">
        <v>14</v>
      </c>
      <c r="O10" s="8" t="s">
        <v>13</v>
      </c>
    </row>
    <row r="11" spans="1:18">
      <c r="A11" t="str">
        <f t="shared" si="0"/>
        <v>VSG05C-23177E2.01</v>
      </c>
      <c r="B11">
        <v>1</v>
      </c>
      <c r="C11" t="s">
        <v>656</v>
      </c>
      <c r="D11" t="s">
        <v>655</v>
      </c>
      <c r="F11">
        <v>2</v>
      </c>
      <c r="G11" s="1">
        <v>45103</v>
      </c>
      <c r="H11" s="14">
        <f t="shared" si="1"/>
        <v>177</v>
      </c>
      <c r="I11" s="8">
        <v>5</v>
      </c>
      <c r="J11" s="10"/>
      <c r="K11" s="12">
        <v>0.18</v>
      </c>
      <c r="N11" s="8" t="s">
        <v>14</v>
      </c>
      <c r="O11" s="8" t="s">
        <v>13</v>
      </c>
    </row>
    <row r="12" spans="1:18">
      <c r="A12" t="str">
        <f t="shared" si="0"/>
        <v>VSG05C-23178E2.01</v>
      </c>
      <c r="B12">
        <v>1</v>
      </c>
      <c r="C12" t="s">
        <v>657</v>
      </c>
      <c r="D12" t="s">
        <v>154</v>
      </c>
      <c r="F12">
        <v>2</v>
      </c>
      <c r="G12" s="1">
        <v>45104</v>
      </c>
      <c r="H12" s="14">
        <f t="shared" si="1"/>
        <v>178</v>
      </c>
      <c r="I12" s="8">
        <v>5</v>
      </c>
      <c r="J12" s="10"/>
      <c r="K12" s="12">
        <v>0.13</v>
      </c>
      <c r="M12" s="12">
        <v>0.18</v>
      </c>
      <c r="N12" s="8" t="s">
        <v>14</v>
      </c>
      <c r="O12" s="8" t="s">
        <v>13</v>
      </c>
    </row>
    <row r="13" spans="1:18">
      <c r="A13" t="str">
        <f t="shared" si="0"/>
        <v>VSG05C-23179E2.01</v>
      </c>
      <c r="B13">
        <v>1</v>
      </c>
      <c r="C13" t="s">
        <v>151</v>
      </c>
      <c r="D13" t="s">
        <v>154</v>
      </c>
      <c r="F13">
        <v>2</v>
      </c>
      <c r="G13" s="1">
        <v>45105</v>
      </c>
      <c r="H13" s="14">
        <f t="shared" si="1"/>
        <v>179</v>
      </c>
      <c r="I13" s="8">
        <v>5</v>
      </c>
      <c r="J13" s="10"/>
      <c r="K13" s="12">
        <v>0.188</v>
      </c>
      <c r="M13" s="12">
        <v>0.10299999999999999</v>
      </c>
      <c r="N13" s="8" t="s">
        <v>14</v>
      </c>
      <c r="O13" s="8" t="s">
        <v>13</v>
      </c>
    </row>
    <row r="14" spans="1:18">
      <c r="A14" t="str">
        <f t="shared" si="0"/>
        <v>VSG05C-23184E2.01</v>
      </c>
      <c r="B14">
        <v>1</v>
      </c>
      <c r="C14" t="s">
        <v>658</v>
      </c>
      <c r="D14" t="s">
        <v>659</v>
      </c>
      <c r="F14">
        <v>2</v>
      </c>
      <c r="G14" s="1">
        <v>45110</v>
      </c>
      <c r="H14" s="14">
        <f t="shared" si="1"/>
        <v>184</v>
      </c>
      <c r="I14" s="8">
        <v>5</v>
      </c>
      <c r="J14" s="10"/>
      <c r="K14" s="12">
        <v>0.09</v>
      </c>
      <c r="M14" s="12">
        <v>0.08</v>
      </c>
      <c r="N14" s="8" t="s">
        <v>139</v>
      </c>
      <c r="O14" s="8" t="s">
        <v>13</v>
      </c>
    </row>
    <row r="15" spans="1:18" s="6" customFormat="1">
      <c r="A15" s="6" t="str">
        <f t="shared" si="0"/>
        <v>VSG05C-23202E2.01</v>
      </c>
      <c r="B15" s="6">
        <v>1</v>
      </c>
      <c r="C15" s="6" t="s">
        <v>660</v>
      </c>
      <c r="D15" s="6" t="s">
        <v>172</v>
      </c>
      <c r="F15">
        <v>2</v>
      </c>
      <c r="G15" s="7">
        <v>45128</v>
      </c>
      <c r="H15" s="14">
        <f t="shared" si="1"/>
        <v>202</v>
      </c>
      <c r="I15" s="11">
        <v>5</v>
      </c>
      <c r="J15" s="10"/>
      <c r="K15" s="13">
        <v>0.22</v>
      </c>
      <c r="L15" s="11"/>
      <c r="M15" s="13">
        <v>0.15</v>
      </c>
      <c r="N15" s="11" t="s">
        <v>14</v>
      </c>
      <c r="O15" s="11" t="s">
        <v>13</v>
      </c>
      <c r="P15" s="11"/>
    </row>
    <row r="16" spans="1:18">
      <c r="A16" t="str">
        <f>"VSG05C-23"&amp;TEXT(H16,"000")&amp;O16&amp;"22."&amp;TEXT(RIGHT(B16),"00")</f>
        <v>VSG05C-23214E22.01</v>
      </c>
      <c r="B16">
        <v>1</v>
      </c>
      <c r="C16" t="s">
        <v>661</v>
      </c>
      <c r="D16" t="s">
        <v>662</v>
      </c>
      <c r="E16" t="s">
        <v>9</v>
      </c>
      <c r="F16">
        <v>3</v>
      </c>
      <c r="G16" s="1">
        <v>45140</v>
      </c>
      <c r="H16" s="14">
        <f t="shared" si="1"/>
        <v>214</v>
      </c>
      <c r="I16" s="8">
        <v>5</v>
      </c>
      <c r="J16" s="10"/>
      <c r="K16" s="12">
        <v>0.15</v>
      </c>
      <c r="M16" s="12">
        <v>0.28000000000000003</v>
      </c>
      <c r="N16" s="8" t="s">
        <v>139</v>
      </c>
      <c r="O16" s="8" t="s">
        <v>13</v>
      </c>
    </row>
    <row r="17" spans="1:18">
      <c r="A17" t="str">
        <f>"VSG05C-23"&amp;TEXT(H17,"000")&amp;O17&amp;"22."&amp;TEXT(RIGHT(B17),"00")</f>
        <v>VSG05C-23215E22.01</v>
      </c>
      <c r="B17">
        <v>1</v>
      </c>
      <c r="C17" t="s">
        <v>661</v>
      </c>
      <c r="D17" t="s">
        <v>662</v>
      </c>
      <c r="E17" t="s">
        <v>9</v>
      </c>
      <c r="F17">
        <v>3</v>
      </c>
      <c r="G17" s="1">
        <v>45141</v>
      </c>
      <c r="H17" s="14">
        <f t="shared" si="1"/>
        <v>215</v>
      </c>
      <c r="I17" s="8">
        <v>5</v>
      </c>
      <c r="J17" s="10"/>
      <c r="K17" s="12">
        <v>0.12</v>
      </c>
      <c r="M17" s="12">
        <v>0.03</v>
      </c>
      <c r="N17" s="8" t="s">
        <v>139</v>
      </c>
      <c r="O17" s="8" t="s">
        <v>13</v>
      </c>
    </row>
    <row r="18" spans="1:18">
      <c r="A18" t="str">
        <f t="shared" ref="A18:A27" si="2">"VSG05C-23"&amp;TEXT(H18,"000")&amp;O18&amp;"2."&amp;TEXT(RIGHT(B18),"00")</f>
        <v>VSG05C-23216E2.01</v>
      </c>
      <c r="B18">
        <v>1</v>
      </c>
      <c r="C18" t="s">
        <v>663</v>
      </c>
      <c r="D18" t="s">
        <v>664</v>
      </c>
      <c r="F18">
        <v>2</v>
      </c>
      <c r="G18" s="1">
        <v>45142</v>
      </c>
      <c r="H18" s="14">
        <f t="shared" si="1"/>
        <v>216</v>
      </c>
      <c r="I18" s="8">
        <v>5</v>
      </c>
      <c r="J18" s="10"/>
      <c r="K18" s="12">
        <v>0.2</v>
      </c>
      <c r="N18" s="8" t="s">
        <v>139</v>
      </c>
      <c r="O18" s="8" t="s">
        <v>13</v>
      </c>
    </row>
    <row r="19" spans="1:18">
      <c r="A19" t="str">
        <f t="shared" si="2"/>
        <v>VSG05C-23219E2.01</v>
      </c>
      <c r="B19">
        <v>1</v>
      </c>
      <c r="C19" t="s">
        <v>665</v>
      </c>
      <c r="D19" t="s">
        <v>664</v>
      </c>
      <c r="F19">
        <v>2</v>
      </c>
      <c r="G19" s="1">
        <v>45145</v>
      </c>
      <c r="H19" s="14">
        <f t="shared" si="1"/>
        <v>219</v>
      </c>
      <c r="I19" s="8">
        <v>5</v>
      </c>
      <c r="J19" s="10"/>
      <c r="K19" s="12">
        <v>0.3</v>
      </c>
      <c r="N19" s="8" t="s">
        <v>139</v>
      </c>
      <c r="O19" s="8" t="s">
        <v>13</v>
      </c>
    </row>
    <row r="20" spans="1:18">
      <c r="A20" t="str">
        <f t="shared" si="2"/>
        <v>VSG05C-23227E2.01</v>
      </c>
      <c r="B20">
        <v>1</v>
      </c>
      <c r="C20" t="s">
        <v>666</v>
      </c>
      <c r="D20" t="s">
        <v>667</v>
      </c>
      <c r="F20">
        <v>2</v>
      </c>
      <c r="G20" s="1">
        <v>45153</v>
      </c>
      <c r="H20" s="14">
        <f t="shared" si="1"/>
        <v>227</v>
      </c>
      <c r="I20" s="8">
        <v>5</v>
      </c>
      <c r="J20" s="10"/>
      <c r="N20" s="8" t="s">
        <v>139</v>
      </c>
      <c r="O20" s="8" t="s">
        <v>13</v>
      </c>
    </row>
    <row r="21" spans="1:18">
      <c r="A21" t="str">
        <f t="shared" si="2"/>
        <v>VSG05C-23227E2.02</v>
      </c>
      <c r="B21">
        <v>2</v>
      </c>
      <c r="C21" t="s">
        <v>668</v>
      </c>
      <c r="D21" t="s">
        <v>667</v>
      </c>
      <c r="F21">
        <v>2</v>
      </c>
      <c r="G21" s="1">
        <v>45153</v>
      </c>
      <c r="H21" s="14">
        <f t="shared" si="1"/>
        <v>227</v>
      </c>
      <c r="I21" s="8">
        <v>5</v>
      </c>
      <c r="J21" s="10"/>
      <c r="K21" s="12">
        <v>0.22</v>
      </c>
      <c r="M21" s="12">
        <v>0.05</v>
      </c>
      <c r="N21" s="8" t="s">
        <v>139</v>
      </c>
      <c r="O21" s="8" t="s">
        <v>13</v>
      </c>
    </row>
    <row r="22" spans="1:18">
      <c r="A22" t="str">
        <f t="shared" si="2"/>
        <v>VSG05C-23227E2.03</v>
      </c>
      <c r="B22">
        <v>3</v>
      </c>
      <c r="C22" t="s">
        <v>668</v>
      </c>
      <c r="D22" t="s">
        <v>667</v>
      </c>
      <c r="F22">
        <v>2</v>
      </c>
      <c r="G22" s="1">
        <v>45153</v>
      </c>
      <c r="H22" s="14">
        <f t="shared" si="1"/>
        <v>227</v>
      </c>
      <c r="I22" s="8">
        <v>5</v>
      </c>
      <c r="J22" s="10"/>
      <c r="K22" s="12">
        <v>0.19</v>
      </c>
      <c r="N22" s="8" t="s">
        <v>139</v>
      </c>
      <c r="O22" s="8" t="s">
        <v>13</v>
      </c>
      <c r="P22" s="8" t="s">
        <v>669</v>
      </c>
    </row>
    <row r="23" spans="1:18">
      <c r="A23" t="str">
        <f t="shared" si="2"/>
        <v>VSG05C-23244E2.01</v>
      </c>
      <c r="B23">
        <v>1</v>
      </c>
      <c r="C23" t="s">
        <v>670</v>
      </c>
      <c r="D23" t="s">
        <v>196</v>
      </c>
      <c r="F23">
        <v>2</v>
      </c>
      <c r="G23" s="1">
        <v>45170</v>
      </c>
      <c r="H23" s="14">
        <f t="shared" si="1"/>
        <v>244</v>
      </c>
      <c r="I23" s="8">
        <v>5</v>
      </c>
      <c r="J23" s="10"/>
      <c r="K23" s="12">
        <v>0.15</v>
      </c>
      <c r="M23" s="12">
        <v>0.16</v>
      </c>
      <c r="N23" s="8" t="s">
        <v>139</v>
      </c>
      <c r="O23" s="8" t="s">
        <v>13</v>
      </c>
      <c r="P23" s="8" t="s">
        <v>669</v>
      </c>
    </row>
    <row r="24" spans="1:18">
      <c r="A24" t="str">
        <f t="shared" si="2"/>
        <v>VSG05C-23250A2.01</v>
      </c>
      <c r="B24">
        <v>1</v>
      </c>
      <c r="C24" t="s">
        <v>671</v>
      </c>
      <c r="D24" t="s">
        <v>202</v>
      </c>
      <c r="F24">
        <v>2</v>
      </c>
      <c r="G24" s="1">
        <v>45176</v>
      </c>
      <c r="H24" s="14">
        <f t="shared" si="1"/>
        <v>250</v>
      </c>
      <c r="I24" s="8">
        <v>5</v>
      </c>
      <c r="J24" s="10"/>
      <c r="N24" s="8" t="s">
        <v>672</v>
      </c>
      <c r="O24" s="8" t="s">
        <v>7</v>
      </c>
    </row>
    <row r="25" spans="1:18">
      <c r="A25" t="str">
        <f t="shared" si="2"/>
        <v>VSG05C-23255A2.01</v>
      </c>
      <c r="B25">
        <v>1</v>
      </c>
      <c r="C25" t="s">
        <v>673</v>
      </c>
      <c r="D25" t="s">
        <v>211</v>
      </c>
      <c r="F25">
        <v>2</v>
      </c>
      <c r="G25" s="1">
        <v>45181</v>
      </c>
      <c r="H25" s="14">
        <f t="shared" si="1"/>
        <v>255</v>
      </c>
      <c r="I25" s="8">
        <v>5</v>
      </c>
      <c r="J25" s="10"/>
      <c r="K25" s="12">
        <v>0.215</v>
      </c>
      <c r="N25" s="8" t="s">
        <v>672</v>
      </c>
      <c r="O25" s="8" t="s">
        <v>7</v>
      </c>
      <c r="P25" s="8" t="s">
        <v>72</v>
      </c>
    </row>
    <row r="26" spans="1:18">
      <c r="A26" t="str">
        <f t="shared" si="2"/>
        <v>VSG05C-23255A2.02</v>
      </c>
      <c r="B26">
        <v>2</v>
      </c>
      <c r="C26" t="s">
        <v>674</v>
      </c>
      <c r="D26" t="s">
        <v>211</v>
      </c>
      <c r="F26">
        <v>2</v>
      </c>
      <c r="G26" s="1">
        <v>45181</v>
      </c>
      <c r="H26" s="14">
        <f t="shared" si="1"/>
        <v>255</v>
      </c>
      <c r="I26" s="8">
        <v>5</v>
      </c>
      <c r="J26" s="10"/>
      <c r="K26" s="12">
        <v>0.26</v>
      </c>
      <c r="M26" s="12">
        <v>0.15</v>
      </c>
      <c r="N26" s="8" t="s">
        <v>672</v>
      </c>
      <c r="O26" s="8" t="s">
        <v>7</v>
      </c>
      <c r="P26" s="8" t="s">
        <v>72</v>
      </c>
    </row>
    <row r="27" spans="1:18">
      <c r="A27" t="str">
        <f t="shared" si="2"/>
        <v>VSG05C-23255A2.02</v>
      </c>
      <c r="B27">
        <v>2</v>
      </c>
      <c r="C27" t="s">
        <v>674</v>
      </c>
      <c r="D27" t="s">
        <v>211</v>
      </c>
      <c r="F27">
        <v>2</v>
      </c>
      <c r="G27" s="1">
        <v>45181</v>
      </c>
      <c r="H27" s="14">
        <f t="shared" si="1"/>
        <v>255</v>
      </c>
      <c r="I27" s="8">
        <v>5</v>
      </c>
      <c r="J27" s="10"/>
      <c r="K27" s="12">
        <v>0.26</v>
      </c>
      <c r="M27" s="12">
        <v>0.15</v>
      </c>
      <c r="N27" s="8" t="s">
        <v>672</v>
      </c>
      <c r="O27" s="8" t="s">
        <v>7</v>
      </c>
      <c r="P27" s="8" t="s">
        <v>103</v>
      </c>
    </row>
    <row r="28" spans="1:18">
      <c r="A28" t="str">
        <f>"VSG05C-23"&amp;TEXT(H28,"000")&amp;O28&amp;"3."&amp;TEXT(RIGHT(B28),"00")</f>
        <v>VSG05C-23261A3.01</v>
      </c>
      <c r="B28">
        <v>1</v>
      </c>
      <c r="C28" t="s">
        <v>675</v>
      </c>
      <c r="D28" t="s">
        <v>676</v>
      </c>
      <c r="E28" t="s">
        <v>9</v>
      </c>
      <c r="F28">
        <v>3</v>
      </c>
      <c r="G28" s="1">
        <v>45187</v>
      </c>
      <c r="H28" s="14">
        <f t="shared" si="1"/>
        <v>261</v>
      </c>
      <c r="I28" s="8">
        <v>5</v>
      </c>
      <c r="J28" s="10"/>
      <c r="K28" s="12">
        <f>AVERAGE(0.222,0.232)</f>
        <v>0.22700000000000001</v>
      </c>
      <c r="M28" s="12">
        <v>0.15</v>
      </c>
      <c r="N28" s="8" t="s">
        <v>672</v>
      </c>
      <c r="O28" s="8" t="s">
        <v>7</v>
      </c>
      <c r="P28" s="8" t="s">
        <v>669</v>
      </c>
      <c r="R28" t="s">
        <v>677</v>
      </c>
    </row>
    <row r="29" spans="1:18">
      <c r="A29" t="str">
        <f>"VSG05C-23"&amp;TEXT(H29,"000")&amp;O29&amp;"3."&amp;TEXT(RIGHT(B29),"00")</f>
        <v>VSG05C-23262A3.01</v>
      </c>
      <c r="B29">
        <v>1</v>
      </c>
      <c r="C29" t="s">
        <v>678</v>
      </c>
      <c r="D29" t="s">
        <v>676</v>
      </c>
      <c r="E29" t="s">
        <v>9</v>
      </c>
      <c r="F29">
        <v>3</v>
      </c>
      <c r="G29" s="1">
        <v>45188</v>
      </c>
      <c r="H29" s="14">
        <f t="shared" si="1"/>
        <v>262</v>
      </c>
      <c r="I29" s="8">
        <v>5</v>
      </c>
      <c r="J29" s="10"/>
      <c r="K29" s="12">
        <v>0.215</v>
      </c>
      <c r="N29" s="8" t="s">
        <v>672</v>
      </c>
      <c r="O29" s="8" t="s">
        <v>7</v>
      </c>
      <c r="P29" s="8" t="s">
        <v>669</v>
      </c>
    </row>
    <row r="30" spans="1:18">
      <c r="A30" t="str">
        <f>"VSG05C-23"&amp;TEXT(H30,"000")&amp;O30&amp;"2."&amp;TEXT(RIGHT(B30),"00")</f>
        <v>VSG05C-23263A2.01</v>
      </c>
      <c r="B30">
        <v>1</v>
      </c>
      <c r="C30" t="s">
        <v>679</v>
      </c>
      <c r="D30" t="s">
        <v>680</v>
      </c>
      <c r="F30">
        <v>2</v>
      </c>
      <c r="G30" s="1">
        <v>45189</v>
      </c>
      <c r="H30" s="14">
        <f t="shared" si="1"/>
        <v>263</v>
      </c>
      <c r="I30" s="8">
        <v>5</v>
      </c>
      <c r="J30" s="10"/>
      <c r="K30" s="12">
        <f>AVERAGE(0.249,0.232,0.288,0.275)</f>
        <v>0.26100000000000001</v>
      </c>
      <c r="N30" s="8" t="s">
        <v>672</v>
      </c>
      <c r="O30" s="8" t="s">
        <v>7</v>
      </c>
      <c r="P30" s="8" t="s">
        <v>669</v>
      </c>
    </row>
    <row r="31" spans="1:18">
      <c r="A31" t="str">
        <f>"VSG05C-23"&amp;TEXT(H31,"000")&amp;O31&amp;"2."&amp;TEXT(RIGHT(B31),"00")</f>
        <v>VSG05C-23263E2.01</v>
      </c>
      <c r="B31">
        <v>1</v>
      </c>
      <c r="C31" t="s">
        <v>681</v>
      </c>
      <c r="D31" t="s">
        <v>682</v>
      </c>
      <c r="F31">
        <v>2</v>
      </c>
      <c r="G31" s="1">
        <v>45189</v>
      </c>
      <c r="H31" s="14">
        <f t="shared" si="1"/>
        <v>263</v>
      </c>
      <c r="I31" s="8">
        <v>5</v>
      </c>
      <c r="J31" s="10"/>
      <c r="K31" s="12">
        <v>0.182</v>
      </c>
      <c r="N31" s="8" t="s">
        <v>139</v>
      </c>
      <c r="O31" s="8" t="s">
        <v>13</v>
      </c>
    </row>
    <row r="32" spans="1:18">
      <c r="A32" t="str">
        <f>"VSG05C-23"&amp;TEXT(H32,"000")&amp;O32&amp;"3."&amp;TEXT(RIGHT(B32),"00")</f>
        <v>VSG05C-23270A3.01</v>
      </c>
      <c r="B32">
        <v>1</v>
      </c>
      <c r="C32" t="s">
        <v>683</v>
      </c>
      <c r="D32" t="s">
        <v>684</v>
      </c>
      <c r="E32" t="s">
        <v>9</v>
      </c>
      <c r="F32">
        <v>3</v>
      </c>
      <c r="G32" s="1">
        <v>45196</v>
      </c>
      <c r="H32" s="14">
        <f t="shared" si="1"/>
        <v>270</v>
      </c>
      <c r="I32" s="8">
        <v>5</v>
      </c>
      <c r="J32" s="10"/>
      <c r="K32" s="12">
        <v>0.2</v>
      </c>
      <c r="M32" s="12">
        <v>0.1</v>
      </c>
      <c r="N32" s="8" t="s">
        <v>672</v>
      </c>
      <c r="O32" s="8" t="s">
        <v>7</v>
      </c>
      <c r="P32" s="8" t="s">
        <v>669</v>
      </c>
    </row>
    <row r="33" spans="1:16">
      <c r="A33" t="str">
        <f>"VSG05C-23"&amp;TEXT(H33,"000")&amp;O33&amp;"3."&amp;TEXT(RIGHT(B33),"00")</f>
        <v>VSG05C-23277A3.01</v>
      </c>
      <c r="B33">
        <v>1</v>
      </c>
      <c r="C33" t="s">
        <v>685</v>
      </c>
      <c r="D33" t="s">
        <v>684</v>
      </c>
      <c r="E33" t="s">
        <v>9</v>
      </c>
      <c r="F33">
        <v>3</v>
      </c>
      <c r="G33" s="1">
        <v>45203</v>
      </c>
      <c r="H33" s="14">
        <f t="shared" si="1"/>
        <v>277</v>
      </c>
      <c r="I33" s="8">
        <v>5</v>
      </c>
      <c r="J33" s="10"/>
      <c r="K33" s="12">
        <v>0.35</v>
      </c>
      <c r="M33" s="12">
        <v>0.18</v>
      </c>
      <c r="N33" s="8" t="s">
        <v>672</v>
      </c>
      <c r="O33" s="8" t="s">
        <v>7</v>
      </c>
      <c r="P33" s="8" t="s">
        <v>669</v>
      </c>
    </row>
    <row r="34" spans="1:16">
      <c r="A34" t="str">
        <f t="shared" ref="A34:A59" si="3">"VSG05C-23"&amp;TEXT(H34,"000")&amp;O34&amp;"2."&amp;TEXT(RIGHT(B34),"00")</f>
        <v>VSG05C-23289E2.01</v>
      </c>
      <c r="B34">
        <v>1</v>
      </c>
      <c r="C34" t="s">
        <v>686</v>
      </c>
      <c r="D34" t="s">
        <v>687</v>
      </c>
      <c r="F34">
        <v>2</v>
      </c>
      <c r="G34" s="1">
        <v>45215</v>
      </c>
      <c r="H34" s="14">
        <f t="shared" si="1"/>
        <v>289</v>
      </c>
      <c r="I34" s="8">
        <v>5</v>
      </c>
      <c r="J34" s="10"/>
      <c r="K34" s="12">
        <v>0.18</v>
      </c>
      <c r="M34" s="12">
        <v>0.15</v>
      </c>
      <c r="N34" s="8" t="s">
        <v>139</v>
      </c>
      <c r="O34" s="8" t="s">
        <v>13</v>
      </c>
      <c r="P34" s="8" t="s">
        <v>669</v>
      </c>
    </row>
    <row r="35" spans="1:16">
      <c r="A35" t="str">
        <f t="shared" si="3"/>
        <v>VSG05C-23289E2.02</v>
      </c>
      <c r="B35">
        <v>2</v>
      </c>
      <c r="C35" t="s">
        <v>686</v>
      </c>
      <c r="D35" t="s">
        <v>687</v>
      </c>
      <c r="F35">
        <v>2</v>
      </c>
      <c r="G35" s="1">
        <v>45215</v>
      </c>
      <c r="H35" s="14">
        <f t="shared" si="1"/>
        <v>289</v>
      </c>
      <c r="I35" s="8">
        <v>5</v>
      </c>
      <c r="J35" s="10"/>
      <c r="K35" s="12">
        <v>0.185</v>
      </c>
      <c r="M35" s="12">
        <v>0.21</v>
      </c>
      <c r="N35" s="8" t="s">
        <v>139</v>
      </c>
      <c r="O35" s="8" t="s">
        <v>13</v>
      </c>
      <c r="P35" s="8" t="s">
        <v>669</v>
      </c>
    </row>
    <row r="36" spans="1:16">
      <c r="A36" t="str">
        <f t="shared" si="3"/>
        <v>VSG05C-23289E2.03</v>
      </c>
      <c r="B36">
        <v>3</v>
      </c>
      <c r="C36" t="s">
        <v>686</v>
      </c>
      <c r="D36" t="s">
        <v>687</v>
      </c>
      <c r="F36">
        <v>2</v>
      </c>
      <c r="G36" s="1">
        <v>45215</v>
      </c>
      <c r="H36" s="14">
        <f t="shared" si="1"/>
        <v>289</v>
      </c>
      <c r="I36" s="8">
        <v>5</v>
      </c>
      <c r="J36" s="10"/>
      <c r="K36" s="12">
        <v>0.185</v>
      </c>
      <c r="M36" s="12">
        <v>0.12</v>
      </c>
      <c r="N36" s="8" t="s">
        <v>139</v>
      </c>
      <c r="O36" s="8" t="s">
        <v>13</v>
      </c>
      <c r="P36" s="8" t="s">
        <v>688</v>
      </c>
    </row>
    <row r="37" spans="1:16">
      <c r="A37" t="str">
        <f t="shared" si="3"/>
        <v>VSG05C-23303A2.01</v>
      </c>
      <c r="B37">
        <v>1</v>
      </c>
      <c r="C37" t="s">
        <v>689</v>
      </c>
      <c r="D37" t="s">
        <v>690</v>
      </c>
      <c r="F37">
        <v>2</v>
      </c>
      <c r="G37" s="1">
        <v>45229</v>
      </c>
      <c r="H37" s="14">
        <f t="shared" si="1"/>
        <v>303</v>
      </c>
      <c r="I37" s="8">
        <v>5</v>
      </c>
      <c r="J37" s="10"/>
      <c r="K37" s="12">
        <v>0.24</v>
      </c>
      <c r="M37" s="12">
        <v>0.23</v>
      </c>
      <c r="N37" s="8" t="s">
        <v>672</v>
      </c>
      <c r="O37" s="8" t="s">
        <v>7</v>
      </c>
      <c r="P37" s="8" t="s">
        <v>72</v>
      </c>
    </row>
    <row r="38" spans="1:16">
      <c r="A38" t="str">
        <f t="shared" si="3"/>
        <v>VSG05C-23303A2.02</v>
      </c>
      <c r="B38">
        <v>2</v>
      </c>
      <c r="C38" t="s">
        <v>689</v>
      </c>
      <c r="D38" t="s">
        <v>690</v>
      </c>
      <c r="F38">
        <v>2</v>
      </c>
      <c r="G38" s="1">
        <v>45229</v>
      </c>
      <c r="H38" s="14">
        <f t="shared" ref="H38:H69" si="4">G38-DATE(YEAR(G38),1,0)</f>
        <v>303</v>
      </c>
      <c r="I38" s="8">
        <v>5</v>
      </c>
      <c r="J38" s="10"/>
      <c r="K38" s="12">
        <v>0.15</v>
      </c>
      <c r="M38" s="12">
        <v>0.23</v>
      </c>
      <c r="N38" s="8" t="s">
        <v>672</v>
      </c>
      <c r="O38" s="8" t="s">
        <v>7</v>
      </c>
      <c r="P38" s="8" t="s">
        <v>72</v>
      </c>
    </row>
    <row r="39" spans="1:16">
      <c r="A39" t="str">
        <f t="shared" si="3"/>
        <v>VSG05C-23303A2.03</v>
      </c>
      <c r="B39">
        <v>3</v>
      </c>
      <c r="C39" t="s">
        <v>689</v>
      </c>
      <c r="D39" t="s">
        <v>690</v>
      </c>
      <c r="F39">
        <v>2</v>
      </c>
      <c r="G39" s="1">
        <v>45229</v>
      </c>
      <c r="H39" s="14">
        <f t="shared" si="4"/>
        <v>303</v>
      </c>
      <c r="I39" s="8">
        <v>5</v>
      </c>
      <c r="J39" s="10"/>
      <c r="K39" s="12">
        <v>0.26</v>
      </c>
      <c r="M39" s="12">
        <v>0.23</v>
      </c>
      <c r="N39" s="8" t="s">
        <v>672</v>
      </c>
      <c r="O39" s="8" t="s">
        <v>7</v>
      </c>
      <c r="P39" s="8" t="s">
        <v>72</v>
      </c>
    </row>
    <row r="40" spans="1:16">
      <c r="A40" s="9" t="str">
        <f t="shared" si="3"/>
        <v>VSG05C-23307E2.01</v>
      </c>
      <c r="B40">
        <v>1</v>
      </c>
      <c r="C40" t="s">
        <v>225</v>
      </c>
      <c r="D40" t="s">
        <v>216</v>
      </c>
      <c r="F40">
        <v>2</v>
      </c>
      <c r="G40" s="1">
        <v>45233</v>
      </c>
      <c r="H40" s="14">
        <f t="shared" si="4"/>
        <v>307</v>
      </c>
      <c r="I40" s="8">
        <v>5</v>
      </c>
      <c r="J40" s="10"/>
      <c r="M40" s="12">
        <v>0.15</v>
      </c>
      <c r="N40" s="8" t="s">
        <v>14</v>
      </c>
      <c r="O40" s="8" t="s">
        <v>13</v>
      </c>
    </row>
    <row r="41" spans="1:16">
      <c r="A41" t="str">
        <f t="shared" si="3"/>
        <v>VSG05C-23317A2.01</v>
      </c>
      <c r="B41">
        <v>1</v>
      </c>
      <c r="C41" t="s">
        <v>681</v>
      </c>
      <c r="D41" t="s">
        <v>691</v>
      </c>
      <c r="F41">
        <v>2</v>
      </c>
      <c r="G41" s="1">
        <v>45243</v>
      </c>
      <c r="H41" s="14">
        <f t="shared" si="4"/>
        <v>317</v>
      </c>
      <c r="I41" s="8">
        <v>5</v>
      </c>
      <c r="J41" s="10"/>
      <c r="K41" s="12">
        <v>0.18</v>
      </c>
      <c r="M41" s="12">
        <v>0.11600000000000001</v>
      </c>
      <c r="N41" s="8" t="s">
        <v>672</v>
      </c>
      <c r="O41" s="8" t="s">
        <v>7</v>
      </c>
      <c r="P41" s="8" t="s">
        <v>688</v>
      </c>
    </row>
    <row r="42" spans="1:16">
      <c r="A42" s="9" t="str">
        <f t="shared" si="3"/>
        <v>VSG05C-23331E2.01</v>
      </c>
      <c r="B42">
        <v>1</v>
      </c>
      <c r="C42" t="s">
        <v>692</v>
      </c>
      <c r="D42" t="s">
        <v>236</v>
      </c>
      <c r="F42">
        <v>2</v>
      </c>
      <c r="G42" s="1">
        <v>45257</v>
      </c>
      <c r="H42" s="14">
        <f t="shared" si="4"/>
        <v>331</v>
      </c>
      <c r="I42" s="8">
        <v>5</v>
      </c>
      <c r="J42" s="10"/>
      <c r="M42" s="12">
        <v>0.19</v>
      </c>
      <c r="N42" s="8" t="s">
        <v>139</v>
      </c>
      <c r="O42" s="8" t="s">
        <v>13</v>
      </c>
    </row>
    <row r="43" spans="1:16">
      <c r="A43" t="str">
        <f t="shared" si="3"/>
        <v>VSG05C-23333E2.01</v>
      </c>
      <c r="B43">
        <v>1</v>
      </c>
      <c r="C43" t="s">
        <v>693</v>
      </c>
      <c r="D43" t="s">
        <v>694</v>
      </c>
      <c r="F43">
        <v>2</v>
      </c>
      <c r="G43" s="1">
        <v>45259</v>
      </c>
      <c r="H43" s="14">
        <f t="shared" si="4"/>
        <v>333</v>
      </c>
      <c r="I43" s="8">
        <v>5</v>
      </c>
      <c r="J43" s="10"/>
      <c r="K43" s="12">
        <v>0.22</v>
      </c>
      <c r="M43" s="12">
        <v>0.14699999999999999</v>
      </c>
      <c r="N43" s="8" t="s">
        <v>139</v>
      </c>
      <c r="O43" s="8" t="s">
        <v>13</v>
      </c>
    </row>
    <row r="44" spans="1:16">
      <c r="A44" t="str">
        <f t="shared" si="3"/>
        <v>VSG05C-23333E2.02</v>
      </c>
      <c r="B44">
        <v>2</v>
      </c>
      <c r="C44" t="s">
        <v>695</v>
      </c>
      <c r="D44" t="s">
        <v>694</v>
      </c>
      <c r="F44">
        <v>2</v>
      </c>
      <c r="G44" s="1">
        <v>45259</v>
      </c>
      <c r="H44" s="14">
        <f t="shared" si="4"/>
        <v>333</v>
      </c>
      <c r="I44" s="8">
        <v>5</v>
      </c>
      <c r="J44" s="10"/>
      <c r="M44" s="12">
        <v>0.16</v>
      </c>
      <c r="N44" s="8" t="s">
        <v>139</v>
      </c>
      <c r="O44" s="8" t="s">
        <v>13</v>
      </c>
    </row>
    <row r="45" spans="1:16">
      <c r="A45" s="9" t="str">
        <f t="shared" si="3"/>
        <v>VSG05C-23334A2.01</v>
      </c>
      <c r="B45">
        <v>1</v>
      </c>
      <c r="C45" t="s">
        <v>696</v>
      </c>
      <c r="D45" t="s">
        <v>697</v>
      </c>
      <c r="F45">
        <v>2</v>
      </c>
      <c r="G45" s="1">
        <v>45260</v>
      </c>
      <c r="H45" s="14">
        <f t="shared" si="4"/>
        <v>334</v>
      </c>
      <c r="I45" s="8">
        <v>5</v>
      </c>
      <c r="J45" s="10"/>
      <c r="L45" s="8" t="s">
        <v>698</v>
      </c>
      <c r="N45" s="8" t="s">
        <v>672</v>
      </c>
      <c r="O45" s="8" t="s">
        <v>7</v>
      </c>
    </row>
    <row r="46" spans="1:16">
      <c r="A46" s="9" t="str">
        <f t="shared" si="3"/>
        <v>VSG05C-23334A2.02</v>
      </c>
      <c r="B46">
        <v>2</v>
      </c>
      <c r="C46" t="s">
        <v>699</v>
      </c>
      <c r="D46" t="s">
        <v>700</v>
      </c>
      <c r="F46">
        <v>2</v>
      </c>
      <c r="G46" s="1">
        <v>45260</v>
      </c>
      <c r="H46" s="14">
        <f t="shared" si="4"/>
        <v>334</v>
      </c>
      <c r="I46" s="8">
        <v>5</v>
      </c>
      <c r="J46" s="10"/>
      <c r="L46" s="8" t="s">
        <v>698</v>
      </c>
      <c r="N46" s="8" t="s">
        <v>672</v>
      </c>
      <c r="O46" s="8" t="s">
        <v>7</v>
      </c>
    </row>
    <row r="47" spans="1:16">
      <c r="A47" s="9" t="str">
        <f t="shared" si="3"/>
        <v>VSG05C-23334A2.03</v>
      </c>
      <c r="B47">
        <v>3</v>
      </c>
      <c r="C47" t="s">
        <v>701</v>
      </c>
      <c r="D47" t="s">
        <v>697</v>
      </c>
      <c r="F47">
        <v>2</v>
      </c>
      <c r="G47" s="1">
        <v>45260</v>
      </c>
      <c r="H47" s="14">
        <f t="shared" si="4"/>
        <v>334</v>
      </c>
      <c r="I47" s="8">
        <v>5</v>
      </c>
      <c r="J47" s="10"/>
      <c r="M47" s="12">
        <v>0.09</v>
      </c>
      <c r="N47" s="8" t="s">
        <v>8</v>
      </c>
      <c r="O47" s="8" t="s">
        <v>7</v>
      </c>
    </row>
    <row r="48" spans="1:16">
      <c r="A48" s="9" t="str">
        <f t="shared" si="3"/>
        <v>VSG05C-23334A2.04</v>
      </c>
      <c r="B48">
        <v>4</v>
      </c>
      <c r="C48" t="s">
        <v>701</v>
      </c>
      <c r="D48" t="s">
        <v>697</v>
      </c>
      <c r="F48">
        <v>2</v>
      </c>
      <c r="G48" s="1">
        <v>45260</v>
      </c>
      <c r="H48" s="14">
        <f t="shared" si="4"/>
        <v>334</v>
      </c>
      <c r="I48" s="8">
        <v>5</v>
      </c>
      <c r="J48" s="10"/>
      <c r="M48" s="12">
        <v>0.17</v>
      </c>
      <c r="N48" s="8" t="s">
        <v>672</v>
      </c>
      <c r="O48" s="8" t="s">
        <v>7</v>
      </c>
    </row>
    <row r="49" spans="1:18">
      <c r="A49" s="9" t="str">
        <f t="shared" si="3"/>
        <v>VSG05C-23335A2.01</v>
      </c>
      <c r="B49">
        <v>1</v>
      </c>
      <c r="C49" t="s">
        <v>702</v>
      </c>
      <c r="D49" t="s">
        <v>700</v>
      </c>
      <c r="F49">
        <v>2</v>
      </c>
      <c r="G49" s="1">
        <v>45261</v>
      </c>
      <c r="H49" s="14">
        <f t="shared" si="4"/>
        <v>335</v>
      </c>
      <c r="I49" s="8">
        <v>5</v>
      </c>
      <c r="J49" s="10"/>
      <c r="L49" s="8" t="s">
        <v>698</v>
      </c>
      <c r="N49" s="8" t="s">
        <v>672</v>
      </c>
      <c r="O49" s="8" t="s">
        <v>7</v>
      </c>
    </row>
    <row r="50" spans="1:18">
      <c r="A50" s="9" t="str">
        <f t="shared" si="3"/>
        <v>VSG05C-23338E2.01</v>
      </c>
      <c r="B50">
        <v>1</v>
      </c>
      <c r="C50" t="s">
        <v>703</v>
      </c>
      <c r="D50" t="s">
        <v>704</v>
      </c>
      <c r="F50">
        <v>2</v>
      </c>
      <c r="G50" s="1">
        <v>45264</v>
      </c>
      <c r="H50" s="14">
        <f t="shared" si="4"/>
        <v>338</v>
      </c>
      <c r="I50" s="8">
        <v>5</v>
      </c>
      <c r="J50" s="10"/>
      <c r="L50" s="8" t="s">
        <v>698</v>
      </c>
      <c r="N50" s="8" t="s">
        <v>139</v>
      </c>
      <c r="O50" s="8" t="s">
        <v>13</v>
      </c>
    </row>
    <row r="51" spans="1:18">
      <c r="A51" s="9" t="str">
        <f t="shared" si="3"/>
        <v>VSG05C-23338E2.02</v>
      </c>
      <c r="B51">
        <v>2</v>
      </c>
      <c r="C51" t="s">
        <v>705</v>
      </c>
      <c r="D51" t="s">
        <v>706</v>
      </c>
      <c r="F51">
        <v>2</v>
      </c>
      <c r="G51" s="1">
        <v>45264</v>
      </c>
      <c r="H51" s="14">
        <f t="shared" si="4"/>
        <v>338</v>
      </c>
      <c r="I51" s="8">
        <v>5</v>
      </c>
      <c r="J51" s="10"/>
      <c r="L51" s="8" t="s">
        <v>698</v>
      </c>
      <c r="N51" s="8" t="s">
        <v>139</v>
      </c>
      <c r="O51" s="8" t="s">
        <v>13</v>
      </c>
    </row>
    <row r="52" spans="1:18">
      <c r="A52" s="9" t="str">
        <f t="shared" si="3"/>
        <v>VSG05C-23338E2.03</v>
      </c>
      <c r="B52">
        <v>3</v>
      </c>
      <c r="C52" t="s">
        <v>705</v>
      </c>
      <c r="D52" t="s">
        <v>707</v>
      </c>
      <c r="F52">
        <v>2</v>
      </c>
      <c r="G52" s="1">
        <v>45264</v>
      </c>
      <c r="H52" s="14">
        <f t="shared" si="4"/>
        <v>338</v>
      </c>
      <c r="I52" s="8">
        <v>5</v>
      </c>
      <c r="J52" s="10"/>
      <c r="L52" s="8" t="s">
        <v>698</v>
      </c>
      <c r="N52" s="8" t="s">
        <v>139</v>
      </c>
      <c r="O52" s="8" t="s">
        <v>13</v>
      </c>
    </row>
    <row r="53" spans="1:18">
      <c r="A53" s="9" t="str">
        <f t="shared" si="3"/>
        <v>VSG05C-23338E2.04</v>
      </c>
      <c r="B53">
        <v>4</v>
      </c>
      <c r="C53" t="s">
        <v>708</v>
      </c>
      <c r="D53" t="s">
        <v>704</v>
      </c>
      <c r="F53">
        <v>2</v>
      </c>
      <c r="G53" s="1">
        <v>45264</v>
      </c>
      <c r="H53" s="14">
        <f t="shared" si="4"/>
        <v>338</v>
      </c>
      <c r="I53" s="8">
        <v>5</v>
      </c>
      <c r="J53" s="10"/>
      <c r="M53" s="12">
        <v>0.09</v>
      </c>
      <c r="N53" s="8" t="s">
        <v>139</v>
      </c>
      <c r="O53" s="8" t="s">
        <v>13</v>
      </c>
    </row>
    <row r="54" spans="1:18">
      <c r="A54" s="9" t="str">
        <f t="shared" si="3"/>
        <v>VSG05C-23338E2.05</v>
      </c>
      <c r="B54">
        <v>5</v>
      </c>
      <c r="C54" t="s">
        <v>708</v>
      </c>
      <c r="D54" t="s">
        <v>704</v>
      </c>
      <c r="F54">
        <v>2</v>
      </c>
      <c r="G54" s="1">
        <v>45264</v>
      </c>
      <c r="H54" s="14">
        <f t="shared" si="4"/>
        <v>338</v>
      </c>
      <c r="I54" s="8">
        <v>5</v>
      </c>
      <c r="J54" s="10"/>
      <c r="M54" s="12">
        <v>0.2</v>
      </c>
      <c r="N54" s="8" t="s">
        <v>139</v>
      </c>
      <c r="O54" s="8" t="s">
        <v>13</v>
      </c>
    </row>
    <row r="55" spans="1:18">
      <c r="A55" s="9" t="str">
        <f t="shared" si="3"/>
        <v>VSG05C-23339A2.01</v>
      </c>
      <c r="B55">
        <v>1</v>
      </c>
      <c r="C55" t="s">
        <v>709</v>
      </c>
      <c r="D55" t="s">
        <v>710</v>
      </c>
      <c r="F55">
        <v>2</v>
      </c>
      <c r="G55" s="1">
        <v>45265</v>
      </c>
      <c r="H55" s="14">
        <f t="shared" si="4"/>
        <v>339</v>
      </c>
      <c r="I55" s="8">
        <v>5</v>
      </c>
      <c r="J55" s="10"/>
      <c r="L55" s="8" t="s">
        <v>698</v>
      </c>
      <c r="N55" s="8" t="s">
        <v>672</v>
      </c>
      <c r="O55" s="8" t="s">
        <v>7</v>
      </c>
    </row>
    <row r="56" spans="1:18">
      <c r="A56" s="9" t="str">
        <f t="shared" si="3"/>
        <v>VSG05C-23339A2.02</v>
      </c>
      <c r="B56">
        <v>2</v>
      </c>
      <c r="C56" t="s">
        <v>711</v>
      </c>
      <c r="D56" t="s">
        <v>710</v>
      </c>
      <c r="F56">
        <v>2</v>
      </c>
      <c r="G56" s="1">
        <v>45265</v>
      </c>
      <c r="H56" s="14">
        <f t="shared" si="4"/>
        <v>339</v>
      </c>
      <c r="I56" s="8">
        <v>5</v>
      </c>
      <c r="J56" s="10"/>
      <c r="M56" s="12">
        <v>0.19</v>
      </c>
      <c r="N56" s="8" t="s">
        <v>672</v>
      </c>
      <c r="O56" s="8" t="s">
        <v>7</v>
      </c>
      <c r="R56" t="s">
        <v>712</v>
      </c>
    </row>
    <row r="57" spans="1:18">
      <c r="A57" s="9" t="str">
        <f t="shared" si="3"/>
        <v>VSG05C-23339A2.03</v>
      </c>
      <c r="B57">
        <v>3</v>
      </c>
      <c r="C57" t="s">
        <v>711</v>
      </c>
      <c r="D57" t="s">
        <v>710</v>
      </c>
      <c r="F57">
        <v>2</v>
      </c>
      <c r="G57" s="1">
        <v>45265</v>
      </c>
      <c r="H57" s="14">
        <f t="shared" si="4"/>
        <v>339</v>
      </c>
      <c r="I57" s="8">
        <v>5</v>
      </c>
      <c r="J57" s="10"/>
      <c r="M57" s="12">
        <v>0.08</v>
      </c>
      <c r="N57" s="8" t="s">
        <v>672</v>
      </c>
      <c r="O57" s="8" t="s">
        <v>7</v>
      </c>
    </row>
    <row r="58" spans="1:18">
      <c r="A58" s="9" t="str">
        <f t="shared" si="3"/>
        <v>VSG05C-23339A2.04</v>
      </c>
      <c r="B58">
        <v>4</v>
      </c>
      <c r="C58" t="s">
        <v>713</v>
      </c>
      <c r="D58" t="s">
        <v>707</v>
      </c>
      <c r="F58">
        <v>2</v>
      </c>
      <c r="G58" s="1">
        <v>45265</v>
      </c>
      <c r="H58" s="14">
        <f t="shared" si="4"/>
        <v>339</v>
      </c>
      <c r="I58" s="8">
        <v>5</v>
      </c>
      <c r="J58" s="10"/>
      <c r="K58" s="12">
        <v>0.2</v>
      </c>
      <c r="N58" s="8" t="s">
        <v>672</v>
      </c>
      <c r="O58" s="8" t="s">
        <v>7</v>
      </c>
    </row>
    <row r="59" spans="1:18">
      <c r="A59" s="9" t="str">
        <f t="shared" si="3"/>
        <v>VSG05C-23353E2.01</v>
      </c>
      <c r="B59">
        <v>1</v>
      </c>
      <c r="C59" t="s">
        <v>714</v>
      </c>
      <c r="D59" t="s">
        <v>715</v>
      </c>
      <c r="F59">
        <v>2</v>
      </c>
      <c r="G59" s="1">
        <v>45279</v>
      </c>
      <c r="H59" s="14">
        <f t="shared" si="4"/>
        <v>353</v>
      </c>
      <c r="I59" s="8">
        <v>5</v>
      </c>
      <c r="J59" s="10"/>
      <c r="K59" s="12">
        <v>0.222</v>
      </c>
      <c r="L59" s="8" t="s">
        <v>698</v>
      </c>
      <c r="N59" s="8" t="s">
        <v>139</v>
      </c>
      <c r="O59" s="8" t="s">
        <v>13</v>
      </c>
    </row>
    <row r="60" spans="1:18">
      <c r="A60" s="9" t="str">
        <f>"VSG05C-"&amp;TEXT(G60,"yy")&amp;TEXT(H60,"000")&amp;O60&amp;"5."&amp;TEXT(RIGHT(B60),"00")</f>
        <v>VSG05C-24016E5.01</v>
      </c>
      <c r="B60">
        <v>1</v>
      </c>
      <c r="C60" t="s">
        <v>716</v>
      </c>
      <c r="D60" t="s">
        <v>717</v>
      </c>
      <c r="E60" t="s">
        <v>15</v>
      </c>
      <c r="F60">
        <v>5</v>
      </c>
      <c r="G60" s="1">
        <v>45307</v>
      </c>
      <c r="H60" s="14">
        <f t="shared" si="4"/>
        <v>16</v>
      </c>
      <c r="I60" s="8">
        <v>5</v>
      </c>
      <c r="J60" s="10"/>
      <c r="K60" s="12">
        <v>0.2</v>
      </c>
      <c r="N60" s="8" t="s">
        <v>14</v>
      </c>
      <c r="O60" s="8" t="s">
        <v>13</v>
      </c>
    </row>
    <row r="61" spans="1:18">
      <c r="A61" s="9" t="str">
        <f>"VSG05C-"&amp;TEXT(G61,"yy")&amp;TEXT(H61,"000")&amp;O61&amp;"4."&amp;TEXT(RIGHT(B61),"00")</f>
        <v>VSG05C-24017E4.01</v>
      </c>
      <c r="B61">
        <v>1</v>
      </c>
      <c r="C61" t="s">
        <v>718</v>
      </c>
      <c r="D61" t="s">
        <v>717</v>
      </c>
      <c r="E61" t="s">
        <v>12</v>
      </c>
      <c r="F61">
        <v>4</v>
      </c>
      <c r="G61" s="1">
        <v>45308</v>
      </c>
      <c r="H61" s="14">
        <f t="shared" si="4"/>
        <v>17</v>
      </c>
      <c r="I61" s="8">
        <v>5</v>
      </c>
      <c r="J61" s="10"/>
      <c r="K61" s="12">
        <v>0.2</v>
      </c>
      <c r="N61" s="8" t="s">
        <v>14</v>
      </c>
      <c r="O61" s="8" t="s">
        <v>13</v>
      </c>
    </row>
    <row r="62" spans="1:18">
      <c r="A62" s="9" t="str">
        <f t="shared" ref="A62:A85" si="5">"VSG05C-"&amp;TEXT(G62,"yy")&amp;TEXT(H62,"000")&amp;O62&amp;"2."&amp;TEXT(RIGHT(B62),"00")</f>
        <v>VSG05C-24023E2.01</v>
      </c>
      <c r="B62">
        <v>1</v>
      </c>
      <c r="C62" t="s">
        <v>719</v>
      </c>
      <c r="D62" t="s">
        <v>720</v>
      </c>
      <c r="F62">
        <v>2</v>
      </c>
      <c r="G62" s="1">
        <v>45314</v>
      </c>
      <c r="H62" s="14">
        <f t="shared" si="4"/>
        <v>23</v>
      </c>
      <c r="I62" s="8">
        <v>5</v>
      </c>
      <c r="J62" s="10"/>
      <c r="K62" s="12">
        <v>0.16</v>
      </c>
      <c r="L62" s="8" t="s">
        <v>698</v>
      </c>
      <c r="N62" s="8" t="s">
        <v>14</v>
      </c>
      <c r="O62" s="8" t="s">
        <v>13</v>
      </c>
    </row>
    <row r="63" spans="1:18">
      <c r="A63" s="9" t="str">
        <f t="shared" si="5"/>
        <v>VSG05C-24026B2.01</v>
      </c>
      <c r="B63">
        <v>1</v>
      </c>
      <c r="C63" t="s">
        <v>721</v>
      </c>
      <c r="D63" t="s">
        <v>682</v>
      </c>
      <c r="F63">
        <v>2</v>
      </c>
      <c r="G63" s="1">
        <v>45317</v>
      </c>
      <c r="H63" s="14">
        <f t="shared" si="4"/>
        <v>26</v>
      </c>
      <c r="I63" s="8">
        <v>5</v>
      </c>
      <c r="J63" s="10"/>
      <c r="K63" s="12">
        <v>0.1837692307692308</v>
      </c>
      <c r="M63" s="12">
        <v>0.16</v>
      </c>
      <c r="N63" s="8" t="s">
        <v>11</v>
      </c>
      <c r="O63" s="8" t="s">
        <v>10</v>
      </c>
    </row>
    <row r="64" spans="1:18">
      <c r="A64" s="9" t="str">
        <f t="shared" si="5"/>
        <v>VSG05C-24026B2.02</v>
      </c>
      <c r="B64">
        <v>2</v>
      </c>
      <c r="C64" t="s">
        <v>722</v>
      </c>
      <c r="D64" t="s">
        <v>682</v>
      </c>
      <c r="F64">
        <v>2</v>
      </c>
      <c r="G64" s="1">
        <v>45317</v>
      </c>
      <c r="H64" s="14">
        <f t="shared" si="4"/>
        <v>26</v>
      </c>
      <c r="I64" s="8">
        <v>5</v>
      </c>
      <c r="J64" s="10"/>
      <c r="K64" s="12">
        <v>0.18566666666666667</v>
      </c>
      <c r="M64" s="12">
        <v>0.13</v>
      </c>
      <c r="N64" s="8" t="s">
        <v>11</v>
      </c>
      <c r="O64" s="8" t="s">
        <v>10</v>
      </c>
    </row>
    <row r="65" spans="1:18">
      <c r="A65" s="9" t="str">
        <f t="shared" si="5"/>
        <v>VSG05C-24026B2.03</v>
      </c>
      <c r="B65">
        <v>3</v>
      </c>
      <c r="C65" t="s">
        <v>723</v>
      </c>
      <c r="D65" t="s">
        <v>682</v>
      </c>
      <c r="F65">
        <v>2</v>
      </c>
      <c r="G65" s="1">
        <v>45317</v>
      </c>
      <c r="H65" s="14">
        <f t="shared" si="4"/>
        <v>26</v>
      </c>
      <c r="I65" s="8">
        <v>5</v>
      </c>
      <c r="J65" s="10"/>
      <c r="K65" s="12">
        <v>0.16940000000000002</v>
      </c>
      <c r="M65" s="12">
        <v>0.16800000000000001</v>
      </c>
      <c r="N65" s="8" t="s">
        <v>11</v>
      </c>
      <c r="O65" s="8" t="s">
        <v>10</v>
      </c>
    </row>
    <row r="66" spans="1:18">
      <c r="A66" s="9" t="str">
        <f t="shared" si="5"/>
        <v>VSG05C-24026B2.04</v>
      </c>
      <c r="B66">
        <v>4</v>
      </c>
      <c r="C66" t="s">
        <v>724</v>
      </c>
      <c r="D66" t="s">
        <v>682</v>
      </c>
      <c r="F66">
        <v>2</v>
      </c>
      <c r="G66" s="1">
        <v>45317</v>
      </c>
      <c r="H66" s="14">
        <f t="shared" si="4"/>
        <v>26</v>
      </c>
      <c r="I66" s="8">
        <v>5</v>
      </c>
      <c r="J66" s="10"/>
      <c r="K66" s="12">
        <v>0.18280000000000002</v>
      </c>
      <c r="M66" s="12">
        <v>0.12</v>
      </c>
      <c r="N66" s="8" t="s">
        <v>11</v>
      </c>
      <c r="O66" s="8" t="s">
        <v>10</v>
      </c>
    </row>
    <row r="67" spans="1:18">
      <c r="A67" s="9" t="str">
        <f t="shared" si="5"/>
        <v>VSG05C-24031E2.01</v>
      </c>
      <c r="B67">
        <v>1</v>
      </c>
      <c r="C67" t="s">
        <v>725</v>
      </c>
      <c r="D67" t="s">
        <v>256</v>
      </c>
      <c r="F67">
        <v>2</v>
      </c>
      <c r="G67" s="1">
        <v>45322</v>
      </c>
      <c r="H67" s="14">
        <f t="shared" si="4"/>
        <v>31</v>
      </c>
      <c r="I67" s="8">
        <v>5</v>
      </c>
      <c r="J67" s="10"/>
      <c r="K67" s="12">
        <v>0.18</v>
      </c>
      <c r="L67" s="8" t="s">
        <v>698</v>
      </c>
      <c r="N67" s="8" t="s">
        <v>14</v>
      </c>
      <c r="O67" s="8" t="s">
        <v>13</v>
      </c>
    </row>
    <row r="68" spans="1:18">
      <c r="A68" s="9" t="str">
        <f t="shared" si="5"/>
        <v>VSG05C-24031E2.02</v>
      </c>
      <c r="B68">
        <v>2</v>
      </c>
      <c r="C68" t="s">
        <v>726</v>
      </c>
      <c r="D68" t="s">
        <v>256</v>
      </c>
      <c r="F68">
        <v>2</v>
      </c>
      <c r="G68" s="1">
        <v>45322</v>
      </c>
      <c r="H68" s="14">
        <f t="shared" si="4"/>
        <v>31</v>
      </c>
      <c r="I68" s="8">
        <v>5</v>
      </c>
      <c r="J68" s="10"/>
      <c r="M68" s="12">
        <v>0.128</v>
      </c>
      <c r="N68" s="8" t="s">
        <v>14</v>
      </c>
      <c r="O68" s="8" t="s">
        <v>13</v>
      </c>
    </row>
    <row r="69" spans="1:18">
      <c r="A69" s="9" t="str">
        <f t="shared" si="5"/>
        <v>VSG05C-24031E2.03</v>
      </c>
      <c r="B69">
        <v>3</v>
      </c>
      <c r="C69" t="s">
        <v>727</v>
      </c>
      <c r="D69" t="s">
        <v>256</v>
      </c>
      <c r="F69">
        <v>2</v>
      </c>
      <c r="G69" s="1">
        <v>45322</v>
      </c>
      <c r="H69" s="14">
        <f t="shared" si="4"/>
        <v>31</v>
      </c>
      <c r="I69" s="8">
        <v>5</v>
      </c>
      <c r="J69" s="10"/>
      <c r="M69" s="12">
        <v>0.158</v>
      </c>
      <c r="N69" s="8" t="s">
        <v>14</v>
      </c>
      <c r="O69" s="8" t="s">
        <v>13</v>
      </c>
    </row>
    <row r="70" spans="1:18">
      <c r="A70" s="9" t="str">
        <f t="shared" si="5"/>
        <v>VSG05C-24031E2.04</v>
      </c>
      <c r="B70">
        <v>4</v>
      </c>
      <c r="C70" t="s">
        <v>728</v>
      </c>
      <c r="D70" t="s">
        <v>256</v>
      </c>
      <c r="F70">
        <v>2</v>
      </c>
      <c r="G70" s="1">
        <v>45322</v>
      </c>
      <c r="H70" s="14">
        <f t="shared" ref="H70:H85" si="6">G70-DATE(YEAR(G70),1,0)</f>
        <v>31</v>
      </c>
      <c r="I70" s="8">
        <v>5</v>
      </c>
      <c r="J70" s="10"/>
      <c r="L70" s="8" t="s">
        <v>698</v>
      </c>
      <c r="N70" s="8" t="s">
        <v>139</v>
      </c>
      <c r="O70" s="8" t="s">
        <v>13</v>
      </c>
    </row>
    <row r="71" spans="1:18">
      <c r="A71" s="9" t="str">
        <f t="shared" si="5"/>
        <v>VSG05C-24036E2.01</v>
      </c>
      <c r="B71">
        <v>1</v>
      </c>
      <c r="C71" t="s">
        <v>729</v>
      </c>
      <c r="D71" t="s">
        <v>730</v>
      </c>
      <c r="F71">
        <v>2</v>
      </c>
      <c r="G71" s="1">
        <v>45327</v>
      </c>
      <c r="H71" s="14">
        <f t="shared" si="6"/>
        <v>36</v>
      </c>
      <c r="I71" s="8">
        <v>5</v>
      </c>
      <c r="J71" s="10"/>
      <c r="K71" s="12">
        <v>0.20200000000000001</v>
      </c>
      <c r="M71" s="12">
        <v>0.21</v>
      </c>
      <c r="N71" s="8" t="s">
        <v>14</v>
      </c>
      <c r="O71" s="8" t="s">
        <v>13</v>
      </c>
    </row>
    <row r="72" spans="1:18">
      <c r="A72" s="9" t="str">
        <f t="shared" si="5"/>
        <v>VSG05C-24036E2.02</v>
      </c>
      <c r="B72">
        <v>2</v>
      </c>
      <c r="C72" t="s">
        <v>731</v>
      </c>
      <c r="D72" t="s">
        <v>732</v>
      </c>
      <c r="F72">
        <v>2</v>
      </c>
      <c r="G72" s="1">
        <v>45327</v>
      </c>
      <c r="H72" s="14">
        <f t="shared" si="6"/>
        <v>36</v>
      </c>
      <c r="I72" s="8">
        <v>5</v>
      </c>
      <c r="J72" s="10"/>
      <c r="L72" s="8" t="s">
        <v>241</v>
      </c>
      <c r="N72" s="8" t="s">
        <v>14</v>
      </c>
      <c r="O72" s="8" t="s">
        <v>13</v>
      </c>
    </row>
    <row r="73" spans="1:18">
      <c r="A73" s="9" t="str">
        <f t="shared" si="5"/>
        <v>VSG05C-24036E2.03</v>
      </c>
      <c r="B73">
        <v>3</v>
      </c>
      <c r="C73" t="s">
        <v>733</v>
      </c>
      <c r="D73" t="s">
        <v>732</v>
      </c>
      <c r="F73">
        <v>2</v>
      </c>
      <c r="G73" s="1">
        <v>45327</v>
      </c>
      <c r="H73" s="14">
        <f t="shared" si="6"/>
        <v>36</v>
      </c>
      <c r="I73" s="8">
        <v>5</v>
      </c>
      <c r="J73" s="10"/>
      <c r="L73" s="8" t="s">
        <v>241</v>
      </c>
      <c r="N73" s="8" t="s">
        <v>14</v>
      </c>
      <c r="O73" s="8" t="s">
        <v>13</v>
      </c>
    </row>
    <row r="74" spans="1:18">
      <c r="A74" s="9" t="str">
        <f t="shared" si="5"/>
        <v>VSG05C-24045E2.01</v>
      </c>
      <c r="B74">
        <v>1</v>
      </c>
      <c r="C74" t="s">
        <v>734</v>
      </c>
      <c r="D74" t="s">
        <v>735</v>
      </c>
      <c r="F74">
        <v>2</v>
      </c>
      <c r="G74" s="1">
        <v>45336</v>
      </c>
      <c r="H74" s="14">
        <f t="shared" si="6"/>
        <v>45</v>
      </c>
      <c r="I74" s="8">
        <v>5</v>
      </c>
      <c r="J74" s="10"/>
      <c r="K74" s="12">
        <v>0.17</v>
      </c>
      <c r="L74" s="8" t="s">
        <v>241</v>
      </c>
      <c r="N74" s="8" t="s">
        <v>14</v>
      </c>
      <c r="O74" s="8" t="s">
        <v>13</v>
      </c>
      <c r="R74" t="s">
        <v>736</v>
      </c>
    </row>
    <row r="75" spans="1:18">
      <c r="A75" s="9" t="str">
        <f t="shared" si="5"/>
        <v>VSG05C-24045E2.02</v>
      </c>
      <c r="B75">
        <v>2</v>
      </c>
      <c r="C75" t="s">
        <v>737</v>
      </c>
      <c r="D75" t="s">
        <v>735</v>
      </c>
      <c r="F75">
        <v>2</v>
      </c>
      <c r="G75" s="1">
        <v>45336</v>
      </c>
      <c r="H75" s="14">
        <f t="shared" si="6"/>
        <v>45</v>
      </c>
      <c r="I75" s="8">
        <v>5</v>
      </c>
      <c r="J75" s="10"/>
      <c r="K75" s="12">
        <v>0.152</v>
      </c>
      <c r="L75" s="8" t="s">
        <v>241</v>
      </c>
      <c r="N75" s="8" t="s">
        <v>14</v>
      </c>
      <c r="O75" s="8" t="s">
        <v>13</v>
      </c>
      <c r="R75" t="s">
        <v>736</v>
      </c>
    </row>
    <row r="76" spans="1:18">
      <c r="A76" s="9" t="str">
        <f t="shared" si="5"/>
        <v>VSG05C-24045E2.03</v>
      </c>
      <c r="B76">
        <v>3</v>
      </c>
      <c r="C76" t="s">
        <v>738</v>
      </c>
      <c r="D76" t="s">
        <v>735</v>
      </c>
      <c r="F76">
        <v>2</v>
      </c>
      <c r="G76" s="1">
        <v>45336</v>
      </c>
      <c r="H76" s="14">
        <f t="shared" si="6"/>
        <v>45</v>
      </c>
      <c r="I76" s="8">
        <v>5</v>
      </c>
      <c r="J76" s="10"/>
      <c r="M76" s="12">
        <v>0.39</v>
      </c>
      <c r="N76" s="8" t="s">
        <v>14</v>
      </c>
      <c r="O76" s="8" t="s">
        <v>13</v>
      </c>
    </row>
    <row r="77" spans="1:18">
      <c r="A77" s="9" t="str">
        <f t="shared" si="5"/>
        <v>VSG05C-24045E2.04</v>
      </c>
      <c r="B77">
        <v>4</v>
      </c>
      <c r="C77" t="s">
        <v>739</v>
      </c>
      <c r="D77" t="s">
        <v>735</v>
      </c>
      <c r="F77">
        <v>2</v>
      </c>
      <c r="G77" s="1">
        <v>45336</v>
      </c>
      <c r="H77" s="14">
        <f t="shared" si="6"/>
        <v>45</v>
      </c>
      <c r="I77" s="8">
        <v>5</v>
      </c>
      <c r="J77" s="10"/>
      <c r="M77" s="12">
        <v>0.24</v>
      </c>
      <c r="N77" s="8" t="s">
        <v>14</v>
      </c>
      <c r="O77" s="8" t="s">
        <v>13</v>
      </c>
    </row>
    <row r="78" spans="1:18">
      <c r="A78" s="9" t="str">
        <f t="shared" si="5"/>
        <v>VSG05C-24052E2.01</v>
      </c>
      <c r="B78">
        <v>1</v>
      </c>
      <c r="C78" t="s">
        <v>740</v>
      </c>
      <c r="D78" t="s">
        <v>256</v>
      </c>
      <c r="F78">
        <v>2</v>
      </c>
      <c r="G78" s="1">
        <v>45343</v>
      </c>
      <c r="H78" s="14">
        <f t="shared" si="6"/>
        <v>52</v>
      </c>
      <c r="I78" s="8">
        <v>5</v>
      </c>
      <c r="J78" s="10"/>
      <c r="K78" s="12">
        <v>0.129</v>
      </c>
      <c r="L78" s="8" t="s">
        <v>241</v>
      </c>
      <c r="N78" s="8" t="s">
        <v>14</v>
      </c>
      <c r="O78" s="8" t="s">
        <v>13</v>
      </c>
    </row>
    <row r="79" spans="1:18">
      <c r="A79" s="9" t="str">
        <f t="shared" si="5"/>
        <v>VSG05C-24054B2.01</v>
      </c>
      <c r="B79">
        <v>1</v>
      </c>
      <c r="C79" t="s">
        <v>259</v>
      </c>
      <c r="D79" t="s">
        <v>682</v>
      </c>
      <c r="F79">
        <v>2</v>
      </c>
      <c r="G79" s="1">
        <v>45345</v>
      </c>
      <c r="H79" s="14">
        <f t="shared" si="6"/>
        <v>54</v>
      </c>
      <c r="I79" s="8">
        <v>5</v>
      </c>
      <c r="J79" s="10"/>
      <c r="K79" s="12">
        <v>0.18280000000000002</v>
      </c>
      <c r="M79" s="12">
        <v>0.12</v>
      </c>
      <c r="N79" s="8" t="s">
        <v>11</v>
      </c>
      <c r="O79" s="8" t="s">
        <v>10</v>
      </c>
      <c r="R79" t="s">
        <v>741</v>
      </c>
    </row>
    <row r="80" spans="1:18">
      <c r="A80" s="9" t="str">
        <f t="shared" si="5"/>
        <v>VSG05C-24071F2.02</v>
      </c>
      <c r="B80">
        <v>2</v>
      </c>
      <c r="C80" t="s">
        <v>291</v>
      </c>
      <c r="D80" t="s">
        <v>742</v>
      </c>
      <c r="F80">
        <v>2</v>
      </c>
      <c r="G80" s="1">
        <v>45362</v>
      </c>
      <c r="H80" s="14">
        <f t="shared" si="6"/>
        <v>71</v>
      </c>
      <c r="I80" s="8">
        <v>5</v>
      </c>
      <c r="J80" s="10"/>
      <c r="K80" s="12">
        <v>0.2</v>
      </c>
      <c r="M80" s="12">
        <v>0.218</v>
      </c>
      <c r="N80" s="8" t="s">
        <v>17</v>
      </c>
      <c r="O80" s="8" t="s">
        <v>16</v>
      </c>
      <c r="R80" t="s">
        <v>743</v>
      </c>
    </row>
    <row r="81" spans="1:19">
      <c r="A81" s="9" t="str">
        <f t="shared" si="5"/>
        <v>VSG05C-24072F2.01</v>
      </c>
      <c r="B81">
        <v>1</v>
      </c>
      <c r="C81" t="s">
        <v>744</v>
      </c>
      <c r="D81" t="s">
        <v>745</v>
      </c>
      <c r="F81">
        <v>2</v>
      </c>
      <c r="G81" s="1">
        <v>45363</v>
      </c>
      <c r="H81" s="14">
        <f t="shared" si="6"/>
        <v>72</v>
      </c>
      <c r="I81" s="8">
        <v>5</v>
      </c>
      <c r="J81" s="10"/>
      <c r="K81" s="12">
        <v>0.2</v>
      </c>
      <c r="M81" s="12">
        <v>0.21540000000000001</v>
      </c>
      <c r="N81" s="8" t="s">
        <v>17</v>
      </c>
      <c r="O81" s="8" t="s">
        <v>16</v>
      </c>
      <c r="R81" t="s">
        <v>746</v>
      </c>
    </row>
    <row r="82" spans="1:19">
      <c r="A82" s="9" t="str">
        <f t="shared" si="5"/>
        <v>VSG05C-24072F2.01</v>
      </c>
      <c r="B82">
        <v>1</v>
      </c>
      <c r="C82" t="s">
        <v>747</v>
      </c>
      <c r="D82" t="s">
        <v>745</v>
      </c>
      <c r="F82">
        <v>2</v>
      </c>
      <c r="G82" s="1">
        <v>45363</v>
      </c>
      <c r="H82" s="14">
        <f t="shared" si="6"/>
        <v>72</v>
      </c>
      <c r="I82" s="8">
        <v>5</v>
      </c>
      <c r="J82" s="10"/>
      <c r="K82" s="12">
        <v>0.2</v>
      </c>
      <c r="M82" s="12">
        <v>0.21540000000000001</v>
      </c>
      <c r="N82" s="8" t="s">
        <v>17</v>
      </c>
      <c r="O82" s="8" t="s">
        <v>16</v>
      </c>
      <c r="R82" t="s">
        <v>746</v>
      </c>
    </row>
    <row r="83" spans="1:19">
      <c r="A83" s="9" t="str">
        <f t="shared" si="5"/>
        <v>VSG05C-24073F2.02</v>
      </c>
      <c r="B83">
        <v>2</v>
      </c>
      <c r="C83" t="s">
        <v>748</v>
      </c>
      <c r="D83" t="s">
        <v>749</v>
      </c>
      <c r="F83">
        <v>2</v>
      </c>
      <c r="G83" s="1">
        <v>45364</v>
      </c>
      <c r="H83" s="14">
        <f t="shared" si="6"/>
        <v>73</v>
      </c>
      <c r="I83" s="8">
        <v>5</v>
      </c>
      <c r="J83" s="10"/>
      <c r="K83" s="12">
        <v>0.38</v>
      </c>
      <c r="M83" s="12">
        <v>0.218</v>
      </c>
      <c r="N83" s="8" t="s">
        <v>17</v>
      </c>
      <c r="O83" s="8" t="s">
        <v>16</v>
      </c>
      <c r="P83" s="8" t="s">
        <v>64</v>
      </c>
      <c r="R83" t="s">
        <v>750</v>
      </c>
      <c r="S83" t="s">
        <v>751</v>
      </c>
    </row>
    <row r="84" spans="1:19">
      <c r="A84" s="9" t="str">
        <f t="shared" si="5"/>
        <v>VSG05C-24078E2.01</v>
      </c>
      <c r="B84">
        <v>1</v>
      </c>
      <c r="C84" t="s">
        <v>752</v>
      </c>
      <c r="D84" t="s">
        <v>753</v>
      </c>
      <c r="F84">
        <v>2</v>
      </c>
      <c r="G84" s="1">
        <v>45369</v>
      </c>
      <c r="H84" s="14">
        <f t="shared" si="6"/>
        <v>78</v>
      </c>
      <c r="I84" s="8">
        <v>5</v>
      </c>
      <c r="J84" s="10"/>
      <c r="K84" s="12">
        <v>0.371</v>
      </c>
      <c r="L84" s="8" t="s">
        <v>241</v>
      </c>
      <c r="N84" s="8" t="s">
        <v>14</v>
      </c>
      <c r="O84" s="8" t="s">
        <v>13</v>
      </c>
      <c r="P84" s="8" t="s">
        <v>72</v>
      </c>
      <c r="R84" t="s">
        <v>754</v>
      </c>
    </row>
    <row r="85" spans="1:19">
      <c r="A85" s="9" t="str">
        <f t="shared" si="5"/>
        <v>VSG05C-24046E2.01</v>
      </c>
      <c r="B85">
        <v>1</v>
      </c>
      <c r="C85" s="18" t="s">
        <v>250</v>
      </c>
      <c r="D85" s="18" t="s">
        <v>251</v>
      </c>
      <c r="F85">
        <v>2</v>
      </c>
      <c r="G85" s="1">
        <v>45337</v>
      </c>
      <c r="H85" s="14">
        <f t="shared" si="6"/>
        <v>46</v>
      </c>
      <c r="I85" s="17">
        <v>5</v>
      </c>
      <c r="K85" s="12" t="s">
        <v>755</v>
      </c>
      <c r="M85" s="12" t="s">
        <v>756</v>
      </c>
      <c r="N85" s="8" t="s">
        <v>14</v>
      </c>
      <c r="O85" s="8" t="s">
        <v>13</v>
      </c>
      <c r="R85" t="s">
        <v>757</v>
      </c>
    </row>
    <row r="86" spans="1:19">
      <c r="A86" s="9" t="str">
        <f t="shared" ref="A86:A87" si="7">"VSG05C-"&amp;TEXT(G86,"yy")&amp;TEXT(H86,"000")&amp;O86&amp;"2."&amp;TEXT(RIGHT(B86),"00")</f>
        <v>VSG05C-24079F2.01</v>
      </c>
      <c r="B86">
        <v>1</v>
      </c>
      <c r="C86" s="18" t="s">
        <v>758</v>
      </c>
      <c r="D86" s="18" t="s">
        <v>759</v>
      </c>
      <c r="F86">
        <v>2</v>
      </c>
      <c r="G86" s="1">
        <v>45370</v>
      </c>
      <c r="H86" s="14">
        <f t="shared" ref="H86:H87" si="8">G86-DATE(YEAR(G86),1,0)</f>
        <v>79</v>
      </c>
      <c r="I86" s="17">
        <v>5</v>
      </c>
      <c r="K86" s="12">
        <v>0.22</v>
      </c>
      <c r="L86" s="8" t="s">
        <v>241</v>
      </c>
      <c r="N86" s="8" t="s">
        <v>17</v>
      </c>
      <c r="O86" s="8" t="s">
        <v>16</v>
      </c>
      <c r="R86" s="8" t="s">
        <v>760</v>
      </c>
    </row>
    <row r="87" spans="1:19">
      <c r="A87" s="9" t="str">
        <f t="shared" si="7"/>
        <v>VSG05C-24079F2.02</v>
      </c>
      <c r="B87">
        <v>2</v>
      </c>
      <c r="C87" s="18" t="s">
        <v>761</v>
      </c>
      <c r="D87" s="18" t="s">
        <v>762</v>
      </c>
      <c r="F87">
        <v>2</v>
      </c>
      <c r="G87" s="1">
        <v>45370</v>
      </c>
      <c r="H87" s="14">
        <f t="shared" si="8"/>
        <v>79</v>
      </c>
      <c r="I87" s="17">
        <v>5</v>
      </c>
      <c r="K87" s="12">
        <v>0.21</v>
      </c>
      <c r="L87" s="8" t="s">
        <v>241</v>
      </c>
      <c r="N87" s="8" t="s">
        <v>17</v>
      </c>
      <c r="O87" s="8" t="s">
        <v>16</v>
      </c>
      <c r="R87" s="8" t="s">
        <v>763</v>
      </c>
    </row>
    <row r="88" spans="1:19">
      <c r="A88" s="9" t="str">
        <f t="shared" ref="A88:A89" si="9">"VSG05C-"&amp;TEXT(G88,"yy")&amp;TEXT(H88,"000")&amp;O88&amp;"2."&amp;TEXT(RIGHT(B88),"00")</f>
        <v>VSG05C-24079F2.03</v>
      </c>
      <c r="B88">
        <v>3</v>
      </c>
      <c r="C88" s="18" t="s">
        <v>758</v>
      </c>
      <c r="D88" s="18" t="s">
        <v>759</v>
      </c>
      <c r="F88">
        <v>2</v>
      </c>
      <c r="G88" s="1">
        <v>45370</v>
      </c>
      <c r="H88" s="14">
        <f t="shared" ref="H88:H89" si="10">G88-DATE(YEAR(G88),1,0)</f>
        <v>79</v>
      </c>
      <c r="I88" s="17">
        <v>5</v>
      </c>
      <c r="K88" s="12">
        <v>0.22</v>
      </c>
      <c r="M88" s="12" t="s">
        <v>756</v>
      </c>
      <c r="N88" s="8" t="s">
        <v>17</v>
      </c>
      <c r="O88" s="8" t="s">
        <v>16</v>
      </c>
      <c r="R88" s="8" t="s">
        <v>760</v>
      </c>
    </row>
    <row r="89" spans="1:19">
      <c r="A89" s="9" t="str">
        <f t="shared" si="9"/>
        <v>VSG05C-24079F2.04</v>
      </c>
      <c r="B89">
        <v>4</v>
      </c>
      <c r="C89" s="18" t="s">
        <v>761</v>
      </c>
      <c r="D89" s="18" t="s">
        <v>762</v>
      </c>
      <c r="F89">
        <v>2</v>
      </c>
      <c r="G89" s="1">
        <v>45370</v>
      </c>
      <c r="H89" s="14">
        <f t="shared" si="10"/>
        <v>79</v>
      </c>
      <c r="I89" s="17">
        <v>5</v>
      </c>
      <c r="K89" s="12">
        <v>0.21</v>
      </c>
      <c r="M89" s="12" t="s">
        <v>756</v>
      </c>
      <c r="N89" s="8" t="s">
        <v>17</v>
      </c>
      <c r="O89" s="8" t="s">
        <v>16</v>
      </c>
      <c r="R89" s="8" t="s">
        <v>763</v>
      </c>
    </row>
    <row r="90" spans="1:19">
      <c r="A90" s="9" t="str">
        <f t="shared" ref="A90:A91" si="11">"VSG05C-"&amp;TEXT(G90,"yy")&amp;TEXT(H90,"000")&amp;O90&amp;"2."&amp;TEXT(RIGHT(B90),"00")</f>
        <v>VSG05C-24080F2.01</v>
      </c>
      <c r="B90">
        <v>1</v>
      </c>
      <c r="C90" s="18" t="s">
        <v>761</v>
      </c>
      <c r="D90" s="18" t="s">
        <v>764</v>
      </c>
      <c r="F90">
        <v>2</v>
      </c>
      <c r="G90" s="1">
        <v>45371</v>
      </c>
      <c r="H90" s="14">
        <f t="shared" ref="H90:H93" si="12">G90-DATE(YEAR(G90),1,0)</f>
        <v>80</v>
      </c>
      <c r="I90" s="17">
        <v>5</v>
      </c>
      <c r="K90" s="12">
        <v>0.20599999999999999</v>
      </c>
      <c r="L90" s="8" t="s">
        <v>241</v>
      </c>
      <c r="N90" s="8" t="s">
        <v>17</v>
      </c>
      <c r="O90" s="8" t="s">
        <v>16</v>
      </c>
      <c r="R90" s="8" t="s">
        <v>765</v>
      </c>
    </row>
    <row r="91" spans="1:19">
      <c r="A91" s="9" t="str">
        <f t="shared" si="11"/>
        <v>VSG05C-24064F2.02</v>
      </c>
      <c r="B91">
        <v>2</v>
      </c>
      <c r="C91" t="s">
        <v>442</v>
      </c>
      <c r="D91" t="s">
        <v>766</v>
      </c>
      <c r="F91">
        <v>2</v>
      </c>
      <c r="G91" s="1">
        <v>45355</v>
      </c>
      <c r="H91" s="14">
        <f t="shared" si="12"/>
        <v>64</v>
      </c>
      <c r="I91" s="8">
        <v>5</v>
      </c>
      <c r="J91" s="10"/>
      <c r="K91" s="12">
        <v>0.20399999999999999</v>
      </c>
      <c r="M91" s="12">
        <v>0.14000000000000001</v>
      </c>
      <c r="N91" s="8" t="s">
        <v>17</v>
      </c>
      <c r="O91" s="8" t="s">
        <v>16</v>
      </c>
      <c r="R91" t="s">
        <v>767</v>
      </c>
    </row>
    <row r="92" spans="1:19">
      <c r="A92" s="9" t="str">
        <f t="shared" ref="A92:A99" si="13">"VSG05C-"&amp;TEXT(G92,"yy")&amp;TEXT(H92,"000")&amp;O92&amp;"2."&amp;TEXT(RIGHT(B92),"00")</f>
        <v>VSG05C-24080F2.03</v>
      </c>
      <c r="B92">
        <v>3</v>
      </c>
      <c r="C92" t="s">
        <v>768</v>
      </c>
      <c r="D92" s="18" t="s">
        <v>769</v>
      </c>
      <c r="F92">
        <v>2</v>
      </c>
      <c r="G92" s="1">
        <v>45371</v>
      </c>
      <c r="H92" s="14">
        <f t="shared" si="12"/>
        <v>80</v>
      </c>
      <c r="I92" s="10">
        <v>5</v>
      </c>
      <c r="K92" s="12">
        <v>0.19</v>
      </c>
      <c r="L92" s="8" t="s">
        <v>241</v>
      </c>
      <c r="M92" s="12" t="s">
        <v>241</v>
      </c>
      <c r="N92" s="8" t="s">
        <v>17</v>
      </c>
      <c r="O92" s="8" t="s">
        <v>16</v>
      </c>
      <c r="R92" t="s">
        <v>770</v>
      </c>
    </row>
    <row r="93" spans="1:19">
      <c r="A93" s="9" t="str">
        <f t="shared" si="13"/>
        <v>VSG05C-24094F2.01</v>
      </c>
      <c r="B93">
        <v>1</v>
      </c>
      <c r="C93" t="s">
        <v>267</v>
      </c>
      <c r="D93" s="57" t="s">
        <v>771</v>
      </c>
      <c r="F93">
        <v>2</v>
      </c>
      <c r="G93" s="1">
        <v>45385</v>
      </c>
      <c r="H93" s="14">
        <f t="shared" si="12"/>
        <v>94</v>
      </c>
      <c r="I93" s="10">
        <v>5</v>
      </c>
      <c r="K93" s="12">
        <v>0.17100000000000001</v>
      </c>
      <c r="L93" s="8" t="s">
        <v>772</v>
      </c>
      <c r="M93" s="12" t="s">
        <v>772</v>
      </c>
      <c r="N93" s="8" t="s">
        <v>17</v>
      </c>
      <c r="O93" s="8" t="s">
        <v>16</v>
      </c>
      <c r="R93" s="57" t="s">
        <v>773</v>
      </c>
    </row>
    <row r="94" spans="1:19">
      <c r="A94" s="9" t="str">
        <f t="shared" si="13"/>
        <v>VSG05C-24102F2.01</v>
      </c>
      <c r="B94">
        <v>1</v>
      </c>
      <c r="C94" t="s">
        <v>774</v>
      </c>
      <c r="D94" s="65" t="s">
        <v>775</v>
      </c>
      <c r="F94">
        <v>2</v>
      </c>
      <c r="G94" s="1">
        <v>45393</v>
      </c>
      <c r="H94" s="14">
        <f>G94-DATE(YEAR(G94),1,0)</f>
        <v>102</v>
      </c>
      <c r="I94" s="10">
        <v>5</v>
      </c>
      <c r="K94" s="12">
        <v>0.21199999999999999</v>
      </c>
      <c r="L94" s="8" t="s">
        <v>241</v>
      </c>
      <c r="M94" s="8" t="s">
        <v>241</v>
      </c>
      <c r="N94" s="8" t="s">
        <v>17</v>
      </c>
      <c r="O94" s="8" t="s">
        <v>16</v>
      </c>
      <c r="R94" s="65" t="s">
        <v>776</v>
      </c>
    </row>
    <row r="95" spans="1:19">
      <c r="A95" s="9" t="str">
        <f t="shared" si="13"/>
        <v>VSG05C-24102F2.02</v>
      </c>
      <c r="B95">
        <v>2</v>
      </c>
      <c r="C95" t="s">
        <v>777</v>
      </c>
      <c r="D95" s="65" t="s">
        <v>778</v>
      </c>
      <c r="F95">
        <v>2</v>
      </c>
      <c r="G95" s="1">
        <v>45393</v>
      </c>
      <c r="H95" s="14">
        <f>G95-DATE(YEAR(G95),1,0)</f>
        <v>102</v>
      </c>
      <c r="I95" s="10">
        <v>5</v>
      </c>
      <c r="K95" s="12">
        <v>0.14399999999999999</v>
      </c>
      <c r="L95" s="8" t="s">
        <v>241</v>
      </c>
      <c r="M95" s="8" t="s">
        <v>241</v>
      </c>
      <c r="N95" s="8" t="s">
        <v>17</v>
      </c>
      <c r="O95" s="8" t="s">
        <v>16</v>
      </c>
      <c r="R95" s="65" t="s">
        <v>779</v>
      </c>
    </row>
    <row r="96" spans="1:19">
      <c r="A96" s="9" t="str">
        <f t="shared" si="13"/>
        <v>VSG05C-24106F2.01</v>
      </c>
      <c r="B96">
        <v>1</v>
      </c>
      <c r="C96" t="s">
        <v>780</v>
      </c>
      <c r="D96" s="57" t="s">
        <v>771</v>
      </c>
      <c r="F96">
        <v>2</v>
      </c>
      <c r="G96" s="1">
        <v>45397</v>
      </c>
      <c r="H96" s="14">
        <f>G96-DATE(YEAR(G96),1,0)</f>
        <v>106</v>
      </c>
      <c r="I96" s="17">
        <v>5</v>
      </c>
      <c r="K96" s="12">
        <v>0.16800000000000001</v>
      </c>
      <c r="L96" s="8" t="s">
        <v>241</v>
      </c>
      <c r="M96" s="12" t="s">
        <v>241</v>
      </c>
      <c r="N96" s="8" t="s">
        <v>17</v>
      </c>
      <c r="O96" s="8" t="s">
        <v>16</v>
      </c>
      <c r="R96" s="57" t="s">
        <v>773</v>
      </c>
    </row>
    <row r="97" spans="1:19">
      <c r="A97" s="9" t="str">
        <f t="shared" si="13"/>
        <v>VSG05C-24107F2.01</v>
      </c>
      <c r="B97">
        <v>1</v>
      </c>
      <c r="C97" t="s">
        <v>774</v>
      </c>
      <c r="D97" s="65" t="s">
        <v>775</v>
      </c>
      <c r="F97">
        <v>2</v>
      </c>
      <c r="G97" s="1">
        <v>45398</v>
      </c>
      <c r="H97" s="14">
        <f>G97-DATE(YEAR(G97),1,0)</f>
        <v>107</v>
      </c>
      <c r="I97" s="10">
        <v>5</v>
      </c>
      <c r="K97" s="12">
        <v>0.187</v>
      </c>
      <c r="L97" s="8" t="s">
        <v>241</v>
      </c>
      <c r="M97" s="8" t="s">
        <v>241</v>
      </c>
      <c r="N97" s="8" t="s">
        <v>17</v>
      </c>
      <c r="O97" s="8" t="s">
        <v>16</v>
      </c>
      <c r="R97" s="65" t="s">
        <v>776</v>
      </c>
    </row>
    <row r="98" spans="1:19">
      <c r="A98" s="9" t="str">
        <f t="shared" si="13"/>
        <v>VSG05C-24108F2.02</v>
      </c>
      <c r="B98">
        <v>2</v>
      </c>
      <c r="C98" t="s">
        <v>777</v>
      </c>
      <c r="D98" s="65" t="s">
        <v>778</v>
      </c>
      <c r="F98">
        <v>2</v>
      </c>
      <c r="G98" s="1">
        <v>45399</v>
      </c>
      <c r="H98" s="14">
        <f>G98-DATE(YEAR(G98),1,0)</f>
        <v>108</v>
      </c>
      <c r="I98" s="10">
        <v>5</v>
      </c>
      <c r="K98" s="12">
        <v>0.152</v>
      </c>
      <c r="L98" s="8" t="s">
        <v>241</v>
      </c>
      <c r="M98" s="8" t="s">
        <v>241</v>
      </c>
      <c r="N98" s="8" t="s">
        <v>17</v>
      </c>
      <c r="O98" s="8" t="s">
        <v>16</v>
      </c>
      <c r="R98" s="65" t="s">
        <v>779</v>
      </c>
    </row>
    <row r="99" spans="1:19">
      <c r="A99" s="9" t="str">
        <f t="shared" si="13"/>
        <v>VSG05C-24092F2.01</v>
      </c>
      <c r="B99">
        <v>1</v>
      </c>
      <c r="C99" t="s">
        <v>781</v>
      </c>
      <c r="D99" t="s">
        <v>782</v>
      </c>
      <c r="F99">
        <v>2</v>
      </c>
      <c r="G99" s="1">
        <v>45383</v>
      </c>
      <c r="H99" s="14">
        <f t="shared" ref="H99" si="14">G99-DATE(YEAR(G99),1,0)</f>
        <v>92</v>
      </c>
      <c r="I99" s="8">
        <v>5</v>
      </c>
      <c r="J99" s="10"/>
      <c r="K99" s="12">
        <v>0.2</v>
      </c>
      <c r="L99" s="8" t="s">
        <v>783</v>
      </c>
      <c r="M99" s="12">
        <v>0.23400000000000001</v>
      </c>
      <c r="N99" s="8" t="s">
        <v>17</v>
      </c>
      <c r="O99" s="8" t="s">
        <v>16</v>
      </c>
      <c r="R99" t="s">
        <v>784</v>
      </c>
    </row>
    <row r="100" spans="1:19">
      <c r="A100" s="9" t="s">
        <v>785</v>
      </c>
      <c r="B100">
        <v>1</v>
      </c>
      <c r="C100" t="s">
        <v>786</v>
      </c>
      <c r="D100" t="s">
        <v>787</v>
      </c>
      <c r="F100">
        <v>2</v>
      </c>
      <c r="G100" s="1">
        <v>45414</v>
      </c>
      <c r="H100" s="14">
        <f>G100-DATE(YEAR(G100),1,0)</f>
        <v>123</v>
      </c>
      <c r="I100" s="8">
        <v>5</v>
      </c>
      <c r="J100" s="10"/>
      <c r="K100" s="12">
        <v>0.2</v>
      </c>
      <c r="L100" s="8" t="s">
        <v>783</v>
      </c>
      <c r="M100" s="12">
        <v>0.10199999999999999</v>
      </c>
      <c r="N100" s="8" t="s">
        <v>17</v>
      </c>
      <c r="O100" s="8" t="s">
        <v>16</v>
      </c>
      <c r="R100" t="s">
        <v>788</v>
      </c>
    </row>
    <row r="101" spans="1:19">
      <c r="A101" s="9" t="s">
        <v>789</v>
      </c>
      <c r="B101">
        <v>2</v>
      </c>
      <c r="C101" t="s">
        <v>790</v>
      </c>
      <c r="D101" t="s">
        <v>787</v>
      </c>
      <c r="F101">
        <v>2</v>
      </c>
      <c r="G101" s="1">
        <v>45414</v>
      </c>
      <c r="H101" s="14">
        <f t="shared" ref="H101" si="15">G101-DATE(YEAR(G101),1,0)</f>
        <v>123</v>
      </c>
      <c r="I101" s="8">
        <v>5</v>
      </c>
      <c r="J101" s="10"/>
      <c r="K101" s="12">
        <v>0.2</v>
      </c>
      <c r="L101" s="8" t="s">
        <v>783</v>
      </c>
      <c r="M101" s="12">
        <v>0.10199999999999999</v>
      </c>
      <c r="N101" s="8" t="s">
        <v>17</v>
      </c>
      <c r="O101" s="8" t="s">
        <v>16</v>
      </c>
      <c r="R101" t="s">
        <v>788</v>
      </c>
    </row>
    <row r="103" spans="1:19">
      <c r="A103" s="9" t="str">
        <f>"VSG05C-"&amp;TEXT(G103,"yy")&amp;TEXT(H103,"000")&amp;O103&amp;"2."&amp;TEXT(RIGHT(B103),"00")</f>
        <v>VSG05C-24141E2.01</v>
      </c>
      <c r="B103">
        <v>1</v>
      </c>
      <c r="C103" t="s">
        <v>791</v>
      </c>
      <c r="D103" t="s">
        <v>792</v>
      </c>
      <c r="F103">
        <v>2</v>
      </c>
      <c r="G103" s="1">
        <v>45432</v>
      </c>
      <c r="H103" s="14">
        <f>G103-DATE(YEAR(G103),1,0)</f>
        <v>141</v>
      </c>
      <c r="I103" s="8">
        <v>5</v>
      </c>
      <c r="J103" s="10"/>
      <c r="K103" s="12">
        <v>0.2</v>
      </c>
      <c r="L103" s="8" t="s">
        <v>783</v>
      </c>
      <c r="M103" s="12">
        <v>0.157</v>
      </c>
      <c r="N103" s="8" t="s">
        <v>14</v>
      </c>
      <c r="O103" s="8" t="s">
        <v>13</v>
      </c>
      <c r="R103" t="s">
        <v>793</v>
      </c>
    </row>
    <row r="105" spans="1:19">
      <c r="A105" s="9" t="str">
        <f>"VSG05C-"&amp;TEXT(G105,"yy")&amp;TEXT(H105,"000")&amp;O105&amp;"2."&amp;TEXT(RIGHT(B105),"00")</f>
        <v>VSG05C-24142E2.01</v>
      </c>
      <c r="B105">
        <v>1</v>
      </c>
      <c r="C105" t="s">
        <v>791</v>
      </c>
      <c r="D105" t="s">
        <v>794</v>
      </c>
      <c r="F105">
        <v>2</v>
      </c>
      <c r="G105" s="1">
        <v>45433</v>
      </c>
      <c r="H105" s="14">
        <f>G105-DATE(YEAR(G105),1,0)</f>
        <v>142</v>
      </c>
      <c r="I105" s="8">
        <v>5</v>
      </c>
      <c r="J105" s="10"/>
      <c r="L105" s="8" t="s">
        <v>783</v>
      </c>
      <c r="M105" s="12">
        <v>0.14299999999999999</v>
      </c>
      <c r="N105" s="8" t="s">
        <v>14</v>
      </c>
      <c r="O105" s="8" t="s">
        <v>13</v>
      </c>
      <c r="R105" t="s">
        <v>795</v>
      </c>
    </row>
    <row r="106" spans="1:19">
      <c r="A106" s="9" t="str">
        <f>"VSG05C-"&amp;TEXT(G106,"yy")&amp;TEXT(H106,"000")&amp;O106&amp;"2."&amp;TEXT(RIGHT(B106),"00")</f>
        <v>VSG05C-24142E2.02</v>
      </c>
      <c r="B106">
        <v>2</v>
      </c>
      <c r="C106" t="s">
        <v>796</v>
      </c>
      <c r="D106" t="s">
        <v>797</v>
      </c>
      <c r="F106">
        <v>2</v>
      </c>
      <c r="G106" s="1">
        <v>45433</v>
      </c>
      <c r="H106" s="14">
        <f>G106-DATE(YEAR(G106),1,0)</f>
        <v>142</v>
      </c>
      <c r="I106" s="8">
        <v>5</v>
      </c>
      <c r="J106" s="10"/>
      <c r="L106" s="8" t="s">
        <v>783</v>
      </c>
      <c r="M106" s="12">
        <v>0.156</v>
      </c>
      <c r="N106" s="8" t="s">
        <v>14</v>
      </c>
      <c r="O106" s="8" t="s">
        <v>13</v>
      </c>
      <c r="R106" t="s">
        <v>798</v>
      </c>
      <c r="S106">
        <f>0.156/0.2+0.64</f>
        <v>1.42</v>
      </c>
    </row>
    <row r="107" spans="1:19">
      <c r="A107" s="9" t="str">
        <f>"VSG05C-"&amp;TEXT(G107,"yy")&amp;TEXT(H107,"000")&amp;O107&amp;"2."&amp;TEXT(RIGHT(B107),"00")</f>
        <v>VSG05C-24142E2.03</v>
      </c>
      <c r="B107">
        <v>3</v>
      </c>
      <c r="C107" t="s">
        <v>799</v>
      </c>
      <c r="D107" t="s">
        <v>797</v>
      </c>
      <c r="F107">
        <v>2</v>
      </c>
      <c r="G107" s="1">
        <v>45433</v>
      </c>
      <c r="H107" s="14">
        <f>G107-DATE(YEAR(G107),1,0)</f>
        <v>142</v>
      </c>
      <c r="I107" s="8">
        <v>5</v>
      </c>
      <c r="J107" s="10"/>
      <c r="L107" s="8" t="s">
        <v>783</v>
      </c>
      <c r="M107" s="12">
        <v>0.13700000000000001</v>
      </c>
      <c r="N107" s="8" t="s">
        <v>14</v>
      </c>
      <c r="O107" s="8" t="s">
        <v>13</v>
      </c>
      <c r="R107" t="s">
        <v>798</v>
      </c>
      <c r="S107">
        <f>0.137/0.2+0.64</f>
        <v>1.3250000000000002</v>
      </c>
    </row>
    <row r="109" spans="1:19">
      <c r="A109" s="9" t="str">
        <f>"VSG05C-"&amp;TEXT(G109,"yy")&amp;TEXT(H109,"000")&amp;O109&amp;"2."&amp;TEXT(RIGHT(B109),"00")</f>
        <v>VSG05C-24143F2.01</v>
      </c>
      <c r="B109">
        <v>1</v>
      </c>
      <c r="C109" t="s">
        <v>800</v>
      </c>
      <c r="D109" t="s">
        <v>794</v>
      </c>
      <c r="F109">
        <v>2</v>
      </c>
      <c r="G109" s="1">
        <v>45434</v>
      </c>
      <c r="H109" s="14">
        <f>G109-DATE(YEAR(G109),1,0)</f>
        <v>143</v>
      </c>
      <c r="I109" s="8">
        <v>5</v>
      </c>
      <c r="J109" s="10"/>
      <c r="L109" s="8" t="s">
        <v>783</v>
      </c>
      <c r="M109" s="12">
        <v>0.14299999999999999</v>
      </c>
      <c r="N109" s="8" t="s">
        <v>17</v>
      </c>
      <c r="O109" s="8" t="s">
        <v>16</v>
      </c>
      <c r="R109" s="88" t="s">
        <v>801</v>
      </c>
    </row>
    <row r="110" spans="1:19">
      <c r="A110" s="9" t="str">
        <f>"VSG05C-"&amp;TEXT(G110,"yy")&amp;TEXT(H110,"000")&amp;O110&amp;"2."&amp;TEXT(RIGHT(B110),"00")</f>
        <v>VSG05C-24143F2.02</v>
      </c>
      <c r="B110">
        <v>2</v>
      </c>
      <c r="C110" t="s">
        <v>800</v>
      </c>
      <c r="D110" t="s">
        <v>794</v>
      </c>
      <c r="F110">
        <v>2</v>
      </c>
      <c r="G110" s="1">
        <v>45434</v>
      </c>
      <c r="H110" s="14">
        <f>G110-DATE(YEAR(G110),1,0)</f>
        <v>143</v>
      </c>
      <c r="I110" s="8">
        <v>5</v>
      </c>
      <c r="J110" s="10"/>
      <c r="L110" s="8" t="s">
        <v>783</v>
      </c>
      <c r="M110" s="12">
        <v>0.14299999999999999</v>
      </c>
      <c r="N110" s="8" t="s">
        <v>17</v>
      </c>
      <c r="O110" s="8" t="s">
        <v>16</v>
      </c>
      <c r="R110" s="88" t="s">
        <v>801</v>
      </c>
    </row>
    <row r="111" spans="1:19">
      <c r="A111" s="9" t="str">
        <f>"VSG05C-"&amp;TEXT(G111,"yy")&amp;TEXT(H111,"000")&amp;O111&amp;"2."&amp;TEXT(RIGHT(B111),"00")</f>
        <v>VSG05C-24142F2.01</v>
      </c>
      <c r="B111">
        <v>1</v>
      </c>
      <c r="C111" t="s">
        <v>802</v>
      </c>
      <c r="D111" t="s">
        <v>797</v>
      </c>
      <c r="F111">
        <v>2</v>
      </c>
      <c r="G111" s="1">
        <v>45433</v>
      </c>
      <c r="H111" s="14">
        <f>G111-DATE(YEAR(G111),1,0)</f>
        <v>142</v>
      </c>
      <c r="I111" s="8">
        <v>5</v>
      </c>
      <c r="J111" s="10"/>
      <c r="L111" s="8" t="s">
        <v>783</v>
      </c>
      <c r="M111" s="12">
        <v>0.159</v>
      </c>
      <c r="N111" s="8" t="s">
        <v>17</v>
      </c>
      <c r="O111" s="8" t="s">
        <v>16</v>
      </c>
      <c r="R111" t="s">
        <v>803</v>
      </c>
    </row>
    <row r="112" spans="1:19">
      <c r="A112" s="9" t="str">
        <f>"VSG05C-"&amp;TEXT(G112,"yy")&amp;TEXT(H112,"000")&amp;O112&amp;"2."&amp;TEXT(RIGHT(B112),"00")</f>
        <v>VSG05C-24142F2.02</v>
      </c>
      <c r="B112">
        <v>2</v>
      </c>
      <c r="C112" t="s">
        <v>802</v>
      </c>
      <c r="D112" t="s">
        <v>797</v>
      </c>
      <c r="F112">
        <v>2</v>
      </c>
      <c r="G112" s="1">
        <v>45433</v>
      </c>
      <c r="H112" s="14">
        <f>G112-DATE(YEAR(G112),1,0)</f>
        <v>142</v>
      </c>
      <c r="I112" s="8">
        <v>5</v>
      </c>
      <c r="J112" s="10"/>
      <c r="L112" s="8" t="s">
        <v>783</v>
      </c>
      <c r="M112" s="12">
        <v>0.159</v>
      </c>
      <c r="N112" s="8" t="s">
        <v>17</v>
      </c>
      <c r="O112" s="8" t="s">
        <v>16</v>
      </c>
    </row>
    <row r="114" spans="1:18">
      <c r="A114" s="9" t="str">
        <f>"VSG05C-"&amp;TEXT(G114,"yy")&amp;TEXT(H114,"000")&amp;O114&amp;"2."&amp;TEXT(RIGHT(B114),"00")</f>
        <v>VSG05C-24151F 2.01</v>
      </c>
      <c r="B114">
        <v>1</v>
      </c>
      <c r="C114" t="s">
        <v>804</v>
      </c>
      <c r="D114" t="s">
        <v>805</v>
      </c>
      <c r="F114">
        <v>2</v>
      </c>
      <c r="G114" s="1">
        <v>45442</v>
      </c>
      <c r="H114" s="14">
        <f>G114-DATE(YEAR(G114),1,0)</f>
        <v>151</v>
      </c>
      <c r="I114" s="10">
        <v>5</v>
      </c>
      <c r="K114" s="12">
        <v>0.28799999999999998</v>
      </c>
      <c r="L114" s="8" t="s">
        <v>783</v>
      </c>
      <c r="M114" s="12">
        <v>0.18</v>
      </c>
      <c r="N114" s="8" t="s">
        <v>806</v>
      </c>
      <c r="O114" s="8" t="s">
        <v>807</v>
      </c>
    </row>
    <row r="118" spans="1:18">
      <c r="A118" s="9" t="str">
        <f>"VSG05C-"&amp;TEXT(G118,"yy")&amp;TEXT(H118,"000")&amp;O118&amp;"2."&amp;TEXT(RIGHT(B118),"00")</f>
        <v>VSG05C-24158F 2.02</v>
      </c>
      <c r="B118">
        <v>2</v>
      </c>
      <c r="C118" t="s">
        <v>808</v>
      </c>
      <c r="D118" t="s">
        <v>809</v>
      </c>
      <c r="F118">
        <v>2</v>
      </c>
      <c r="G118" s="1">
        <v>45449</v>
      </c>
      <c r="H118" s="14">
        <f>G118-DATE(YEAR(G118),1,0)</f>
        <v>158</v>
      </c>
      <c r="I118" s="10">
        <v>5</v>
      </c>
      <c r="K118" s="12">
        <v>0.22600000000000001</v>
      </c>
      <c r="L118" s="8" t="s">
        <v>783</v>
      </c>
      <c r="M118" s="12">
        <v>0.13</v>
      </c>
      <c r="N118" s="8" t="s">
        <v>17</v>
      </c>
      <c r="O118" s="8" t="s">
        <v>807</v>
      </c>
    </row>
    <row r="119" spans="1:18">
      <c r="A119" s="9" t="str">
        <f>"VSG05C-"&amp;TEXT(G119,"yy")&amp;TEXT(H119,"000")&amp;O119&amp;"2."&amp;TEXT(RIGHT(B119),"00")</f>
        <v>VSG05C-24158F 2.04</v>
      </c>
      <c r="B119">
        <v>4</v>
      </c>
      <c r="C119" t="s">
        <v>810</v>
      </c>
      <c r="D119" t="s">
        <v>811</v>
      </c>
      <c r="F119">
        <v>2</v>
      </c>
      <c r="G119" s="1">
        <v>45449</v>
      </c>
      <c r="H119" s="14">
        <f>G119-DATE(YEAR(G119),1,0)</f>
        <v>158</v>
      </c>
      <c r="I119" s="10">
        <v>5</v>
      </c>
      <c r="K119" s="12">
        <v>0.18</v>
      </c>
      <c r="L119" s="8" t="s">
        <v>783</v>
      </c>
      <c r="M119" s="12">
        <v>0.28999999999999998</v>
      </c>
      <c r="N119" s="8" t="s">
        <v>17</v>
      </c>
      <c r="O119" s="8" t="s">
        <v>807</v>
      </c>
    </row>
    <row r="121" spans="1:18">
      <c r="A121" s="9" t="str">
        <f>"VSG05C-"&amp;TEXT(G121,"yy")&amp;TEXT(H121,"000")&amp;O121&amp;"2."&amp;TEXT(RIGHT(B121),"00")</f>
        <v>VSG05C-24137F 2.01</v>
      </c>
      <c r="B121">
        <v>1</v>
      </c>
      <c r="C121" t="s">
        <v>812</v>
      </c>
      <c r="D121" t="s">
        <v>813</v>
      </c>
      <c r="F121">
        <v>2</v>
      </c>
      <c r="G121" s="1">
        <v>45428</v>
      </c>
      <c r="H121" s="14">
        <f>G121-DATE(YEAR(G121),1,0)</f>
        <v>137</v>
      </c>
      <c r="I121" s="10">
        <v>5</v>
      </c>
      <c r="K121" s="12" t="s">
        <v>814</v>
      </c>
      <c r="L121" s="8" t="s">
        <v>783</v>
      </c>
      <c r="M121" s="12" t="s">
        <v>815</v>
      </c>
      <c r="N121" s="8" t="s">
        <v>17</v>
      </c>
      <c r="O121" s="8" t="s">
        <v>807</v>
      </c>
      <c r="R121" t="s">
        <v>816</v>
      </c>
    </row>
    <row r="123" spans="1:18">
      <c r="A123" s="9" t="str">
        <f>"VSG05C-"&amp;TEXT(G123,"yy")&amp;TEXT(H123,"000")&amp;O123&amp;F123&amp;"."&amp;TEXT(RIGHT(B123),"00")</f>
        <v>VSG05C-24159F 2.01</v>
      </c>
      <c r="B123">
        <v>1</v>
      </c>
      <c r="C123" t="s">
        <v>817</v>
      </c>
      <c r="D123" t="s">
        <v>818</v>
      </c>
      <c r="F123">
        <v>2</v>
      </c>
      <c r="G123" s="1">
        <v>45450</v>
      </c>
      <c r="H123" s="14">
        <f>G123-DATE(YEAR(G123),1,0)</f>
        <v>159</v>
      </c>
      <c r="I123" s="10">
        <v>5</v>
      </c>
      <c r="K123" s="12">
        <v>0.26</v>
      </c>
      <c r="L123" s="8" t="s">
        <v>783</v>
      </c>
      <c r="M123" s="12" t="s">
        <v>698</v>
      </c>
      <c r="N123" s="8" t="s">
        <v>17</v>
      </c>
      <c r="O123" s="8" t="s">
        <v>807</v>
      </c>
      <c r="R123" t="s">
        <v>819</v>
      </c>
    </row>
    <row r="124" spans="1:18">
      <c r="A124" s="9" t="str">
        <f>"VSG05C-"&amp;TEXT(G124,"yy")&amp;TEXT(H124,"000")&amp;O124&amp;F124&amp;"."&amp;TEXT(RIGHT(B124),"00")</f>
        <v>VSG05C-24159F 2.02</v>
      </c>
      <c r="B124">
        <v>2</v>
      </c>
      <c r="C124" t="s">
        <v>817</v>
      </c>
      <c r="D124" t="s">
        <v>818</v>
      </c>
      <c r="F124">
        <v>2</v>
      </c>
      <c r="G124" s="1">
        <v>45450</v>
      </c>
      <c r="H124" s="14">
        <f>G124-DATE(YEAR(G124),1,0)</f>
        <v>159</v>
      </c>
      <c r="I124" s="10">
        <v>5</v>
      </c>
      <c r="K124" s="12">
        <v>0.26</v>
      </c>
      <c r="L124" s="8" t="s">
        <v>783</v>
      </c>
      <c r="M124" s="12" t="s">
        <v>698</v>
      </c>
      <c r="N124" s="8" t="s">
        <v>17</v>
      </c>
      <c r="O124" s="8" t="s">
        <v>807</v>
      </c>
      <c r="R124" t="s">
        <v>819</v>
      </c>
    </row>
    <row r="125" spans="1:18">
      <c r="A125" s="9" t="str">
        <f>"VSG05C-"&amp;TEXT(G125,"yy")&amp;TEXT(H125,"000")&amp;O125&amp;F125&amp;"."&amp;TEXT(RIGHT(B125),"00")</f>
        <v>VSG05C-24158F 2.01</v>
      </c>
      <c r="B125">
        <v>1</v>
      </c>
      <c r="C125" t="s">
        <v>820</v>
      </c>
      <c r="D125" t="s">
        <v>821</v>
      </c>
      <c r="F125">
        <v>2</v>
      </c>
      <c r="G125" s="1">
        <v>45449</v>
      </c>
      <c r="H125" s="14">
        <f>G125-DATE(YEAR(G125),1,0)</f>
        <v>158</v>
      </c>
      <c r="I125" s="10">
        <v>5</v>
      </c>
      <c r="K125" s="12">
        <v>0.18</v>
      </c>
      <c r="L125" s="8" t="s">
        <v>783</v>
      </c>
      <c r="M125" s="12" t="s">
        <v>698</v>
      </c>
      <c r="N125" s="8" t="s">
        <v>17</v>
      </c>
      <c r="O125" s="8" t="s">
        <v>807</v>
      </c>
      <c r="R125" t="s">
        <v>822</v>
      </c>
    </row>
    <row r="126" spans="1:18">
      <c r="A126" s="9" t="str">
        <f>"VSG05C-"&amp;TEXT(G126,"yy")&amp;TEXT(H126,"000")&amp;O126&amp;F126&amp;"."&amp;TEXT(RIGHT(B126),"00")</f>
        <v>VSG05C-24158F 2.02</v>
      </c>
      <c r="B126">
        <v>2</v>
      </c>
      <c r="C126" t="s">
        <v>820</v>
      </c>
      <c r="D126" t="s">
        <v>821</v>
      </c>
      <c r="F126">
        <v>2</v>
      </c>
      <c r="G126" s="1">
        <v>45449</v>
      </c>
      <c r="H126" s="14">
        <f>G126-DATE(YEAR(G126),1,0)</f>
        <v>158</v>
      </c>
      <c r="I126" s="10">
        <v>5</v>
      </c>
      <c r="K126" s="12">
        <v>0.18</v>
      </c>
      <c r="L126" s="8" t="s">
        <v>783</v>
      </c>
      <c r="M126" s="12" t="s">
        <v>698</v>
      </c>
      <c r="N126" s="8" t="s">
        <v>17</v>
      </c>
      <c r="O126" s="8" t="s">
        <v>807</v>
      </c>
      <c r="R126" t="s">
        <v>822</v>
      </c>
    </row>
    <row r="128" spans="1:18">
      <c r="A128" s="9" t="str">
        <f>"VSG05C-"&amp;TEXT(G128,"yy")&amp;TEXT(H128,"000")&amp;O128&amp;F128&amp;"."&amp;TEXT(RIGHT(B128),"00")</f>
        <v>VSG05C-24163F 2.01</v>
      </c>
      <c r="B128">
        <v>1</v>
      </c>
      <c r="C128" t="s">
        <v>823</v>
      </c>
      <c r="D128" t="s">
        <v>824</v>
      </c>
      <c r="F128">
        <v>2</v>
      </c>
      <c r="G128" s="1">
        <v>45454</v>
      </c>
      <c r="H128" s="14">
        <f>G128-DATE(YEAR(G128),1,0)</f>
        <v>163</v>
      </c>
      <c r="I128" s="10">
        <v>5</v>
      </c>
      <c r="K128" s="12">
        <v>0.27</v>
      </c>
      <c r="L128" s="8" t="s">
        <v>783</v>
      </c>
      <c r="M128" s="12">
        <v>0.28000000000000003</v>
      </c>
      <c r="N128" s="8" t="s">
        <v>17</v>
      </c>
      <c r="O128" s="8" t="s">
        <v>807</v>
      </c>
      <c r="R128" t="s">
        <v>825</v>
      </c>
    </row>
    <row r="129" spans="1:18">
      <c r="A129" s="9" t="str">
        <f>"VSG05C-"&amp;TEXT(G129,"yy")&amp;TEXT(H129,"000")&amp;O129&amp;F129&amp;"."&amp;TEXT(RIGHT(B129),"00")</f>
        <v>VSG05C-24163F 2.02</v>
      </c>
      <c r="B129">
        <v>2</v>
      </c>
      <c r="C129" t="s">
        <v>823</v>
      </c>
      <c r="D129" t="s">
        <v>824</v>
      </c>
      <c r="F129">
        <v>2</v>
      </c>
      <c r="G129" s="1">
        <v>45454</v>
      </c>
      <c r="H129" s="14">
        <f>G129-DATE(YEAR(G129),1,0)</f>
        <v>163</v>
      </c>
      <c r="I129" s="10">
        <v>5</v>
      </c>
      <c r="K129" s="12">
        <v>0.27</v>
      </c>
      <c r="L129" s="8" t="s">
        <v>783</v>
      </c>
      <c r="M129" s="12">
        <v>0.28000000000000003</v>
      </c>
      <c r="N129" s="8" t="s">
        <v>17</v>
      </c>
      <c r="O129" s="8" t="s">
        <v>807</v>
      </c>
      <c r="R129" t="s">
        <v>825</v>
      </c>
    </row>
    <row r="131" spans="1:18">
      <c r="A131" s="9" t="str">
        <f>"VSG05C-"&amp;TEXT(G131,"yy")&amp;TEXT(H131,"000")&amp;O131&amp;F131&amp;"."&amp;TEXT(RIGHT(B131),"00")</f>
        <v>VSG05C-24164F 2.01</v>
      </c>
      <c r="B131">
        <v>1</v>
      </c>
      <c r="C131" t="s">
        <v>826</v>
      </c>
      <c r="D131" t="s">
        <v>827</v>
      </c>
      <c r="F131">
        <v>2</v>
      </c>
      <c r="G131" s="1">
        <v>45455</v>
      </c>
      <c r="H131" s="14">
        <f>G131-DATE(YEAR(G131),1,0)</f>
        <v>164</v>
      </c>
      <c r="I131" s="10">
        <v>5</v>
      </c>
      <c r="K131" s="12">
        <v>0.26900000000000002</v>
      </c>
      <c r="L131" s="8" t="s">
        <v>783</v>
      </c>
      <c r="M131" s="12">
        <v>0.26200000000000001</v>
      </c>
      <c r="N131" s="8" t="s">
        <v>17</v>
      </c>
      <c r="O131" s="8" t="s">
        <v>807</v>
      </c>
      <c r="R131" t="s">
        <v>828</v>
      </c>
    </row>
    <row r="132" spans="1:18">
      <c r="A132" s="9" t="str">
        <f>"VSG05C-"&amp;TEXT(G132,"yy")&amp;TEXT(H132,"000")&amp;O132&amp;F132&amp;"."&amp;TEXT(RIGHT(B132),"00")</f>
        <v>VSG05C-24164F 2.02</v>
      </c>
      <c r="B132">
        <v>2</v>
      </c>
      <c r="C132" t="s">
        <v>826</v>
      </c>
      <c r="D132" t="s">
        <v>827</v>
      </c>
      <c r="F132">
        <v>2</v>
      </c>
      <c r="G132" s="1">
        <v>45455</v>
      </c>
      <c r="H132" s="14">
        <f>G132-DATE(YEAR(G132),1,0)</f>
        <v>164</v>
      </c>
      <c r="I132" s="10">
        <v>5</v>
      </c>
      <c r="K132" s="12">
        <v>0.26900000000000002</v>
      </c>
      <c r="L132" s="8" t="s">
        <v>783</v>
      </c>
      <c r="M132" s="12">
        <v>0.26200000000000001</v>
      </c>
      <c r="N132" s="8" t="s">
        <v>17</v>
      </c>
      <c r="O132" s="8" t="s">
        <v>807</v>
      </c>
      <c r="R132" t="s">
        <v>828</v>
      </c>
    </row>
    <row r="134" spans="1:18">
      <c r="A134" s="9" t="str">
        <f>"VSG05C-"&amp;TEXT(G134,"yy")&amp;TEXT(H134,"000")&amp;O134&amp;F134&amp;"."&amp;TEXT(RIGHT(B134),"00")</f>
        <v>VSG05C-24163F 2.01</v>
      </c>
      <c r="B134">
        <v>1</v>
      </c>
      <c r="C134" t="s">
        <v>829</v>
      </c>
      <c r="D134" t="s">
        <v>830</v>
      </c>
      <c r="F134">
        <v>2</v>
      </c>
      <c r="G134" s="1">
        <v>45454</v>
      </c>
      <c r="H134" s="14">
        <f>G134-DATE(YEAR(G134),1,0)</f>
        <v>163</v>
      </c>
      <c r="I134" s="10">
        <v>5</v>
      </c>
      <c r="L134" s="8" t="s">
        <v>783</v>
      </c>
      <c r="N134" s="8" t="s">
        <v>17</v>
      </c>
      <c r="O134" s="8" t="s">
        <v>807</v>
      </c>
      <c r="R134" t="s">
        <v>831</v>
      </c>
    </row>
    <row r="136" spans="1:18">
      <c r="A136" s="9" t="str">
        <f>"VSG05C-"&amp;TEXT(G136,"yy")&amp;TEXT(H136,"000")&amp;O136&amp;F136&amp;"."&amp;TEXT(RIGHT(B136),"00")</f>
        <v>VSG05C-24163F 2.01</v>
      </c>
      <c r="B136">
        <v>1</v>
      </c>
      <c r="C136" t="s">
        <v>829</v>
      </c>
      <c r="D136" t="s">
        <v>830</v>
      </c>
      <c r="F136">
        <v>2</v>
      </c>
      <c r="G136" s="1">
        <v>45454</v>
      </c>
      <c r="H136" s="14">
        <f>G136-DATE(YEAR(G136),1,0)</f>
        <v>163</v>
      </c>
      <c r="I136" s="10">
        <v>5</v>
      </c>
      <c r="K136" s="12">
        <v>0.183</v>
      </c>
      <c r="L136" s="8" t="s">
        <v>783</v>
      </c>
      <c r="N136" s="8" t="s">
        <v>17</v>
      </c>
      <c r="O136" s="8" t="s">
        <v>807</v>
      </c>
      <c r="R136" t="s">
        <v>831</v>
      </c>
    </row>
    <row r="137" spans="1:18">
      <c r="A137" s="9" t="str">
        <f>"VSG05C-"&amp;TEXT(G137,"yy")&amp;TEXT(H137,"000")&amp;O137&amp;F137&amp;"."&amp;TEXT(RIGHT(B137),"00")</f>
        <v>VSG05C-24159F 2.01</v>
      </c>
      <c r="B137">
        <v>1</v>
      </c>
      <c r="C137" t="s">
        <v>817</v>
      </c>
      <c r="D137" t="s">
        <v>818</v>
      </c>
      <c r="F137">
        <v>2</v>
      </c>
      <c r="G137" s="1">
        <v>45450</v>
      </c>
      <c r="H137" s="14">
        <f>G137-DATE(YEAR(G137),1,0)</f>
        <v>159</v>
      </c>
      <c r="I137" s="10">
        <v>5</v>
      </c>
      <c r="K137" s="12">
        <v>0.26</v>
      </c>
      <c r="L137" s="8" t="s">
        <v>783</v>
      </c>
      <c r="M137" s="12" t="s">
        <v>698</v>
      </c>
      <c r="N137" s="8" t="s">
        <v>17</v>
      </c>
      <c r="O137" s="8" t="s">
        <v>807</v>
      </c>
      <c r="R137" t="s">
        <v>819</v>
      </c>
    </row>
    <row r="138" spans="1:18">
      <c r="A138" s="9" t="str">
        <f>"VSG05C-"&amp;TEXT(G138,"yy")&amp;TEXT(H138,"000")&amp;O138&amp;F138&amp;"."&amp;TEXT(RIGHT(B138),"00")</f>
        <v>VSG05C-24159F 2.02</v>
      </c>
      <c r="B138">
        <v>2</v>
      </c>
      <c r="C138" t="s">
        <v>817</v>
      </c>
      <c r="D138" t="s">
        <v>818</v>
      </c>
      <c r="F138">
        <v>2</v>
      </c>
      <c r="G138" s="1">
        <v>45450</v>
      </c>
      <c r="H138" s="14">
        <f>G138-DATE(YEAR(G138),1,0)</f>
        <v>159</v>
      </c>
      <c r="I138" s="10">
        <v>5</v>
      </c>
      <c r="K138" s="12">
        <v>0.26</v>
      </c>
      <c r="L138" s="8" t="s">
        <v>783</v>
      </c>
      <c r="M138" s="12" t="s">
        <v>698</v>
      </c>
      <c r="N138" s="8" t="s">
        <v>17</v>
      </c>
      <c r="O138" s="8" t="s">
        <v>807</v>
      </c>
      <c r="R138" t="s">
        <v>819</v>
      </c>
    </row>
    <row r="140" spans="1:18">
      <c r="A140" s="9" t="str">
        <f>"VSG05C-"&amp;TEXT(G140,"yy")&amp;TEXT(H140,"000")&amp;O140&amp;F140&amp;"."&amp;TEXT(RIGHT(B140),"00")</f>
        <v>VSG05C-24169F 2.01</v>
      </c>
      <c r="B140">
        <v>1</v>
      </c>
      <c r="C140" t="s">
        <v>832</v>
      </c>
      <c r="D140" t="s">
        <v>833</v>
      </c>
      <c r="F140">
        <v>2</v>
      </c>
      <c r="G140" s="1">
        <v>45460</v>
      </c>
      <c r="H140" s="14">
        <f>G140-DATE(YEAR(G140),1,0)</f>
        <v>169</v>
      </c>
      <c r="I140" s="10">
        <v>5</v>
      </c>
      <c r="K140" s="12">
        <v>0.2</v>
      </c>
      <c r="L140" s="8" t="s">
        <v>783</v>
      </c>
      <c r="M140" s="12" t="s">
        <v>698</v>
      </c>
      <c r="N140" s="8" t="s">
        <v>17</v>
      </c>
      <c r="O140" s="8" t="s">
        <v>807</v>
      </c>
      <c r="R140" t="s">
        <v>819</v>
      </c>
    </row>
    <row r="142" spans="1:18">
      <c r="A142" s="9" t="str">
        <f>"VSG05C-"&amp;TEXT(G142,"yy")&amp;TEXT(H142,"000")&amp;O142&amp;F142&amp;"."&amp;TEXT(RIGHT(B142),"00")</f>
        <v>VSG05C-24170F5.01</v>
      </c>
      <c r="B142">
        <v>1</v>
      </c>
      <c r="C142" t="s">
        <v>834</v>
      </c>
      <c r="D142" t="s">
        <v>835</v>
      </c>
      <c r="E142" t="s">
        <v>836</v>
      </c>
      <c r="F142">
        <v>5</v>
      </c>
      <c r="G142" s="1">
        <v>45461</v>
      </c>
      <c r="H142" s="14">
        <f>G142-DATE(YEAR(G142),1,0)</f>
        <v>170</v>
      </c>
      <c r="I142" s="10">
        <v>5</v>
      </c>
      <c r="K142" s="12">
        <v>0.32200000000000001</v>
      </c>
      <c r="L142" s="8" t="s">
        <v>783</v>
      </c>
      <c r="M142" s="12" t="s">
        <v>698</v>
      </c>
      <c r="N142" s="8" t="s">
        <v>17</v>
      </c>
      <c r="O142" s="8" t="s">
        <v>16</v>
      </c>
      <c r="R142" t="s">
        <v>837</v>
      </c>
    </row>
    <row r="144" spans="1:18">
      <c r="A144" s="9" t="str">
        <f>"VSG05C-"&amp;TEXT(G144,"yy")&amp;TEXT(H144,"000")&amp;O144&amp;F144&amp;"."&amp;TEXT(RIGHT(B144),"00")</f>
        <v>VSG05C-24171E2.01</v>
      </c>
      <c r="B144">
        <v>1</v>
      </c>
      <c r="C144" t="s">
        <v>838</v>
      </c>
      <c r="D144" t="s">
        <v>839</v>
      </c>
      <c r="F144">
        <v>2</v>
      </c>
      <c r="G144" s="1">
        <v>45462</v>
      </c>
      <c r="H144" s="14">
        <f>G144-DATE(YEAR(G144),1,0)</f>
        <v>171</v>
      </c>
      <c r="I144" s="10">
        <v>5</v>
      </c>
      <c r="K144" s="12">
        <v>0.27</v>
      </c>
      <c r="L144" s="8" t="s">
        <v>783</v>
      </c>
      <c r="M144" s="12" t="s">
        <v>698</v>
      </c>
      <c r="N144" s="8" t="s">
        <v>139</v>
      </c>
      <c r="O144" s="8" t="s">
        <v>13</v>
      </c>
      <c r="R144" t="s">
        <v>840</v>
      </c>
    </row>
    <row r="146" spans="1:18">
      <c r="A146" s="9" t="str">
        <f>"VSG05C-"&amp;TEXT(G146,"yy")&amp;TEXT(H146,"000")&amp;O146&amp;F146&amp;"."&amp;TEXT(RIGHT(B146),"00")</f>
        <v>VSG05C-24169F2.02</v>
      </c>
      <c r="B146">
        <v>2</v>
      </c>
      <c r="C146" t="s">
        <v>841</v>
      </c>
      <c r="D146" t="s">
        <v>842</v>
      </c>
      <c r="F146">
        <v>2</v>
      </c>
      <c r="G146" s="1">
        <v>45460</v>
      </c>
      <c r="H146" s="14">
        <f>G146-DATE(YEAR(G146),1,0)</f>
        <v>169</v>
      </c>
      <c r="I146" s="10">
        <v>5</v>
      </c>
      <c r="K146" s="12">
        <v>0.3</v>
      </c>
      <c r="L146" s="8" t="s">
        <v>698</v>
      </c>
      <c r="M146" s="12" t="s">
        <v>698</v>
      </c>
      <c r="N146" s="8" t="s">
        <v>17</v>
      </c>
      <c r="O146" s="8" t="s">
        <v>16</v>
      </c>
      <c r="R146" t="s">
        <v>843</v>
      </c>
    </row>
    <row r="148" spans="1:18">
      <c r="A148" s="9" t="str">
        <f>"VSG05C-"&amp;TEXT(G148,"yy")&amp;TEXT(H148,"000")&amp;O148&amp;F148&amp;"."&amp;TEXT(RIGHT(B148),"00")</f>
        <v>VSG05C-24177F5.01</v>
      </c>
      <c r="B148">
        <v>1</v>
      </c>
      <c r="C148" t="s">
        <v>844</v>
      </c>
      <c r="D148" t="s">
        <v>842</v>
      </c>
      <c r="E148" t="s">
        <v>836</v>
      </c>
      <c r="F148">
        <v>5</v>
      </c>
      <c r="G148" s="1">
        <v>45468</v>
      </c>
      <c r="H148" s="14">
        <f>G148-DATE(YEAR(G148),1,0)</f>
        <v>177</v>
      </c>
      <c r="I148" s="10">
        <v>5</v>
      </c>
      <c r="K148" s="12">
        <v>0.3</v>
      </c>
      <c r="L148" s="8" t="s">
        <v>698</v>
      </c>
      <c r="M148" s="12" t="s">
        <v>698</v>
      </c>
      <c r="N148" s="8" t="s">
        <v>845</v>
      </c>
      <c r="O148" s="8" t="s">
        <v>16</v>
      </c>
      <c r="R148" t="s">
        <v>846</v>
      </c>
    </row>
    <row r="149" spans="1:18">
      <c r="A149" s="9" t="str">
        <f>"VSG05C-"&amp;TEXT(G149,"yy")&amp;TEXT(H149,"000")&amp;O149&amp;F149&amp;"."&amp;TEXT(RIGHT(B149),"00")</f>
        <v>VSG05C-24179F2.01</v>
      </c>
      <c r="B149">
        <v>1</v>
      </c>
      <c r="C149" t="s">
        <v>847</v>
      </c>
      <c r="D149" t="s">
        <v>848</v>
      </c>
      <c r="E149" t="s">
        <v>849</v>
      </c>
      <c r="F149">
        <v>2</v>
      </c>
      <c r="G149" s="1">
        <v>45470</v>
      </c>
      <c r="H149" s="14">
        <f>G149-DATE(YEAR(G149),1,0)</f>
        <v>179</v>
      </c>
      <c r="I149" s="10">
        <v>5</v>
      </c>
      <c r="K149" s="12">
        <v>0.17</v>
      </c>
      <c r="L149" s="8" t="s">
        <v>698</v>
      </c>
      <c r="M149" s="12" t="s">
        <v>698</v>
      </c>
      <c r="N149" s="8" t="s">
        <v>17</v>
      </c>
      <c r="O149" s="8" t="s">
        <v>16</v>
      </c>
      <c r="R149" t="s">
        <v>843</v>
      </c>
    </row>
    <row r="150" spans="1:18">
      <c r="A150" s="9"/>
      <c r="G150" s="1"/>
      <c r="H150" s="14"/>
    </row>
    <row r="151" spans="1:18">
      <c r="A151" s="9" t="str">
        <f>"VSG05C-"&amp;TEXT(G151,"yy")&amp;TEXT(H151,"000")&amp;O151&amp;F151&amp;"."&amp;TEXT(RIGHT(B151),"00")</f>
        <v>VSG05C-24191F2.01</v>
      </c>
      <c r="B151">
        <v>1</v>
      </c>
      <c r="C151" t="s">
        <v>850</v>
      </c>
      <c r="D151" t="s">
        <v>851</v>
      </c>
      <c r="F151">
        <v>2</v>
      </c>
      <c r="G151" s="1">
        <v>45482</v>
      </c>
      <c r="H151" s="14">
        <f>G151-DATE(YEAR(G151),1,0)</f>
        <v>191</v>
      </c>
      <c r="I151" s="10">
        <v>5</v>
      </c>
      <c r="K151" s="12">
        <v>0.45</v>
      </c>
      <c r="L151" s="8" t="s">
        <v>698</v>
      </c>
      <c r="M151" s="12" t="s">
        <v>698</v>
      </c>
      <c r="N151" s="8" t="s">
        <v>852</v>
      </c>
      <c r="O151" s="8" t="s">
        <v>16</v>
      </c>
      <c r="R151" t="s">
        <v>853</v>
      </c>
    </row>
  </sheetData>
  <autoFilter ref="D1:D119" xr:uid="{090E92FF-F894-42A1-ABC4-08C92AD2B4CE}"/>
  <sortState xmlns:xlrd2="http://schemas.microsoft.com/office/spreadsheetml/2017/richdata2" ref="A3:R84">
    <sortCondition ref="G3:G84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8349-08CE-41F8-80C0-AE12315DAA41}">
  <sheetPr codeName="Sheet4"/>
  <dimension ref="A1:F17"/>
  <sheetViews>
    <sheetView workbookViewId="0">
      <selection activeCell="O8" sqref="O8"/>
    </sheetView>
  </sheetViews>
  <sheetFormatPr defaultRowHeight="15"/>
  <cols>
    <col min="1" max="1" width="12" customWidth="1"/>
    <col min="2" max="2" width="9.85546875" bestFit="1" customWidth="1"/>
    <col min="3" max="3" width="14.5703125" bestFit="1" customWidth="1"/>
    <col min="6" max="6" width="11.28515625" bestFit="1" customWidth="1"/>
    <col min="7" max="7" width="14.5703125" bestFit="1" customWidth="1"/>
    <col min="8" max="8" width="5.85546875" bestFit="1" customWidth="1"/>
  </cols>
  <sheetData>
    <row r="1" spans="1:6">
      <c r="A1" s="127" t="s">
        <v>854</v>
      </c>
      <c r="B1" s="127"/>
      <c r="C1" s="127"/>
      <c r="D1" s="127"/>
      <c r="E1" s="127"/>
    </row>
    <row r="3" spans="1:6">
      <c r="A3" t="s">
        <v>855</v>
      </c>
    </row>
    <row r="4" spans="1:6">
      <c r="A4" t="s">
        <v>856</v>
      </c>
      <c r="C4" t="s">
        <v>19</v>
      </c>
    </row>
    <row r="5" spans="1:6">
      <c r="A5">
        <f>822+208</f>
        <v>1030</v>
      </c>
      <c r="B5" t="s">
        <v>60</v>
      </c>
      <c r="C5">
        <v>0.28000000000000003</v>
      </c>
      <c r="D5" t="s">
        <v>57</v>
      </c>
    </row>
    <row r="6" spans="1:6">
      <c r="F6" s="2"/>
    </row>
    <row r="7" spans="1:6">
      <c r="A7" t="s">
        <v>857</v>
      </c>
      <c r="B7" t="s">
        <v>858</v>
      </c>
      <c r="F7" s="2"/>
    </row>
    <row r="8" spans="1:6">
      <c r="C8" t="s">
        <v>859</v>
      </c>
      <c r="D8" s="2">
        <v>0.33</v>
      </c>
      <c r="F8" s="2"/>
    </row>
    <row r="9" spans="1:6">
      <c r="A9" s="3">
        <f>0.28*600</f>
        <v>168.00000000000003</v>
      </c>
      <c r="C9" t="s">
        <v>860</v>
      </c>
      <c r="D9" s="4">
        <f>A9/822</f>
        <v>0.20437956204379565</v>
      </c>
      <c r="F9" s="2"/>
    </row>
    <row r="10" spans="1:6">
      <c r="A10">
        <f>0.28*33*25</f>
        <v>231</v>
      </c>
      <c r="C10" t="s">
        <v>861</v>
      </c>
      <c r="D10" s="4">
        <f>(A10-A9)/822</f>
        <v>7.664233576642332E-2</v>
      </c>
      <c r="F10" s="2"/>
    </row>
    <row r="11" spans="1:6">
      <c r="A11" s="3"/>
      <c r="B11">
        <v>115.7</v>
      </c>
      <c r="C11" t="s">
        <v>862</v>
      </c>
      <c r="D11" s="4">
        <f>B11/1030</f>
        <v>0.11233009708737865</v>
      </c>
      <c r="F11" s="2"/>
    </row>
    <row r="12" spans="1:6">
      <c r="A12" s="3"/>
      <c r="B12">
        <v>50.1</v>
      </c>
      <c r="C12" t="s">
        <v>863</v>
      </c>
      <c r="D12" s="4">
        <f t="shared" ref="D12:D15" si="0">B12/1030</f>
        <v>4.864077669902913E-2</v>
      </c>
      <c r="F12" s="2"/>
    </row>
    <row r="13" spans="1:6">
      <c r="A13" s="3"/>
      <c r="B13">
        <v>123.4</v>
      </c>
      <c r="C13" t="s">
        <v>864</v>
      </c>
      <c r="D13" s="4">
        <f t="shared" si="0"/>
        <v>0.11980582524271845</v>
      </c>
      <c r="F13" s="2"/>
    </row>
    <row r="14" spans="1:6">
      <c r="A14" s="3"/>
      <c r="B14">
        <v>38.5</v>
      </c>
      <c r="C14" t="s">
        <v>865</v>
      </c>
      <c r="D14" s="4">
        <f t="shared" si="0"/>
        <v>3.7378640776699029E-2</v>
      </c>
    </row>
    <row r="15" spans="1:6">
      <c r="A15" s="3"/>
      <c r="B15">
        <v>23.1</v>
      </c>
      <c r="C15" t="s">
        <v>866</v>
      </c>
      <c r="D15" s="4">
        <f t="shared" si="0"/>
        <v>2.242718446601942E-2</v>
      </c>
    </row>
    <row r="16" spans="1:6">
      <c r="C16" t="s">
        <v>867</v>
      </c>
      <c r="D16" s="4">
        <f>1-0.33-B17</f>
        <v>4.839557791793625E-2</v>
      </c>
    </row>
    <row r="17" spans="2:2">
      <c r="B17" s="5">
        <f>SUM(D11:D15,D9:D10)</f>
        <v>0.62160442208206368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45AB-9627-4332-AD27-95B7763534FE}">
  <sheetPr codeName="Sheet5"/>
  <dimension ref="A1:W50"/>
  <sheetViews>
    <sheetView topLeftCell="C1" workbookViewId="0">
      <selection activeCell="Q15" sqref="Q15"/>
    </sheetView>
  </sheetViews>
  <sheetFormatPr defaultRowHeight="15"/>
  <cols>
    <col min="2" max="2" width="11" bestFit="1" customWidth="1"/>
    <col min="3" max="3" width="12.42578125" bestFit="1" customWidth="1"/>
    <col min="4" max="4" width="13.5703125" bestFit="1" customWidth="1"/>
    <col min="5" max="5" width="10.5703125" bestFit="1" customWidth="1"/>
    <col min="6" max="6" width="11.7109375" bestFit="1" customWidth="1"/>
    <col min="10" max="10" width="11" bestFit="1" customWidth="1"/>
    <col min="11" max="11" width="12.42578125" bestFit="1" customWidth="1"/>
    <col min="12" max="12" width="13.5703125" bestFit="1" customWidth="1"/>
    <col min="13" max="13" width="10.5703125" bestFit="1" customWidth="1"/>
    <col min="14" max="14" width="11.7109375" bestFit="1" customWidth="1"/>
  </cols>
  <sheetData>
    <row r="1" spans="1:23" ht="15.7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15.75">
      <c r="A2" s="92"/>
      <c r="B2" s="128" t="s">
        <v>868</v>
      </c>
      <c r="C2" s="129"/>
      <c r="D2" s="129"/>
      <c r="E2" s="129"/>
      <c r="F2" s="130"/>
      <c r="G2" s="115"/>
      <c r="H2" s="92"/>
      <c r="I2" s="92"/>
      <c r="J2" s="128" t="s">
        <v>869</v>
      </c>
      <c r="K2" s="129"/>
      <c r="L2" s="129"/>
      <c r="M2" s="129"/>
      <c r="N2" s="130"/>
      <c r="O2" s="92"/>
      <c r="P2" s="92"/>
      <c r="Q2" s="92"/>
      <c r="R2" s="92"/>
      <c r="S2" s="92"/>
      <c r="T2" s="92"/>
      <c r="U2" s="92"/>
      <c r="V2" s="92"/>
      <c r="W2" s="92"/>
    </row>
    <row r="3" spans="1:23" ht="15.75">
      <c r="A3" s="92"/>
      <c r="B3" s="103" t="s">
        <v>23</v>
      </c>
      <c r="C3" s="115" t="s">
        <v>870</v>
      </c>
      <c r="D3" s="104" t="s">
        <v>871</v>
      </c>
      <c r="E3" s="115" t="s">
        <v>872</v>
      </c>
      <c r="F3" s="104" t="s">
        <v>873</v>
      </c>
      <c r="G3" s="92"/>
      <c r="H3" s="92"/>
      <c r="I3" s="92"/>
      <c r="J3" s="103" t="s">
        <v>23</v>
      </c>
      <c r="K3" s="115" t="s">
        <v>870</v>
      </c>
      <c r="L3" s="104" t="s">
        <v>871</v>
      </c>
      <c r="M3" s="115" t="s">
        <v>872</v>
      </c>
      <c r="N3" s="104" t="s">
        <v>873</v>
      </c>
      <c r="O3" s="92"/>
      <c r="P3" s="92"/>
      <c r="Q3" s="92"/>
      <c r="R3" s="92"/>
      <c r="S3" s="92"/>
      <c r="T3" s="92"/>
      <c r="U3" s="92"/>
      <c r="V3" s="92"/>
      <c r="W3" s="92"/>
    </row>
    <row r="4" spans="1:23" ht="15.75">
      <c r="A4" s="92"/>
      <c r="B4" s="93">
        <v>45456</v>
      </c>
      <c r="C4" s="94">
        <f>D4*2</f>
        <v>78</v>
      </c>
      <c r="D4" s="106">
        <v>39</v>
      </c>
      <c r="E4" s="94"/>
      <c r="F4" s="95"/>
      <c r="G4" s="92"/>
      <c r="H4" s="92"/>
      <c r="I4" s="92"/>
      <c r="J4" s="105">
        <v>45456</v>
      </c>
      <c r="K4" s="106">
        <v>24</v>
      </c>
      <c r="L4" s="94">
        <v>12</v>
      </c>
      <c r="M4" s="106">
        <v>52</v>
      </c>
      <c r="N4" s="107">
        <v>26</v>
      </c>
      <c r="O4" s="92">
        <f>N4+L4</f>
        <v>38</v>
      </c>
      <c r="P4" s="92"/>
      <c r="Q4" s="92"/>
      <c r="R4" s="92"/>
      <c r="S4" s="92"/>
      <c r="T4" s="92"/>
      <c r="U4" s="92"/>
      <c r="V4" s="92"/>
      <c r="W4" s="92"/>
    </row>
    <row r="5" spans="1:23" ht="15.75">
      <c r="A5" s="92"/>
      <c r="B5" s="120">
        <v>45461</v>
      </c>
      <c r="C5" s="116">
        <f>D5*2</f>
        <v>76</v>
      </c>
      <c r="D5" s="117">
        <f>D4-1</f>
        <v>38</v>
      </c>
      <c r="E5" s="116"/>
      <c r="F5" s="97"/>
      <c r="G5" s="92"/>
      <c r="H5" s="92"/>
      <c r="I5" s="92"/>
      <c r="J5" s="121">
        <v>45482</v>
      </c>
      <c r="K5" s="117"/>
      <c r="L5" s="116">
        <v>31</v>
      </c>
      <c r="M5" s="117"/>
      <c r="N5" s="109"/>
      <c r="O5" s="92"/>
      <c r="P5" s="92"/>
      <c r="Q5" s="92"/>
      <c r="R5" s="92"/>
      <c r="S5" s="92"/>
      <c r="T5" s="92"/>
      <c r="U5" s="92"/>
      <c r="V5" s="92"/>
      <c r="W5" s="92"/>
    </row>
    <row r="6" spans="1:23" ht="15.75">
      <c r="A6" s="92"/>
      <c r="B6" s="96" t="s">
        <v>874</v>
      </c>
      <c r="C6" s="116"/>
      <c r="D6" s="117">
        <v>37</v>
      </c>
      <c r="E6" s="116"/>
      <c r="F6" s="97"/>
      <c r="G6" s="92"/>
      <c r="H6" s="92"/>
      <c r="I6" s="92"/>
      <c r="J6" s="108"/>
      <c r="K6" s="117"/>
      <c r="L6" s="116"/>
      <c r="M6" s="117"/>
      <c r="N6" s="109"/>
      <c r="O6" s="92"/>
      <c r="P6" s="92"/>
      <c r="Q6" s="92"/>
      <c r="R6" s="92"/>
      <c r="S6" s="92"/>
      <c r="T6" s="92"/>
      <c r="U6" s="92"/>
      <c r="V6" s="92"/>
      <c r="W6" s="92"/>
    </row>
    <row r="7" spans="1:23" ht="15.75">
      <c r="A7" s="92"/>
      <c r="B7" s="96"/>
      <c r="C7" s="116"/>
      <c r="D7" s="117"/>
      <c r="E7" s="116"/>
      <c r="F7" s="97"/>
      <c r="G7" s="92"/>
      <c r="H7" s="92"/>
      <c r="I7" s="92"/>
      <c r="J7" s="108"/>
      <c r="K7" s="117"/>
      <c r="L7" s="116"/>
      <c r="M7" s="117"/>
      <c r="N7" s="109"/>
      <c r="O7" s="92"/>
      <c r="P7" s="92"/>
      <c r="Q7" s="92"/>
      <c r="R7" s="92"/>
      <c r="S7" s="92"/>
      <c r="T7" s="92"/>
      <c r="U7" s="92"/>
      <c r="V7" s="92"/>
      <c r="W7" s="92"/>
    </row>
    <row r="8" spans="1:23" ht="15.75">
      <c r="A8" s="92"/>
      <c r="B8" s="96"/>
      <c r="C8" s="116"/>
      <c r="D8" s="117"/>
      <c r="E8" s="116"/>
      <c r="F8" s="97"/>
      <c r="G8" s="92"/>
      <c r="H8" s="92"/>
      <c r="I8" s="92"/>
      <c r="J8" s="108"/>
      <c r="K8" s="117"/>
      <c r="L8" s="116"/>
      <c r="M8" s="117"/>
      <c r="N8" s="109"/>
      <c r="O8" s="92"/>
      <c r="P8" s="92"/>
      <c r="Q8" s="92"/>
      <c r="R8" s="92"/>
      <c r="S8" s="92"/>
      <c r="T8" s="92"/>
      <c r="U8" s="92"/>
      <c r="V8" s="92"/>
      <c r="W8" s="92"/>
    </row>
    <row r="9" spans="1:23" ht="15.75">
      <c r="A9" s="92"/>
      <c r="B9" s="96"/>
      <c r="C9" s="116"/>
      <c r="D9" s="117"/>
      <c r="E9" s="116"/>
      <c r="F9" s="97"/>
      <c r="G9" s="92"/>
      <c r="H9" s="92"/>
      <c r="I9" s="92"/>
      <c r="J9" s="108"/>
      <c r="K9" s="117"/>
      <c r="L9" s="116"/>
      <c r="M9" s="117"/>
      <c r="N9" s="109"/>
      <c r="O9" s="92"/>
      <c r="P9" s="92"/>
      <c r="Q9" s="92"/>
      <c r="R9" s="92"/>
      <c r="S9" s="92"/>
      <c r="T9" s="92"/>
      <c r="U9" s="92"/>
      <c r="V9" s="92"/>
      <c r="W9" s="92"/>
    </row>
    <row r="10" spans="1:23" ht="15.75">
      <c r="A10" s="92"/>
      <c r="B10" s="96"/>
      <c r="C10" s="116"/>
      <c r="D10" s="117"/>
      <c r="E10" s="116"/>
      <c r="F10" s="97"/>
      <c r="G10" s="92"/>
      <c r="H10" s="92"/>
      <c r="I10" s="92"/>
      <c r="J10" s="108"/>
      <c r="K10" s="117"/>
      <c r="L10" s="116"/>
      <c r="M10" s="117"/>
      <c r="N10" s="109"/>
      <c r="O10" s="92"/>
      <c r="P10" s="92"/>
      <c r="Q10" s="92"/>
      <c r="R10" s="92"/>
      <c r="S10" s="92"/>
      <c r="T10" s="92"/>
      <c r="U10" s="92"/>
      <c r="V10" s="92"/>
      <c r="W10" s="92"/>
    </row>
    <row r="11" spans="1:23" ht="15.75">
      <c r="A11" s="92"/>
      <c r="B11" s="96"/>
      <c r="C11" s="116"/>
      <c r="D11" s="117"/>
      <c r="E11" s="116"/>
      <c r="F11" s="97"/>
      <c r="G11" s="92"/>
      <c r="H11" s="92"/>
      <c r="I11" s="92"/>
      <c r="J11" s="108"/>
      <c r="K11" s="117"/>
      <c r="L11" s="116"/>
      <c r="M11" s="117"/>
      <c r="N11" s="109"/>
      <c r="O11" s="92"/>
      <c r="P11" s="92"/>
      <c r="Q11" s="92"/>
      <c r="R11" s="92"/>
      <c r="S11" s="92"/>
      <c r="T11" s="92"/>
      <c r="U11" s="92"/>
      <c r="V11" s="92"/>
      <c r="W11" s="92"/>
    </row>
    <row r="12" spans="1:23" ht="15.75">
      <c r="A12" s="92"/>
      <c r="B12" s="96"/>
      <c r="C12" s="116"/>
      <c r="D12" s="117"/>
      <c r="E12" s="116"/>
      <c r="F12" s="97"/>
      <c r="G12" s="92"/>
      <c r="H12" s="92"/>
      <c r="I12" s="92"/>
      <c r="J12" s="108"/>
      <c r="K12" s="117"/>
      <c r="L12" s="116"/>
      <c r="M12" s="117"/>
      <c r="N12" s="109"/>
      <c r="O12" s="92"/>
      <c r="P12" s="92"/>
      <c r="Q12" s="92"/>
      <c r="R12" s="92"/>
      <c r="S12" s="92"/>
      <c r="T12" s="92"/>
      <c r="U12" s="92"/>
      <c r="V12" s="92"/>
      <c r="W12" s="92"/>
    </row>
    <row r="13" spans="1:23" ht="15.75">
      <c r="A13" s="92"/>
      <c r="B13" s="96"/>
      <c r="C13" s="116"/>
      <c r="D13" s="117"/>
      <c r="E13" s="116"/>
      <c r="F13" s="97"/>
      <c r="G13" s="92"/>
      <c r="H13" s="92"/>
      <c r="I13" s="92"/>
      <c r="J13" s="108"/>
      <c r="K13" s="117"/>
      <c r="L13" s="116"/>
      <c r="M13" s="117"/>
      <c r="N13" s="109"/>
      <c r="O13" s="92"/>
      <c r="P13" s="92"/>
      <c r="Q13" s="92"/>
      <c r="R13" s="92"/>
      <c r="S13" s="92"/>
      <c r="T13" s="92"/>
      <c r="U13" s="92"/>
      <c r="V13" s="92"/>
      <c r="W13" s="92"/>
    </row>
    <row r="14" spans="1:23" ht="15.75">
      <c r="A14" s="92"/>
      <c r="B14" s="96"/>
      <c r="C14" s="116"/>
      <c r="D14" s="117"/>
      <c r="E14" s="116"/>
      <c r="F14" s="97"/>
      <c r="G14" s="92"/>
      <c r="H14" s="92"/>
      <c r="I14" s="92"/>
      <c r="J14" s="108"/>
      <c r="K14" s="117"/>
      <c r="L14" s="116"/>
      <c r="M14" s="117"/>
      <c r="N14" s="109"/>
      <c r="O14" s="92"/>
      <c r="P14" s="92"/>
      <c r="Q14" s="92">
        <f>26*7.5</f>
        <v>195</v>
      </c>
      <c r="R14" s="92"/>
      <c r="S14" s="92"/>
      <c r="T14" s="92"/>
      <c r="U14" s="92"/>
      <c r="V14" s="92"/>
      <c r="W14" s="92"/>
    </row>
    <row r="15" spans="1:23" ht="15.75">
      <c r="A15" s="92"/>
      <c r="B15" s="96"/>
      <c r="C15" s="116"/>
      <c r="D15" s="117"/>
      <c r="E15" s="116"/>
      <c r="F15" s="97"/>
      <c r="G15" s="92"/>
      <c r="H15" s="92"/>
      <c r="I15" s="92"/>
      <c r="J15" s="108"/>
      <c r="K15" s="117"/>
      <c r="L15" s="116"/>
      <c r="M15" s="117"/>
      <c r="N15" s="109"/>
      <c r="O15" s="92"/>
      <c r="P15" s="92"/>
      <c r="Q15" s="92"/>
      <c r="R15" s="92"/>
      <c r="S15" s="92"/>
      <c r="T15" s="92"/>
      <c r="U15" s="92"/>
      <c r="V15" s="92"/>
      <c r="W15" s="92"/>
    </row>
    <row r="16" spans="1:23" ht="15.75">
      <c r="A16" s="92"/>
      <c r="B16" s="96"/>
      <c r="C16" s="116"/>
      <c r="D16" s="117"/>
      <c r="E16" s="116"/>
      <c r="F16" s="97"/>
      <c r="G16" s="92"/>
      <c r="H16" s="92"/>
      <c r="I16" s="92"/>
      <c r="J16" s="108"/>
      <c r="K16" s="117"/>
      <c r="L16" s="116"/>
      <c r="M16" s="117"/>
      <c r="N16" s="109"/>
      <c r="O16" s="92"/>
      <c r="P16" s="92"/>
      <c r="Q16" s="92"/>
      <c r="R16" s="92"/>
      <c r="S16" s="92"/>
      <c r="T16" s="92"/>
      <c r="U16" s="92"/>
      <c r="V16" s="92"/>
      <c r="W16" s="92"/>
    </row>
    <row r="17" spans="1:23" ht="15.75">
      <c r="A17" s="92"/>
      <c r="B17" s="96"/>
      <c r="C17" s="116"/>
      <c r="D17" s="117"/>
      <c r="E17" s="116"/>
      <c r="F17" s="97"/>
      <c r="G17" s="92"/>
      <c r="H17" s="92"/>
      <c r="I17" s="92"/>
      <c r="J17" s="108"/>
      <c r="K17" s="117"/>
      <c r="L17" s="116"/>
      <c r="M17" s="117"/>
      <c r="N17" s="109"/>
      <c r="O17" s="92"/>
      <c r="P17" s="92"/>
      <c r="Q17" s="92"/>
      <c r="R17" s="92"/>
      <c r="S17" s="92"/>
      <c r="T17" s="92"/>
      <c r="U17" s="92"/>
      <c r="V17" s="92"/>
      <c r="W17" s="92"/>
    </row>
    <row r="18" spans="1:23" ht="15.75">
      <c r="A18" s="92"/>
      <c r="B18" s="96"/>
      <c r="C18" s="116"/>
      <c r="D18" s="117"/>
      <c r="E18" s="116"/>
      <c r="F18" s="97"/>
      <c r="G18" s="92"/>
      <c r="H18" s="92"/>
      <c r="I18" s="92"/>
      <c r="J18" s="108"/>
      <c r="K18" s="117"/>
      <c r="L18" s="116"/>
      <c r="M18" s="117"/>
      <c r="N18" s="109"/>
      <c r="O18" s="92"/>
      <c r="P18" s="92"/>
      <c r="Q18" s="92"/>
      <c r="R18" s="92"/>
      <c r="S18" s="92"/>
      <c r="T18" s="92"/>
      <c r="U18" s="92"/>
      <c r="V18" s="92"/>
      <c r="W18" s="92"/>
    </row>
    <row r="19" spans="1:23" ht="15.75">
      <c r="A19" s="92"/>
      <c r="B19" s="96"/>
      <c r="C19" s="116"/>
      <c r="D19" s="117"/>
      <c r="E19" s="116"/>
      <c r="F19" s="97"/>
      <c r="G19" s="92"/>
      <c r="H19" s="92"/>
      <c r="I19" s="92"/>
      <c r="J19" s="108"/>
      <c r="K19" s="117"/>
      <c r="L19" s="116"/>
      <c r="M19" s="117"/>
      <c r="N19" s="109"/>
      <c r="O19" s="92"/>
      <c r="P19" s="92"/>
      <c r="Q19" s="92"/>
      <c r="R19" s="92"/>
      <c r="S19" s="92"/>
      <c r="T19" s="92"/>
      <c r="U19" s="92"/>
      <c r="V19" s="92"/>
      <c r="W19" s="92"/>
    </row>
    <row r="20" spans="1:23" ht="15.75">
      <c r="A20" s="92"/>
      <c r="B20" s="96"/>
      <c r="C20" s="116"/>
      <c r="D20" s="117"/>
      <c r="E20" s="116"/>
      <c r="F20" s="97"/>
      <c r="G20" s="92"/>
      <c r="H20" s="92"/>
      <c r="I20" s="92"/>
      <c r="J20" s="108"/>
      <c r="K20" s="117"/>
      <c r="L20" s="116"/>
      <c r="M20" s="117"/>
      <c r="N20" s="109"/>
      <c r="O20" s="92"/>
      <c r="P20" s="92"/>
      <c r="Q20" s="92"/>
      <c r="R20" s="92"/>
      <c r="S20" s="92"/>
      <c r="T20" s="92"/>
      <c r="U20" s="92"/>
      <c r="V20" s="92"/>
      <c r="W20" s="92"/>
    </row>
    <row r="21" spans="1:23" ht="15.75">
      <c r="A21" s="92"/>
      <c r="B21" s="96"/>
      <c r="C21" s="116"/>
      <c r="D21" s="117"/>
      <c r="E21" s="116"/>
      <c r="F21" s="97"/>
      <c r="G21" s="92"/>
      <c r="H21" s="92"/>
      <c r="I21" s="92"/>
      <c r="J21" s="108"/>
      <c r="K21" s="117"/>
      <c r="L21" s="116"/>
      <c r="M21" s="117"/>
      <c r="N21" s="109"/>
      <c r="O21" s="92"/>
      <c r="P21" s="92"/>
      <c r="Q21" s="92"/>
      <c r="R21" s="92"/>
      <c r="S21" s="92"/>
      <c r="T21" s="92"/>
      <c r="U21" s="92"/>
      <c r="V21" s="92"/>
      <c r="W21" s="92"/>
    </row>
    <row r="22" spans="1:23" ht="15.75">
      <c r="A22" s="92"/>
      <c r="B22" s="96"/>
      <c r="C22" s="116"/>
      <c r="D22" s="117"/>
      <c r="E22" s="116"/>
      <c r="F22" s="97"/>
      <c r="G22" s="92"/>
      <c r="H22" s="92"/>
      <c r="I22" s="92"/>
      <c r="J22" s="108"/>
      <c r="K22" s="117"/>
      <c r="L22" s="116"/>
      <c r="M22" s="117"/>
      <c r="N22" s="109"/>
      <c r="O22" s="92"/>
      <c r="P22" s="92"/>
      <c r="Q22" s="92"/>
      <c r="R22" s="92"/>
      <c r="S22" s="92"/>
      <c r="T22" s="92"/>
      <c r="U22" s="92"/>
      <c r="V22" s="92"/>
      <c r="W22" s="92"/>
    </row>
    <row r="23" spans="1:23">
      <c r="B23" s="98"/>
      <c r="C23" s="119"/>
      <c r="D23" s="118"/>
      <c r="E23" s="119"/>
      <c r="F23" s="99"/>
      <c r="J23" s="110"/>
      <c r="K23" s="118"/>
      <c r="L23" s="119"/>
      <c r="M23" s="118"/>
      <c r="N23" s="111"/>
    </row>
    <row r="24" spans="1:23">
      <c r="B24" s="98"/>
      <c r="C24" s="119"/>
      <c r="D24" s="118"/>
      <c r="E24" s="119"/>
      <c r="F24" s="99"/>
      <c r="J24" s="110"/>
      <c r="K24" s="118"/>
      <c r="L24" s="119"/>
      <c r="M24" s="118"/>
      <c r="N24" s="111"/>
    </row>
    <row r="25" spans="1:23">
      <c r="B25" s="98"/>
      <c r="C25" s="119"/>
      <c r="D25" s="118"/>
      <c r="E25" s="119"/>
      <c r="F25" s="99"/>
      <c r="J25" s="110"/>
      <c r="K25" s="118"/>
      <c r="L25" s="119"/>
      <c r="M25" s="118"/>
      <c r="N25" s="111"/>
    </row>
    <row r="26" spans="1:23">
      <c r="B26" s="98"/>
      <c r="C26" s="119"/>
      <c r="D26" s="118"/>
      <c r="E26" s="119"/>
      <c r="F26" s="99"/>
      <c r="J26" s="110"/>
      <c r="K26" s="118"/>
      <c r="L26" s="119"/>
      <c r="M26" s="118"/>
      <c r="N26" s="111"/>
    </row>
    <row r="27" spans="1:23">
      <c r="B27" s="98"/>
      <c r="C27" s="119"/>
      <c r="D27" s="118"/>
      <c r="E27" s="119"/>
      <c r="F27" s="99"/>
      <c r="J27" s="110"/>
      <c r="K27" s="118"/>
      <c r="L27" s="119"/>
      <c r="M27" s="118"/>
      <c r="N27" s="111"/>
    </row>
    <row r="28" spans="1:23">
      <c r="B28" s="98"/>
      <c r="C28" s="119"/>
      <c r="D28" s="118"/>
      <c r="E28" s="119"/>
      <c r="F28" s="99"/>
      <c r="J28" s="110"/>
      <c r="K28" s="118"/>
      <c r="L28" s="119"/>
      <c r="M28" s="118"/>
      <c r="N28" s="111"/>
    </row>
    <row r="29" spans="1:23">
      <c r="B29" s="98"/>
      <c r="C29" s="119"/>
      <c r="D29" s="118"/>
      <c r="E29" s="119"/>
      <c r="F29" s="99"/>
      <c r="J29" s="110"/>
      <c r="K29" s="118"/>
      <c r="L29" s="119"/>
      <c r="M29" s="118"/>
      <c r="N29" s="111"/>
    </row>
    <row r="30" spans="1:23">
      <c r="B30" s="98"/>
      <c r="C30" s="119"/>
      <c r="D30" s="118"/>
      <c r="E30" s="119"/>
      <c r="F30" s="99"/>
      <c r="J30" s="110"/>
      <c r="K30" s="118"/>
      <c r="L30" s="119"/>
      <c r="M30" s="118"/>
      <c r="N30" s="111"/>
    </row>
    <row r="31" spans="1:23">
      <c r="B31" s="98"/>
      <c r="C31" s="119"/>
      <c r="D31" s="118"/>
      <c r="E31" s="119"/>
      <c r="F31" s="99"/>
      <c r="J31" s="110"/>
      <c r="K31" s="118"/>
      <c r="L31" s="119"/>
      <c r="M31" s="118"/>
      <c r="N31" s="111"/>
    </row>
    <row r="32" spans="1:23">
      <c r="B32" s="98"/>
      <c r="C32" s="119"/>
      <c r="D32" s="118"/>
      <c r="E32" s="119"/>
      <c r="F32" s="99"/>
      <c r="J32" s="110"/>
      <c r="K32" s="118"/>
      <c r="L32" s="119"/>
      <c r="M32" s="118"/>
      <c r="N32" s="111"/>
    </row>
    <row r="33" spans="2:14">
      <c r="B33" s="98"/>
      <c r="C33" s="119"/>
      <c r="D33" s="118"/>
      <c r="E33" s="119"/>
      <c r="F33" s="99"/>
      <c r="J33" s="110"/>
      <c r="K33" s="118"/>
      <c r="L33" s="119"/>
      <c r="M33" s="118"/>
      <c r="N33" s="111"/>
    </row>
    <row r="34" spans="2:14">
      <c r="B34" s="98"/>
      <c r="C34" s="119"/>
      <c r="D34" s="118"/>
      <c r="E34" s="119"/>
      <c r="F34" s="99"/>
      <c r="J34" s="110"/>
      <c r="K34" s="118"/>
      <c r="L34" s="119"/>
      <c r="M34" s="118"/>
      <c r="N34" s="111"/>
    </row>
    <row r="35" spans="2:14">
      <c r="B35" s="98"/>
      <c r="C35" s="119"/>
      <c r="D35" s="118"/>
      <c r="E35" s="119"/>
      <c r="F35" s="99"/>
      <c r="J35" s="110"/>
      <c r="K35" s="118"/>
      <c r="L35" s="119"/>
      <c r="M35" s="118"/>
      <c r="N35" s="111"/>
    </row>
    <row r="36" spans="2:14">
      <c r="B36" s="98"/>
      <c r="C36" s="119"/>
      <c r="D36" s="118"/>
      <c r="E36" s="119"/>
      <c r="F36" s="99"/>
      <c r="J36" s="110"/>
      <c r="K36" s="118"/>
      <c r="L36" s="119"/>
      <c r="M36" s="118"/>
      <c r="N36" s="111"/>
    </row>
    <row r="37" spans="2:14">
      <c r="B37" s="98"/>
      <c r="C37" s="119"/>
      <c r="D37" s="118"/>
      <c r="E37" s="119"/>
      <c r="F37" s="99"/>
      <c r="J37" s="110"/>
      <c r="K37" s="118"/>
      <c r="L37" s="119"/>
      <c r="M37" s="118"/>
      <c r="N37" s="111"/>
    </row>
    <row r="38" spans="2:14">
      <c r="B38" s="98"/>
      <c r="C38" s="119"/>
      <c r="D38" s="118"/>
      <c r="E38" s="119"/>
      <c r="F38" s="99"/>
      <c r="J38" s="110"/>
      <c r="K38" s="118"/>
      <c r="L38" s="119"/>
      <c r="M38" s="118"/>
      <c r="N38" s="111"/>
    </row>
    <row r="39" spans="2:14">
      <c r="B39" s="98"/>
      <c r="C39" s="119"/>
      <c r="D39" s="118"/>
      <c r="E39" s="119"/>
      <c r="F39" s="99"/>
      <c r="J39" s="110"/>
      <c r="K39" s="118"/>
      <c r="L39" s="119"/>
      <c r="M39" s="118"/>
      <c r="N39" s="111"/>
    </row>
    <row r="40" spans="2:14">
      <c r="B40" s="98"/>
      <c r="C40" s="119"/>
      <c r="D40" s="118"/>
      <c r="E40" s="119"/>
      <c r="F40" s="99"/>
      <c r="J40" s="110"/>
      <c r="K40" s="118"/>
      <c r="L40" s="119"/>
      <c r="M40" s="118"/>
      <c r="N40" s="111"/>
    </row>
    <row r="41" spans="2:14">
      <c r="B41" s="98"/>
      <c r="C41" s="119"/>
      <c r="D41" s="118"/>
      <c r="E41" s="119"/>
      <c r="F41" s="99"/>
      <c r="J41" s="110"/>
      <c r="K41" s="118"/>
      <c r="L41" s="119"/>
      <c r="M41" s="118"/>
      <c r="N41" s="111"/>
    </row>
    <row r="42" spans="2:14">
      <c r="B42" s="98"/>
      <c r="C42" s="119"/>
      <c r="D42" s="118"/>
      <c r="E42" s="119"/>
      <c r="F42" s="99"/>
      <c r="J42" s="110"/>
      <c r="K42" s="118"/>
      <c r="L42" s="119"/>
      <c r="M42" s="118"/>
      <c r="N42" s="111"/>
    </row>
    <row r="43" spans="2:14">
      <c r="B43" s="98"/>
      <c r="C43" s="119"/>
      <c r="D43" s="118"/>
      <c r="E43" s="119"/>
      <c r="F43" s="99"/>
      <c r="J43" s="110"/>
      <c r="K43" s="118"/>
      <c r="L43" s="119"/>
      <c r="M43" s="118"/>
      <c r="N43" s="111"/>
    </row>
    <row r="44" spans="2:14">
      <c r="B44" s="98"/>
      <c r="C44" s="119"/>
      <c r="D44" s="118"/>
      <c r="E44" s="119"/>
      <c r="F44" s="99"/>
      <c r="J44" s="110"/>
      <c r="K44" s="118"/>
      <c r="L44" s="119"/>
      <c r="M44" s="118"/>
      <c r="N44" s="111"/>
    </row>
    <row r="45" spans="2:14">
      <c r="B45" s="98"/>
      <c r="C45" s="119"/>
      <c r="D45" s="118"/>
      <c r="E45" s="119"/>
      <c r="F45" s="99"/>
      <c r="J45" s="110"/>
      <c r="K45" s="118"/>
      <c r="L45" s="119"/>
      <c r="M45" s="118"/>
      <c r="N45" s="111"/>
    </row>
    <row r="46" spans="2:14">
      <c r="B46" s="98"/>
      <c r="C46" s="119"/>
      <c r="D46" s="118"/>
      <c r="E46" s="119"/>
      <c r="F46" s="99"/>
      <c r="J46" s="110"/>
      <c r="K46" s="118"/>
      <c r="L46" s="119"/>
      <c r="M46" s="118"/>
      <c r="N46" s="111"/>
    </row>
    <row r="47" spans="2:14">
      <c r="B47" s="98"/>
      <c r="C47" s="119"/>
      <c r="D47" s="118"/>
      <c r="E47" s="119"/>
      <c r="F47" s="99"/>
      <c r="J47" s="110"/>
      <c r="K47" s="118"/>
      <c r="L47" s="119"/>
      <c r="M47" s="118"/>
      <c r="N47" s="111"/>
    </row>
    <row r="48" spans="2:14">
      <c r="B48" s="98"/>
      <c r="C48" s="119"/>
      <c r="D48" s="118"/>
      <c r="E48" s="119"/>
      <c r="F48" s="99"/>
      <c r="J48" s="110"/>
      <c r="K48" s="118"/>
      <c r="L48" s="119"/>
      <c r="M48" s="118"/>
      <c r="N48" s="111"/>
    </row>
    <row r="49" spans="2:14">
      <c r="B49" s="98"/>
      <c r="C49" s="119"/>
      <c r="D49" s="118"/>
      <c r="E49" s="119"/>
      <c r="F49" s="99"/>
      <c r="J49" s="110"/>
      <c r="K49" s="118"/>
      <c r="L49" s="119"/>
      <c r="M49" s="118"/>
      <c r="N49" s="111"/>
    </row>
    <row r="50" spans="2:14">
      <c r="B50" s="100"/>
      <c r="C50" s="101"/>
      <c r="D50" s="113"/>
      <c r="E50" s="101"/>
      <c r="F50" s="102"/>
      <c r="J50" s="112"/>
      <c r="K50" s="113"/>
      <c r="L50" s="101"/>
      <c r="M50" s="113"/>
      <c r="N50" s="114"/>
    </row>
  </sheetData>
  <mergeCells count="2">
    <mergeCell ref="B2:F2"/>
    <mergeCell ref="J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3a1a9-e939-4f27-b4ec-81508310e3f3">
      <Terms xmlns="http://schemas.microsoft.com/office/infopath/2007/PartnerControls"/>
    </lcf76f155ced4ddcb4097134ff3c332f>
    <TaxCatchAll xmlns="b0d669d4-f02d-4a52-8a54-bc870a139dc2" xsi:nil="true"/>
    <SharedWithUsers xmlns="b0d669d4-f02d-4a52-8a54-bc870a139dc2">
      <UserInfo>
        <DisplayName>Lisa Dunsmore</DisplayName>
        <AccountId>14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E596EE72C743A6DBD721D9092909" ma:contentTypeVersion="17" ma:contentTypeDescription="Create a new document." ma:contentTypeScope="" ma:versionID="e0b943ae84e9a719220a0ca5619baf56">
  <xsd:schema xmlns:xsd="http://www.w3.org/2001/XMLSchema" xmlns:xs="http://www.w3.org/2001/XMLSchema" xmlns:p="http://schemas.microsoft.com/office/2006/metadata/properties" xmlns:ns2="7993a1a9-e939-4f27-b4ec-81508310e3f3" xmlns:ns3="b0d669d4-f02d-4a52-8a54-bc870a139dc2" targetNamespace="http://schemas.microsoft.com/office/2006/metadata/properties" ma:root="true" ma:fieldsID="dc36951e22397c171dd311c3d143c6bd" ns2:_="" ns3:_="">
    <xsd:import namespace="7993a1a9-e939-4f27-b4ec-81508310e3f3"/>
    <xsd:import namespace="b0d669d4-f02d-4a52-8a54-bc870a139d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3a1a9-e939-4f27-b4ec-81508310e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b6df9e-4af9-4f5d-938b-65371e8ff2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669d4-f02d-4a52-8a54-bc870a139d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ab53bf-84f2-491d-813f-480d1a9cae72}" ma:internalName="TaxCatchAll" ma:showField="CatchAllData" ma:web="b0d669d4-f02d-4a52-8a54-bc870a139d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79BA46-59F6-4075-8651-15C1FF2FEBA0}"/>
</file>

<file path=customXml/itemProps2.xml><?xml version="1.0" encoding="utf-8"?>
<ds:datastoreItem xmlns:ds="http://schemas.openxmlformats.org/officeDocument/2006/customXml" ds:itemID="{E522D834-A79E-4AA4-AA2C-EE80163C766E}"/>
</file>

<file path=customXml/itemProps3.xml><?xml version="1.0" encoding="utf-8"?>
<ds:datastoreItem xmlns:ds="http://schemas.openxmlformats.org/officeDocument/2006/customXml" ds:itemID="{F7E2D693-2CF5-4709-89C8-B3665B9E15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Shule Yu</dc:creator>
  <cp:keywords/>
  <dc:description/>
  <cp:lastModifiedBy/>
  <cp:revision/>
  <dcterms:created xsi:type="dcterms:W3CDTF">2015-06-05T18:17:20Z</dcterms:created>
  <dcterms:modified xsi:type="dcterms:W3CDTF">2024-07-15T18:04:01Z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0x01010050D4E596EE72C743A6DBD721D9092909</vt:lpwstr>
  </property>
  <property fmtid="{D5CDD505-2E9C-101B-9397-08002B2CF9AE}" pid="3" name="MediaServiceImageTags">
    <vt:lpwstr/>
  </property>
</Properties>
</file>