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17fcb8849ac696/Documents/jp simulation/"/>
    </mc:Choice>
  </mc:AlternateContent>
  <xr:revisionPtr revIDLastSave="1" documentId="8_{19E1425F-A852-49F8-93ED-850993620B1F}" xr6:coauthVersionLast="47" xr6:coauthVersionMax="47" xr10:uidLastSave="{F8F781A9-AE79-4953-8768-ACD894D1DF5D}"/>
  <bookViews>
    <workbookView xWindow="-108" yWindow="-108" windowWidth="23256" windowHeight="12456" tabRatio="897" firstSheet="43" activeTab="51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Average Prices" sheetId="223" r:id="rId12"/>
    <sheet name="Revenue automotive" sheetId="182" r:id="rId13"/>
    <sheet name="GP% automotive" sheetId="185" r:id="rId14"/>
    <sheet name="GP automotive" sheetId="186" r:id="rId15"/>
    <sheet name="Cost of sales automotive" sheetId="193" r:id="rId16"/>
    <sheet name="Revenue &amp; GP autom" sheetId="212" r:id="rId17"/>
    <sheet name="Energy &amp; Other" sheetId="188" r:id="rId18"/>
    <sheet name="Revenue Energy &amp; Other" sheetId="191" r:id="rId19"/>
    <sheet name="GP Energy &amp; Other" sheetId="192" r:id="rId20"/>
    <sheet name="Cost of sales Energy &amp; Other" sheetId="206" r:id="rId21"/>
    <sheet name="Operating expenses" sheetId="194" r:id="rId22"/>
    <sheet name="Opex comparables" sheetId="197" r:id="rId23"/>
    <sheet name="Opex" sheetId="167" r:id="rId24"/>
    <sheet name="Balance Sheet --&gt;" sheetId="200" r:id="rId25"/>
    <sheet name="PP&amp;E --&gt;" sheetId="195" r:id="rId26"/>
    <sheet name="PP&amp;E" sheetId="168" r:id="rId27"/>
    <sheet name="PP&amp;E Comparables" sheetId="203" r:id="rId28"/>
    <sheet name="Working Capital --&gt; " sheetId="202" r:id="rId29"/>
    <sheet name="WC comparables" sheetId="204" r:id="rId30"/>
    <sheet name="Working capital" sheetId="169" r:id="rId31"/>
    <sheet name="WC development" sheetId="211" r:id="rId32"/>
    <sheet name="Financing --&gt;" sheetId="205" r:id="rId33"/>
    <sheet name="Financing" sheetId="172" r:id="rId34"/>
    <sheet name="WACC" sheetId="175" r:id="rId35"/>
    <sheet name="Output --&gt;" sheetId="156" r:id="rId36"/>
    <sheet name="P&amp;L" sheetId="176" r:id="rId37"/>
    <sheet name="Balance Sheet" sheetId="177" r:id="rId38"/>
    <sheet name="Cash Flow" sheetId="178" r:id="rId39"/>
    <sheet name="DCF" sheetId="179" r:id="rId40"/>
    <sheet name="Bridge charts --&gt;" sheetId="208" r:id="rId41"/>
    <sheet name="Revenue bridge" sheetId="209" r:id="rId42"/>
    <sheet name="Cash flow bridge" sheetId="210" r:id="rId43"/>
    <sheet name="Expenses bridge" sheetId="221" r:id="rId44"/>
    <sheet name="Net Income bridge" sheetId="222" r:id="rId45"/>
    <sheet name="Other charts --&gt;" sheetId="213" r:id="rId46"/>
    <sheet name="Revenue by type of car" sheetId="217" r:id="rId47"/>
    <sheet name="Types of vehicles" sheetId="214" r:id="rId48"/>
    <sheet name="Profitability" sheetId="216" r:id="rId49"/>
    <sheet name="Price - Volume - Mix --&gt;" sheetId="218" r:id="rId50"/>
    <sheet name="Price-Volume-Mix" sheetId="219" r:id="rId51"/>
    <sheet name="Sheet1" sheetId="224" r:id="rId52"/>
  </sheets>
  <definedNames>
    <definedName name="_xlchart.v1.0" hidden="1">'Revenue bridge'!$B$8:$B$15</definedName>
    <definedName name="_xlchart.v1.1" hidden="1">'Revenue bridge'!$C$8:$C$15</definedName>
    <definedName name="_xlchart.v1.10" hidden="1">'Net Income bridge'!$B$3:$B$16</definedName>
    <definedName name="_xlchart.v1.11" hidden="1">'Net Income bridge'!$C$3:$C$16</definedName>
    <definedName name="_xlchart.v1.12" hidden="1">'Price-Volume-Mix'!$B$11:$B$15</definedName>
    <definedName name="_xlchart.v1.13" hidden="1">'Price-Volume-Mix'!$C$11:$C$15</definedName>
    <definedName name="_xlchart.v1.14" hidden="1">'Price-Volume-Mix'!$B$21:$B$25</definedName>
    <definedName name="_xlchart.v1.15" hidden="1">'Price-Volume-Mix'!$C$21:$C$25</definedName>
    <definedName name="_xlchart.v1.2" hidden="1">'Revenue bridge'!$B$27:$B$34</definedName>
    <definedName name="_xlchart.v1.3" hidden="1">'Revenue bridge'!$C$27:$C$34</definedName>
    <definedName name="_xlchart.v1.4" hidden="1">'Cash flow bridge'!$B$26:$B$32</definedName>
    <definedName name="_xlchart.v1.5" hidden="1">'Cash flow bridge'!$C$26:$C$32</definedName>
    <definedName name="_xlchart.v1.6" hidden="1">'Cash flow bridge'!$B$8:$B$14</definedName>
    <definedName name="_xlchart.v1.7" hidden="1">'Cash flow bridge'!$C$8:$C$14</definedName>
    <definedName name="_xlchart.v1.8" hidden="1">'Expenses bridge'!$B$8:$B$14</definedName>
    <definedName name="_xlchart.v1.9" hidden="1">'Expenses bridge'!$C$8:$C$14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80" l="1"/>
  <c r="N18" i="180"/>
  <c r="O18" i="180"/>
  <c r="P18" i="180"/>
  <c r="Q18" i="180"/>
  <c r="G42" i="154"/>
  <c r="G41" i="154"/>
  <c r="D8" i="203" l="1"/>
  <c r="G28" i="168" l="1"/>
  <c r="F28" i="168"/>
  <c r="E28" i="168"/>
  <c r="D28" i="168"/>
  <c r="C28" i="168"/>
  <c r="C3" i="179" l="1"/>
  <c r="J17" i="192" l="1"/>
  <c r="K17" i="192"/>
  <c r="L17" i="192"/>
  <c r="M17" i="192"/>
  <c r="N17" i="192"/>
  <c r="O17" i="192"/>
  <c r="P17" i="192"/>
  <c r="Q17" i="192"/>
  <c r="I17" i="192"/>
  <c r="D9" i="207"/>
  <c r="D10" i="207"/>
  <c r="D11" i="207"/>
  <c r="D7" i="207"/>
  <c r="D8" i="207"/>
  <c r="F7" i="223" l="1"/>
  <c r="I21" i="192" l="1"/>
  <c r="J21" i="192"/>
  <c r="K21" i="192"/>
  <c r="L21" i="192"/>
  <c r="M21" i="192"/>
  <c r="N21" i="192"/>
  <c r="O21" i="192"/>
  <c r="P21" i="192"/>
  <c r="Q21" i="192"/>
  <c r="H21" i="192"/>
  <c r="H14" i="192"/>
  <c r="I14" i="192"/>
  <c r="I20" i="191"/>
  <c r="J20" i="191"/>
  <c r="K20" i="191"/>
  <c r="L20" i="191"/>
  <c r="M20" i="191"/>
  <c r="N20" i="191"/>
  <c r="O20" i="191"/>
  <c r="P20" i="191"/>
  <c r="Q20" i="191"/>
  <c r="H20" i="191"/>
  <c r="H14" i="191"/>
  <c r="I14" i="191"/>
  <c r="J14" i="191"/>
  <c r="K14" i="191"/>
  <c r="L14" i="191"/>
  <c r="M14" i="191"/>
  <c r="N14" i="191"/>
  <c r="O14" i="191"/>
  <c r="P14" i="191"/>
  <c r="Q14" i="191"/>
  <c r="F16" i="223" l="1"/>
  <c r="F17" i="223"/>
  <c r="F18" i="223"/>
  <c r="F15" i="223"/>
  <c r="F12" i="223"/>
  <c r="R6" i="182"/>
  <c r="N14" i="192" l="1"/>
  <c r="M14" i="192"/>
  <c r="J14" i="192"/>
  <c r="K14" i="192"/>
  <c r="L14" i="192"/>
  <c r="B6" i="178"/>
  <c r="O14" i="192" l="1"/>
  <c r="B37" i="168"/>
  <c r="B3" i="168"/>
  <c r="D13" i="197"/>
  <c r="Q14" i="192" l="1"/>
  <c r="P14" i="192"/>
  <c r="F8" i="185"/>
  <c r="E8" i="185"/>
  <c r="R10" i="182"/>
  <c r="K17" i="180"/>
  <c r="R9" i="182" l="1"/>
  <c r="R8" i="182"/>
  <c r="R7" i="182"/>
  <c r="R5" i="182"/>
  <c r="B27" i="209" l="1"/>
  <c r="C11" i="177" l="1"/>
  <c r="D11" i="177"/>
  <c r="E11" i="177"/>
  <c r="F11" i="177"/>
  <c r="G11" i="177"/>
  <c r="F11" i="185"/>
  <c r="F9" i="185"/>
  <c r="D9" i="185"/>
  <c r="D7" i="185"/>
  <c r="F6" i="185"/>
  <c r="E6" i="185"/>
  <c r="C42" i="154"/>
  <c r="D15" i="203"/>
  <c r="G11" i="203"/>
  <c r="D11" i="203"/>
  <c r="B43" i="168" l="1"/>
  <c r="B40" i="168"/>
  <c r="D17" i="197" l="1"/>
  <c r="E7" i="185"/>
  <c r="F10" i="185"/>
  <c r="E10" i="185"/>
  <c r="D10" i="185"/>
  <c r="G29" i="155"/>
  <c r="N19" i="180"/>
  <c r="N20" i="180"/>
  <c r="P19" i="180"/>
  <c r="P20" i="180"/>
  <c r="O19" i="180"/>
  <c r="O20" i="180"/>
  <c r="L19" i="180"/>
  <c r="L20" i="180"/>
  <c r="M19" i="180"/>
  <c r="M20" i="180"/>
  <c r="H5" i="180"/>
  <c r="H7" i="180"/>
  <c r="P16" i="180"/>
  <c r="O16" i="180"/>
  <c r="N16" i="180"/>
  <c r="M16" i="180"/>
  <c r="L16" i="180"/>
  <c r="K16" i="180"/>
  <c r="J16" i="180"/>
  <c r="I16" i="180"/>
  <c r="H16" i="180"/>
  <c r="H6" i="180" s="1"/>
  <c r="P15" i="180"/>
  <c r="O15" i="180"/>
  <c r="N15" i="180"/>
  <c r="Q17" i="180" s="1"/>
  <c r="M15" i="180"/>
  <c r="P17" i="180" s="1"/>
  <c r="L15" i="180"/>
  <c r="O17" i="180" s="1"/>
  <c r="K15" i="180"/>
  <c r="N17" i="180" s="1"/>
  <c r="J15" i="180"/>
  <c r="M17" i="180" s="1"/>
  <c r="I15" i="180"/>
  <c r="L17" i="180" s="1"/>
  <c r="F15" i="180"/>
  <c r="I17" i="180" s="1"/>
  <c r="G15" i="180"/>
  <c r="J17" i="180" s="1"/>
  <c r="F16" i="180"/>
  <c r="G16" i="180"/>
  <c r="I5" i="180" l="1"/>
  <c r="K19" i="180"/>
  <c r="J20" i="180"/>
  <c r="I7" i="180"/>
  <c r="J19" i="180"/>
  <c r="K20" i="180"/>
  <c r="E16" i="180"/>
  <c r="D16" i="180"/>
  <c r="E11" i="180"/>
  <c r="D11" i="180"/>
  <c r="C11" i="180"/>
  <c r="F11" i="180"/>
  <c r="E42" i="154" l="1"/>
  <c r="D31" i="154"/>
  <c r="C31" i="154"/>
  <c r="E27" i="154"/>
  <c r="E31" i="154" s="1"/>
  <c r="E15" i="154"/>
  <c r="E9" i="154"/>
  <c r="D9" i="154"/>
  <c r="D18" i="154" s="1"/>
  <c r="C9" i="154"/>
  <c r="C18" i="154" s="1"/>
  <c r="G28" i="155"/>
  <c r="F28" i="155"/>
  <c r="G27" i="155"/>
  <c r="F26" i="155"/>
  <c r="E31" i="155"/>
  <c r="E32" i="155"/>
  <c r="D32" i="155"/>
  <c r="C32" i="155"/>
  <c r="D31" i="155"/>
  <c r="C31" i="155"/>
  <c r="E30" i="155"/>
  <c r="D30" i="155"/>
  <c r="C30" i="155"/>
  <c r="E29" i="155"/>
  <c r="D29" i="155"/>
  <c r="C29" i="155"/>
  <c r="E28" i="155"/>
  <c r="D28" i="155"/>
  <c r="E27" i="155"/>
  <c r="D27" i="155"/>
  <c r="E26" i="155"/>
  <c r="D26" i="155"/>
  <c r="E7" i="155"/>
  <c r="E11" i="155" s="1"/>
  <c r="E15" i="155" s="1"/>
  <c r="D7" i="155"/>
  <c r="D11" i="155" s="1"/>
  <c r="D15" i="155" s="1"/>
  <c r="C7" i="155"/>
  <c r="C11" i="155" s="1"/>
  <c r="C15" i="155" s="1"/>
  <c r="E34" i="154" l="1"/>
  <c r="C34" i="154"/>
  <c r="C45" i="154"/>
  <c r="D34" i="154"/>
  <c r="D45" i="154"/>
  <c r="E18" i="154"/>
  <c r="E45" i="154" s="1"/>
  <c r="F27" i="155"/>
  <c r="F27" i="154"/>
  <c r="F31" i="154" s="1"/>
  <c r="G26" i="155"/>
  <c r="F9" i="154"/>
  <c r="F18" i="154" s="1"/>
  <c r="F31" i="155"/>
  <c r="F30" i="155"/>
  <c r="F29" i="155"/>
  <c r="F7" i="155"/>
  <c r="F11" i="155" s="1"/>
  <c r="F15" i="155" s="1"/>
  <c r="F33" i="155" s="1"/>
  <c r="F32" i="155"/>
  <c r="D33" i="155"/>
  <c r="D19" i="155"/>
  <c r="D21" i="155" s="1"/>
  <c r="D23" i="155" s="1"/>
  <c r="E33" i="155"/>
  <c r="E19" i="155"/>
  <c r="E21" i="155" s="1"/>
  <c r="E23" i="155" s="1"/>
  <c r="C33" i="155"/>
  <c r="C19" i="155"/>
  <c r="C21" i="155" s="1"/>
  <c r="C23" i="155" s="1"/>
  <c r="C36" i="155" s="1"/>
  <c r="F34" i="154" l="1"/>
  <c r="F45" i="154"/>
  <c r="C17" i="185"/>
  <c r="H7" i="185" s="1"/>
  <c r="C16" i="185"/>
  <c r="H6" i="185" s="1"/>
  <c r="F19" i="155"/>
  <c r="F21" i="155" s="1"/>
  <c r="F23" i="155" s="1"/>
  <c r="F36" i="155" s="1"/>
  <c r="C35" i="155"/>
  <c r="C34" i="155"/>
  <c r="D36" i="155"/>
  <c r="D35" i="155"/>
  <c r="D34" i="155"/>
  <c r="E36" i="155"/>
  <c r="E35" i="155"/>
  <c r="E34" i="155"/>
  <c r="C5" i="175"/>
  <c r="F35" i="155" l="1"/>
  <c r="F34" i="155"/>
  <c r="C7" i="175" l="1"/>
  <c r="E38" i="154" l="1"/>
  <c r="D38" i="154"/>
  <c r="C38" i="154"/>
  <c r="G31" i="155" l="1"/>
  <c r="G30" i="155"/>
  <c r="G11" i="217" l="1"/>
  <c r="F11" i="217"/>
  <c r="G6" i="217"/>
  <c r="F6" i="217"/>
  <c r="G5" i="217"/>
  <c r="F5" i="217"/>
  <c r="E5" i="217"/>
  <c r="D5" i="217"/>
  <c r="C5" i="217"/>
  <c r="G6" i="214"/>
  <c r="F6" i="214"/>
  <c r="G5" i="214"/>
  <c r="F5" i="214"/>
  <c r="E5" i="214"/>
  <c r="D5" i="214"/>
  <c r="F11" i="214"/>
  <c r="G11" i="214"/>
  <c r="C5" i="214"/>
  <c r="Q26" i="178" l="1"/>
  <c r="P26" i="178"/>
  <c r="O26" i="178"/>
  <c r="N26" i="178"/>
  <c r="M26" i="178"/>
  <c r="L26" i="178"/>
  <c r="K26" i="178"/>
  <c r="J26" i="178"/>
  <c r="I26" i="178"/>
  <c r="H26" i="178"/>
  <c r="Q10" i="191" l="1"/>
  <c r="P10" i="191"/>
  <c r="O10" i="191"/>
  <c r="N10" i="191"/>
  <c r="M10" i="191"/>
  <c r="Q19" i="182"/>
  <c r="Q18" i="182"/>
  <c r="Q17" i="182"/>
  <c r="Q16" i="182"/>
  <c r="Q15" i="182"/>
  <c r="Q14" i="182"/>
  <c r="P19" i="182"/>
  <c r="P18" i="182"/>
  <c r="P17" i="182"/>
  <c r="P16" i="182"/>
  <c r="P15" i="182"/>
  <c r="P14" i="182"/>
  <c r="O19" i="182"/>
  <c r="O18" i="182"/>
  <c r="O17" i="182"/>
  <c r="O16" i="182"/>
  <c r="O15" i="182"/>
  <c r="O14" i="182"/>
  <c r="N19" i="182"/>
  <c r="N18" i="182"/>
  <c r="N17" i="182"/>
  <c r="N16" i="182"/>
  <c r="N15" i="182"/>
  <c r="N14" i="182"/>
  <c r="M19" i="182"/>
  <c r="M18" i="182"/>
  <c r="M17" i="182"/>
  <c r="M16" i="182"/>
  <c r="M15" i="182"/>
  <c r="M14" i="182"/>
  <c r="D18" i="207"/>
  <c r="K8" i="180"/>
  <c r="Q20" i="180"/>
  <c r="Q19" i="180"/>
  <c r="Q16" i="180"/>
  <c r="Q15" i="180"/>
  <c r="L8" i="180" l="1"/>
  <c r="M8" i="180" s="1"/>
  <c r="N8" i="180" s="1"/>
  <c r="O8" i="180" s="1"/>
  <c r="O8" i="182" s="1"/>
  <c r="O8" i="217" s="1"/>
  <c r="C10" i="175"/>
  <c r="P8" i="180" l="1"/>
  <c r="Q8" i="180" s="1"/>
  <c r="Q8" i="182" s="1"/>
  <c r="Q8" i="217" s="1"/>
  <c r="M8" i="182"/>
  <c r="M8" i="214" s="1"/>
  <c r="N8" i="182"/>
  <c r="O8" i="214"/>
  <c r="N22" i="175"/>
  <c r="O22" i="175"/>
  <c r="Q22" i="175"/>
  <c r="M22" i="175"/>
  <c r="P22" i="175"/>
  <c r="Q8" i="214" l="1"/>
  <c r="P8" i="182"/>
  <c r="P8" i="214" s="1"/>
  <c r="N8" i="214"/>
  <c r="N8" i="217"/>
  <c r="M8" i="217"/>
  <c r="G28" i="177"/>
  <c r="G26" i="177"/>
  <c r="G24" i="177"/>
  <c r="G22" i="177"/>
  <c r="G20" i="177"/>
  <c r="G19" i="177"/>
  <c r="G15" i="177"/>
  <c r="G14" i="177"/>
  <c r="G13" i="177"/>
  <c r="G12" i="177"/>
  <c r="G9" i="177"/>
  <c r="G8" i="177"/>
  <c r="G7" i="177"/>
  <c r="G6" i="177"/>
  <c r="G5" i="177"/>
  <c r="F18" i="179" s="1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12" i="176"/>
  <c r="F13" i="176"/>
  <c r="C13" i="176"/>
  <c r="D13" i="176"/>
  <c r="D26" i="178" s="1"/>
  <c r="E13" i="176"/>
  <c r="E26" i="178" s="1"/>
  <c r="F11" i="193"/>
  <c r="E11" i="193"/>
  <c r="D11" i="193"/>
  <c r="C11" i="193"/>
  <c r="C4" i="175"/>
  <c r="C6" i="175"/>
  <c r="C7" i="172"/>
  <c r="H13" i="172" s="1"/>
  <c r="G12" i="172"/>
  <c r="G11" i="172"/>
  <c r="J14" i="204"/>
  <c r="G14" i="204"/>
  <c r="D14" i="204"/>
  <c r="J13" i="204"/>
  <c r="G13" i="204"/>
  <c r="J11" i="204"/>
  <c r="G11" i="204"/>
  <c r="D11" i="204"/>
  <c r="J10" i="204"/>
  <c r="G10" i="204"/>
  <c r="D10" i="204"/>
  <c r="J9" i="204"/>
  <c r="G9" i="204"/>
  <c r="D9" i="204"/>
  <c r="J8" i="204"/>
  <c r="G8" i="204"/>
  <c r="D8" i="204"/>
  <c r="J7" i="204"/>
  <c r="G7" i="204"/>
  <c r="P8" i="217" l="1"/>
  <c r="G15" i="175"/>
  <c r="F19" i="179"/>
  <c r="H12" i="172"/>
  <c r="H11" i="172"/>
  <c r="G10" i="176"/>
  <c r="G13" i="172"/>
  <c r="G26" i="178"/>
  <c r="C9" i="222"/>
  <c r="G6" i="178"/>
  <c r="C8" i="209"/>
  <c r="C21" i="219"/>
  <c r="C15" i="219"/>
  <c r="L7" i="204"/>
  <c r="M7" i="204" s="1"/>
  <c r="L13" i="204"/>
  <c r="M13" i="204" s="1"/>
  <c r="L14" i="204"/>
  <c r="L12" i="204"/>
  <c r="C9" i="175"/>
  <c r="L8" i="204"/>
  <c r="M8" i="204" s="1"/>
  <c r="G15" i="204"/>
  <c r="M14" i="204"/>
  <c r="L9" i="204"/>
  <c r="M9" i="204" s="1"/>
  <c r="D13" i="204"/>
  <c r="J15" i="204"/>
  <c r="D6" i="217"/>
  <c r="D6" i="214"/>
  <c r="L10" i="204"/>
  <c r="M10" i="204" s="1"/>
  <c r="D7" i="204"/>
  <c r="E6" i="217"/>
  <c r="E6" i="214"/>
  <c r="L11" i="204"/>
  <c r="M11" i="204" s="1"/>
  <c r="C6" i="214"/>
  <c r="C6" i="217"/>
  <c r="F26" i="178"/>
  <c r="C11" i="219"/>
  <c r="F4" i="212"/>
  <c r="F6" i="212" s="1"/>
  <c r="L13" i="172"/>
  <c r="K13" i="172"/>
  <c r="I13" i="172"/>
  <c r="J13" i="172"/>
  <c r="Q13" i="172"/>
  <c r="O13" i="172"/>
  <c r="N13" i="172"/>
  <c r="P13" i="172"/>
  <c r="M13" i="172"/>
  <c r="L11" i="177"/>
  <c r="O11" i="177"/>
  <c r="N11" i="177"/>
  <c r="M11" i="177"/>
  <c r="Q11" i="177"/>
  <c r="P11" i="177"/>
  <c r="H12" i="177"/>
  <c r="O12" i="177"/>
  <c r="Q12" i="177"/>
  <c r="N12" i="177"/>
  <c r="M12" i="177"/>
  <c r="P12" i="177"/>
  <c r="J14" i="177"/>
  <c r="P14" i="177"/>
  <c r="Q14" i="177"/>
  <c r="N14" i="177"/>
  <c r="M14" i="177"/>
  <c r="O14" i="177"/>
  <c r="P6" i="177"/>
  <c r="M6" i="177"/>
  <c r="O6" i="177"/>
  <c r="Q6" i="177"/>
  <c r="N6" i="177"/>
  <c r="K12" i="177"/>
  <c r="K14" i="177"/>
  <c r="I12" i="177"/>
  <c r="J12" i="177"/>
  <c r="L12" i="177"/>
  <c r="H11" i="177"/>
  <c r="H6" i="177"/>
  <c r="L14" i="177"/>
  <c r="I6" i="177"/>
  <c r="I11" i="177"/>
  <c r="L6" i="177"/>
  <c r="H14" i="177"/>
  <c r="J11" i="177"/>
  <c r="I14" i="177"/>
  <c r="K11" i="177"/>
  <c r="G11" i="193"/>
  <c r="J22" i="175"/>
  <c r="C22" i="175"/>
  <c r="I22" i="175"/>
  <c r="H22" i="175"/>
  <c r="G22" i="175"/>
  <c r="F22" i="175"/>
  <c r="L22" i="175"/>
  <c r="E22" i="175"/>
  <c r="K22" i="175"/>
  <c r="D22" i="175"/>
  <c r="G17" i="177"/>
  <c r="J6" i="177"/>
  <c r="K6" i="177"/>
  <c r="G7" i="169"/>
  <c r="G6" i="169"/>
  <c r="G5" i="169"/>
  <c r="I15" i="204"/>
  <c r="F15" i="204"/>
  <c r="C15" i="204"/>
  <c r="G10" i="168"/>
  <c r="D13" i="203"/>
  <c r="G14" i="203"/>
  <c r="D14" i="203"/>
  <c r="G13" i="203"/>
  <c r="G12" i="203"/>
  <c r="D12" i="203"/>
  <c r="G10" i="203"/>
  <c r="D10" i="203"/>
  <c r="G9" i="203"/>
  <c r="D9" i="203"/>
  <c r="G8" i="203"/>
  <c r="G7" i="203"/>
  <c r="D7" i="203"/>
  <c r="I12" i="172" l="1"/>
  <c r="H7" i="168"/>
  <c r="L15" i="204"/>
  <c r="G8" i="169"/>
  <c r="M15" i="204"/>
  <c r="D15" i="204"/>
  <c r="G16" i="203"/>
  <c r="H40" i="168" s="1"/>
  <c r="C16" i="203"/>
  <c r="F16" i="203"/>
  <c r="D16" i="203"/>
  <c r="H39" i="168" s="1"/>
  <c r="Q17" i="168" l="1"/>
  <c r="P17" i="168"/>
  <c r="L17" i="168"/>
  <c r="H17" i="168"/>
  <c r="O17" i="168"/>
  <c r="K17" i="168"/>
  <c r="N17" i="168"/>
  <c r="J17" i="168"/>
  <c r="M17" i="168"/>
  <c r="I17" i="168"/>
  <c r="H43" i="168"/>
  <c r="H37" i="168"/>
  <c r="H33" i="168" s="1"/>
  <c r="H36" i="168"/>
  <c r="H42" i="168"/>
  <c r="H32" i="168"/>
  <c r="H8" i="168" s="1"/>
  <c r="I39" i="168"/>
  <c r="I40" i="168"/>
  <c r="D7" i="197"/>
  <c r="D16" i="197"/>
  <c r="D15" i="197"/>
  <c r="D11" i="197"/>
  <c r="D10" i="197"/>
  <c r="D9" i="197"/>
  <c r="D8" i="197"/>
  <c r="G7" i="167"/>
  <c r="F7" i="167"/>
  <c r="F8" i="176" s="1"/>
  <c r="E7" i="167"/>
  <c r="E8" i="176" s="1"/>
  <c r="D7" i="167"/>
  <c r="D8" i="176" s="1"/>
  <c r="C7" i="167"/>
  <c r="C8" i="176" s="1"/>
  <c r="G6" i="192"/>
  <c r="G5" i="192"/>
  <c r="L18" i="168" l="1"/>
  <c r="K18" i="168"/>
  <c r="Q18" i="168"/>
  <c r="J18" i="168"/>
  <c r="H18" i="168"/>
  <c r="H28" i="168" s="1"/>
  <c r="H9" i="168" s="1"/>
  <c r="H10" i="168" s="1"/>
  <c r="P18" i="168"/>
  <c r="N18" i="168"/>
  <c r="M18" i="168"/>
  <c r="I18" i="168"/>
  <c r="O18" i="168"/>
  <c r="I37" i="168"/>
  <c r="I33" i="168" s="1"/>
  <c r="I43" i="168"/>
  <c r="I42" i="168"/>
  <c r="I36" i="168"/>
  <c r="I32" i="168" s="1"/>
  <c r="G7" i="192"/>
  <c r="J39" i="168"/>
  <c r="J40" i="168"/>
  <c r="G8" i="176"/>
  <c r="C6" i="222" s="1"/>
  <c r="D18" i="197"/>
  <c r="C18" i="197"/>
  <c r="F6" i="192"/>
  <c r="E6" i="192"/>
  <c r="D6" i="192"/>
  <c r="C6" i="192"/>
  <c r="F5" i="192"/>
  <c r="E5" i="192"/>
  <c r="D5" i="192"/>
  <c r="C5" i="192"/>
  <c r="L10" i="191"/>
  <c r="K10" i="191"/>
  <c r="J10" i="191"/>
  <c r="I10" i="191"/>
  <c r="H10" i="191"/>
  <c r="G6" i="191"/>
  <c r="G5" i="191"/>
  <c r="F6" i="191"/>
  <c r="F5" i="191"/>
  <c r="E6" i="191"/>
  <c r="E5" i="191"/>
  <c r="D6" i="191"/>
  <c r="D5" i="191"/>
  <c r="D5" i="206" s="1"/>
  <c r="C6" i="191"/>
  <c r="C5" i="191"/>
  <c r="C7" i="192" l="1"/>
  <c r="C6" i="206"/>
  <c r="D7" i="192"/>
  <c r="F7" i="192"/>
  <c r="J37" i="168"/>
  <c r="J33" i="168" s="1"/>
  <c r="J43" i="168"/>
  <c r="J42" i="168"/>
  <c r="J36" i="168"/>
  <c r="E7" i="192"/>
  <c r="J32" i="168"/>
  <c r="K39" i="168"/>
  <c r="K40" i="168"/>
  <c r="E5" i="206"/>
  <c r="E6" i="206"/>
  <c r="F5" i="206"/>
  <c r="F6" i="206"/>
  <c r="D6" i="206"/>
  <c r="D7" i="206" s="1"/>
  <c r="D6" i="176" s="1"/>
  <c r="C5" i="206"/>
  <c r="C7" i="206" s="1"/>
  <c r="C6" i="176" s="1"/>
  <c r="G5" i="206"/>
  <c r="G6" i="206"/>
  <c r="Q17" i="167"/>
  <c r="I17" i="167"/>
  <c r="N17" i="167"/>
  <c r="K17" i="167"/>
  <c r="J17" i="167"/>
  <c r="P17" i="167"/>
  <c r="H17" i="167"/>
  <c r="O17" i="167"/>
  <c r="M17" i="167"/>
  <c r="L17" i="167"/>
  <c r="E7" i="191"/>
  <c r="D7" i="191"/>
  <c r="F7" i="191"/>
  <c r="C7" i="191"/>
  <c r="G7" i="191"/>
  <c r="H11" i="185"/>
  <c r="H10" i="185"/>
  <c r="H8" i="185"/>
  <c r="K42" i="168" l="1"/>
  <c r="K36" i="168"/>
  <c r="K37" i="168"/>
  <c r="K33" i="168" s="1"/>
  <c r="K43" i="168"/>
  <c r="F5" i="167"/>
  <c r="F17" i="191"/>
  <c r="E7" i="206"/>
  <c r="E6" i="176" s="1"/>
  <c r="D17" i="191"/>
  <c r="L39" i="168"/>
  <c r="K32" i="168"/>
  <c r="G5" i="167"/>
  <c r="G17" i="191"/>
  <c r="E17" i="191"/>
  <c r="G7" i="206"/>
  <c r="G6" i="176" s="1"/>
  <c r="F7" i="206"/>
  <c r="F6" i="176" s="1"/>
  <c r="L40" i="168"/>
  <c r="H7" i="191"/>
  <c r="H9" i="185"/>
  <c r="M33" i="186" s="1"/>
  <c r="P30" i="186"/>
  <c r="N30" i="186"/>
  <c r="O30" i="186"/>
  <c r="Q30" i="186"/>
  <c r="M30" i="186"/>
  <c r="J30" i="186"/>
  <c r="I30" i="186"/>
  <c r="G30" i="186"/>
  <c r="L30" i="186"/>
  <c r="K30" i="186"/>
  <c r="H30" i="186"/>
  <c r="Q35" i="186"/>
  <c r="M35" i="186"/>
  <c r="N35" i="186"/>
  <c r="O35" i="186"/>
  <c r="P35" i="186"/>
  <c r="L35" i="186"/>
  <c r="K35" i="186"/>
  <c r="J35" i="186"/>
  <c r="I35" i="186"/>
  <c r="G35" i="186"/>
  <c r="H35" i="186"/>
  <c r="P34" i="186"/>
  <c r="Q34" i="186"/>
  <c r="M34" i="186"/>
  <c r="N34" i="186"/>
  <c r="O34" i="186"/>
  <c r="J34" i="186"/>
  <c r="I34" i="186"/>
  <c r="G34" i="186"/>
  <c r="H34" i="186"/>
  <c r="L34" i="186"/>
  <c r="K34" i="186"/>
  <c r="O31" i="186"/>
  <c r="N31" i="186"/>
  <c r="P31" i="186"/>
  <c r="Q31" i="186"/>
  <c r="M31" i="186"/>
  <c r="L31" i="186"/>
  <c r="K31" i="186"/>
  <c r="H31" i="186"/>
  <c r="G31" i="186"/>
  <c r="J31" i="186"/>
  <c r="I31" i="186"/>
  <c r="M32" i="186"/>
  <c r="P32" i="186"/>
  <c r="Q32" i="186"/>
  <c r="N32" i="186"/>
  <c r="O32" i="186"/>
  <c r="G32" i="186"/>
  <c r="I32" i="186"/>
  <c r="H32" i="186"/>
  <c r="L32" i="186"/>
  <c r="K32" i="186"/>
  <c r="J32" i="186"/>
  <c r="P10" i="167"/>
  <c r="P6" i="167" s="1"/>
  <c r="P14" i="167"/>
  <c r="P20" i="167"/>
  <c r="J20" i="167"/>
  <c r="J14" i="167"/>
  <c r="Q14" i="167"/>
  <c r="Q20" i="167"/>
  <c r="Q10" i="167"/>
  <c r="Q6" i="167" s="1"/>
  <c r="F5" i="176"/>
  <c r="F5" i="216" s="1"/>
  <c r="O20" i="167"/>
  <c r="O14" i="167"/>
  <c r="O10" i="167" s="1"/>
  <c r="O6" i="167" s="1"/>
  <c r="H14" i="167"/>
  <c r="H20" i="167"/>
  <c r="K20" i="167"/>
  <c r="K14" i="167"/>
  <c r="M14" i="167"/>
  <c r="M10" i="167" s="1"/>
  <c r="M6" i="167" s="1"/>
  <c r="M20" i="167"/>
  <c r="N14" i="167"/>
  <c r="N10" i="167" s="1"/>
  <c r="N6" i="167" s="1"/>
  <c r="N20" i="167"/>
  <c r="L20" i="167"/>
  <c r="L14" i="167"/>
  <c r="I14" i="167"/>
  <c r="I20" i="167"/>
  <c r="L19" i="182"/>
  <c r="K19" i="182"/>
  <c r="J19" i="182"/>
  <c r="I19" i="182"/>
  <c r="H19" i="182"/>
  <c r="H10" i="182" s="1"/>
  <c r="L18" i="182"/>
  <c r="K18" i="182"/>
  <c r="J18" i="182"/>
  <c r="I18" i="182"/>
  <c r="H18" i="182"/>
  <c r="H9" i="182" s="1"/>
  <c r="L17" i="182"/>
  <c r="K17" i="182"/>
  <c r="J17" i="182"/>
  <c r="I17" i="182"/>
  <c r="I8" i="182" s="1"/>
  <c r="H17" i="182"/>
  <c r="H8" i="182" s="1"/>
  <c r="L16" i="182"/>
  <c r="K16" i="182"/>
  <c r="J16" i="182"/>
  <c r="I16" i="182"/>
  <c r="I7" i="182" s="1"/>
  <c r="H16" i="182"/>
  <c r="L15" i="182"/>
  <c r="K15" i="182"/>
  <c r="J15" i="182"/>
  <c r="I15" i="182"/>
  <c r="H15" i="182"/>
  <c r="L14" i="182"/>
  <c r="K14" i="182"/>
  <c r="J14" i="182"/>
  <c r="I14" i="182"/>
  <c r="H14" i="182"/>
  <c r="G10" i="182"/>
  <c r="F10" i="182"/>
  <c r="E10" i="182"/>
  <c r="D10" i="182"/>
  <c r="C10" i="182"/>
  <c r="G9" i="182"/>
  <c r="F9" i="182"/>
  <c r="E9" i="182"/>
  <c r="D9" i="182"/>
  <c r="C9" i="182"/>
  <c r="G8" i="182"/>
  <c r="F8" i="182"/>
  <c r="E8" i="182"/>
  <c r="D8" i="182"/>
  <c r="C8" i="182"/>
  <c r="G7" i="182"/>
  <c r="F7" i="182"/>
  <c r="E7" i="182"/>
  <c r="D7" i="182"/>
  <c r="C7" i="182"/>
  <c r="J5" i="180"/>
  <c r="K5" i="180" s="1"/>
  <c r="L5" i="180" s="1"/>
  <c r="L42" i="168" l="1"/>
  <c r="L36" i="168"/>
  <c r="L37" i="168"/>
  <c r="L33" i="168" s="1"/>
  <c r="L43" i="168"/>
  <c r="I33" i="186"/>
  <c r="I41" i="186" s="1"/>
  <c r="L33" i="186"/>
  <c r="L41" i="186" s="1"/>
  <c r="Q33" i="186"/>
  <c r="Q25" i="186" s="1"/>
  <c r="Q17" i="186" s="1"/>
  <c r="Q8" i="186" s="1"/>
  <c r="Q8" i="193" s="1"/>
  <c r="O33" i="186"/>
  <c r="C14" i="209"/>
  <c r="C5" i="222"/>
  <c r="L32" i="168"/>
  <c r="M39" i="168"/>
  <c r="M40" i="168"/>
  <c r="M5" i="180"/>
  <c r="N5" i="180" s="1"/>
  <c r="C13" i="209"/>
  <c r="C12" i="209"/>
  <c r="J33" i="186"/>
  <c r="J25" i="186" s="1"/>
  <c r="G33" i="186"/>
  <c r="H33" i="186"/>
  <c r="H25" i="186" s="1"/>
  <c r="P33" i="186"/>
  <c r="K33" i="186"/>
  <c r="K25" i="186" s="1"/>
  <c r="N33" i="186"/>
  <c r="N41" i="186" s="1"/>
  <c r="H5" i="182"/>
  <c r="N27" i="186"/>
  <c r="N19" i="186" s="1"/>
  <c r="N43" i="186"/>
  <c r="K24" i="186"/>
  <c r="K40" i="186"/>
  <c r="K16" i="186"/>
  <c r="K26" i="186"/>
  <c r="K18" i="186" s="1"/>
  <c r="K42" i="186"/>
  <c r="M27" i="186"/>
  <c r="M19" i="186" s="1"/>
  <c r="M43" i="186"/>
  <c r="C10" i="214"/>
  <c r="C10" i="217"/>
  <c r="P16" i="186"/>
  <c r="P40" i="186"/>
  <c r="P24" i="186"/>
  <c r="J22" i="186"/>
  <c r="J38" i="186"/>
  <c r="J14" i="186"/>
  <c r="D10" i="217"/>
  <c r="D10" i="214"/>
  <c r="H24" i="186"/>
  <c r="H40" i="186"/>
  <c r="H16" i="186"/>
  <c r="M18" i="186"/>
  <c r="M42" i="186"/>
  <c r="M26" i="186"/>
  <c r="G7" i="217"/>
  <c r="G7" i="214"/>
  <c r="E10" i="217"/>
  <c r="E10" i="214"/>
  <c r="I40" i="186"/>
  <c r="I24" i="186"/>
  <c r="I16" i="186" s="1"/>
  <c r="I23" i="186"/>
  <c r="I39" i="186"/>
  <c r="I15" i="186"/>
  <c r="M23" i="186"/>
  <c r="M15" i="186" s="1"/>
  <c r="M39" i="186"/>
  <c r="Q26" i="186"/>
  <c r="Q18" i="186" s="1"/>
  <c r="Q42" i="186"/>
  <c r="K19" i="186"/>
  <c r="K27" i="186"/>
  <c r="K43" i="186"/>
  <c r="Q38" i="186"/>
  <c r="Q22" i="186"/>
  <c r="Q14" i="186" s="1"/>
  <c r="C7" i="217"/>
  <c r="C7" i="214"/>
  <c r="F6" i="167"/>
  <c r="N24" i="186"/>
  <c r="N16" i="186" s="1"/>
  <c r="N40" i="186"/>
  <c r="O23" i="186"/>
  <c r="O15" i="186" s="1"/>
  <c r="O39" i="186"/>
  <c r="G22" i="186"/>
  <c r="G14" i="186" s="1"/>
  <c r="G38" i="186"/>
  <c r="D7" i="217"/>
  <c r="D7" i="214"/>
  <c r="O42" i="186"/>
  <c r="O26" i="186"/>
  <c r="O18" i="186" s="1"/>
  <c r="G8" i="214"/>
  <c r="G8" i="217"/>
  <c r="L24" i="186"/>
  <c r="L16" i="186" s="1"/>
  <c r="L40" i="186"/>
  <c r="L42" i="186"/>
  <c r="L26" i="186"/>
  <c r="L18" i="186" s="1"/>
  <c r="Q27" i="186"/>
  <c r="Q19" i="186" s="1"/>
  <c r="Q43" i="186"/>
  <c r="J5" i="182"/>
  <c r="J5" i="214" s="1"/>
  <c r="O25" i="186"/>
  <c r="O17" i="186" s="1"/>
  <c r="O8" i="186" s="1"/>
  <c r="O8" i="193" s="1"/>
  <c r="O41" i="186"/>
  <c r="M24" i="186"/>
  <c r="M16" i="186" s="1"/>
  <c r="M40" i="186"/>
  <c r="M14" i="186"/>
  <c r="M22" i="186"/>
  <c r="M38" i="186"/>
  <c r="C9" i="214"/>
  <c r="C9" i="217"/>
  <c r="C7" i="219"/>
  <c r="C3" i="219"/>
  <c r="D9" i="217"/>
  <c r="D9" i="214"/>
  <c r="F10" i="217"/>
  <c r="F10" i="214"/>
  <c r="L25" i="186"/>
  <c r="J15" i="186"/>
  <c r="J23" i="186"/>
  <c r="J39" i="186"/>
  <c r="Q23" i="186"/>
  <c r="Q15" i="186" s="1"/>
  <c r="Q39" i="186"/>
  <c r="H42" i="186"/>
  <c r="H26" i="186"/>
  <c r="H18" i="186" s="1"/>
  <c r="H9" i="186" s="1"/>
  <c r="H9" i="193" s="1"/>
  <c r="P26" i="186"/>
  <c r="P18" i="186" s="1"/>
  <c r="P42" i="186"/>
  <c r="L19" i="186"/>
  <c r="L27" i="186"/>
  <c r="L43" i="186"/>
  <c r="H38" i="186"/>
  <c r="H22" i="186"/>
  <c r="H14" i="186" s="1"/>
  <c r="O22" i="186"/>
  <c r="O14" i="186" s="1"/>
  <c r="O38" i="186"/>
  <c r="G9" i="217"/>
  <c r="G9" i="214"/>
  <c r="I25" i="186"/>
  <c r="I17" i="186" s="1"/>
  <c r="I8" i="186" s="1"/>
  <c r="I8" i="193" s="1"/>
  <c r="H23" i="186"/>
  <c r="H15" i="186" s="1"/>
  <c r="H39" i="186"/>
  <c r="I43" i="186"/>
  <c r="I27" i="186"/>
  <c r="I19" i="186"/>
  <c r="M25" i="186"/>
  <c r="M17" i="186" s="1"/>
  <c r="M8" i="186" s="1"/>
  <c r="M8" i="193" s="1"/>
  <c r="M41" i="186"/>
  <c r="Q40" i="186"/>
  <c r="Q24" i="186"/>
  <c r="Q16" i="186" s="1"/>
  <c r="J43" i="186"/>
  <c r="J27" i="186"/>
  <c r="J19" i="186" s="1"/>
  <c r="N26" i="186"/>
  <c r="N18" i="186" s="1"/>
  <c r="N42" i="186"/>
  <c r="L39" i="186"/>
  <c r="L23" i="186"/>
  <c r="L15" i="186"/>
  <c r="E9" i="217"/>
  <c r="E9" i="214"/>
  <c r="G10" i="217"/>
  <c r="G10" i="214"/>
  <c r="G24" i="186"/>
  <c r="G40" i="186"/>
  <c r="G16" i="186"/>
  <c r="G7" i="186" s="1"/>
  <c r="G39" i="186"/>
  <c r="G23" i="186"/>
  <c r="G15" i="186" s="1"/>
  <c r="P23" i="186"/>
  <c r="P15" i="186" s="1"/>
  <c r="P39" i="186"/>
  <c r="G42" i="186"/>
  <c r="G26" i="186"/>
  <c r="G18" i="186" s="1"/>
  <c r="G9" i="186" s="1"/>
  <c r="H43" i="186"/>
  <c r="H27" i="186"/>
  <c r="H19" i="186" s="1"/>
  <c r="H10" i="186" s="1"/>
  <c r="H10" i="193" s="1"/>
  <c r="P43" i="186"/>
  <c r="P27" i="186"/>
  <c r="P19" i="186" s="1"/>
  <c r="K14" i="186"/>
  <c r="K38" i="186"/>
  <c r="K22" i="186"/>
  <c r="N22" i="186"/>
  <c r="N14" i="186" s="1"/>
  <c r="N38" i="186"/>
  <c r="E8" i="217"/>
  <c r="E8" i="214"/>
  <c r="J24" i="186"/>
  <c r="J40" i="186"/>
  <c r="J16" i="186"/>
  <c r="J26" i="186"/>
  <c r="J42" i="186"/>
  <c r="J18" i="186"/>
  <c r="F8" i="217"/>
  <c r="F8" i="214"/>
  <c r="G25" i="186"/>
  <c r="G41" i="186"/>
  <c r="G17" i="186"/>
  <c r="G8" i="186" s="1"/>
  <c r="K39" i="186"/>
  <c r="K23" i="186"/>
  <c r="K15" i="186" s="1"/>
  <c r="I38" i="186"/>
  <c r="I22" i="186"/>
  <c r="I14" i="186" s="1"/>
  <c r="E7" i="214"/>
  <c r="E7" i="217"/>
  <c r="F7" i="217"/>
  <c r="F7" i="214"/>
  <c r="C8" i="217"/>
  <c r="C8" i="214"/>
  <c r="D8" i="217"/>
  <c r="D8" i="214"/>
  <c r="F9" i="217"/>
  <c r="F9" i="214"/>
  <c r="O40" i="186"/>
  <c r="O24" i="186"/>
  <c r="O16" i="186" s="1"/>
  <c r="N39" i="186"/>
  <c r="N23" i="186"/>
  <c r="N15" i="186" s="1"/>
  <c r="I26" i="186"/>
  <c r="I18" i="186" s="1"/>
  <c r="I42" i="186"/>
  <c r="G27" i="186"/>
  <c r="G19" i="186" s="1"/>
  <c r="G10" i="186" s="1"/>
  <c r="G43" i="186"/>
  <c r="O43" i="186"/>
  <c r="O27" i="186"/>
  <c r="O19" i="186" s="1"/>
  <c r="L22" i="186"/>
  <c r="L38" i="186"/>
  <c r="L14" i="186"/>
  <c r="P38" i="186"/>
  <c r="P22" i="186"/>
  <c r="P14" i="186" s="1"/>
  <c r="H8" i="214"/>
  <c r="H8" i="217"/>
  <c r="I8" i="214"/>
  <c r="I8" i="217"/>
  <c r="H10" i="214"/>
  <c r="H16" i="214" s="1"/>
  <c r="H10" i="217"/>
  <c r="H9" i="214"/>
  <c r="H15" i="214" s="1"/>
  <c r="H9" i="217"/>
  <c r="C31" i="209"/>
  <c r="I5" i="182"/>
  <c r="H7" i="182"/>
  <c r="C11" i="209" s="1"/>
  <c r="L5" i="182"/>
  <c r="K5" i="182"/>
  <c r="E11" i="182"/>
  <c r="D11" i="182"/>
  <c r="G11" i="180"/>
  <c r="Q41" i="186" l="1"/>
  <c r="M42" i="168"/>
  <c r="M36" i="168"/>
  <c r="M32" i="168" s="1"/>
  <c r="M43" i="168"/>
  <c r="M37" i="168"/>
  <c r="L17" i="186"/>
  <c r="M5" i="182"/>
  <c r="M5" i="186" s="1"/>
  <c r="M5" i="193" s="1"/>
  <c r="J17" i="186"/>
  <c r="C8" i="219"/>
  <c r="C4" i="219"/>
  <c r="C13" i="219" s="1"/>
  <c r="J41" i="186"/>
  <c r="N39" i="168"/>
  <c r="M33" i="168"/>
  <c r="N40" i="168"/>
  <c r="D4" i="212"/>
  <c r="D6" i="212" s="1"/>
  <c r="D5" i="167"/>
  <c r="D6" i="167" s="1"/>
  <c r="H5" i="217"/>
  <c r="C9" i="209"/>
  <c r="E4" i="212"/>
  <c r="E6" i="212" s="1"/>
  <c r="E5" i="167"/>
  <c r="E6" i="167" s="1"/>
  <c r="H17" i="186"/>
  <c r="H8" i="186" s="1"/>
  <c r="H8" i="193" s="1"/>
  <c r="H41" i="186"/>
  <c r="N25" i="186"/>
  <c r="N17" i="186" s="1"/>
  <c r="N8" i="186" s="1"/>
  <c r="N8" i="193" s="1"/>
  <c r="P41" i="186"/>
  <c r="P25" i="186"/>
  <c r="P17" i="186" s="1"/>
  <c r="P8" i="186" s="1"/>
  <c r="P8" i="193" s="1"/>
  <c r="K17" i="186"/>
  <c r="K41" i="186"/>
  <c r="H5" i="186"/>
  <c r="H5" i="193" s="1"/>
  <c r="H5" i="214"/>
  <c r="E11" i="217"/>
  <c r="D11" i="214"/>
  <c r="J5" i="186"/>
  <c r="J5" i="217"/>
  <c r="G10" i="193"/>
  <c r="G7" i="193"/>
  <c r="G8" i="193"/>
  <c r="G9" i="193"/>
  <c r="C11" i="214"/>
  <c r="D11" i="217"/>
  <c r="O5" i="180"/>
  <c r="N5" i="182"/>
  <c r="N5" i="186" s="1"/>
  <c r="C11" i="217"/>
  <c r="I7" i="191"/>
  <c r="E11" i="214"/>
  <c r="L5" i="186"/>
  <c r="L5" i="193" s="1"/>
  <c r="L5" i="214"/>
  <c r="L5" i="217"/>
  <c r="H7" i="214"/>
  <c r="H7" i="217"/>
  <c r="K5" i="186"/>
  <c r="K5" i="193" s="1"/>
  <c r="K5" i="214"/>
  <c r="K5" i="217"/>
  <c r="I5" i="217"/>
  <c r="I5" i="214"/>
  <c r="H7" i="186"/>
  <c r="H7" i="193" s="1"/>
  <c r="I5" i="186"/>
  <c r="I5" i="193" s="1"/>
  <c r="C28" i="209"/>
  <c r="D5" i="176"/>
  <c r="E5" i="176"/>
  <c r="E5" i="216" s="1"/>
  <c r="C11" i="182"/>
  <c r="C5" i="167" s="1"/>
  <c r="N36" i="168" l="1"/>
  <c r="N42" i="168"/>
  <c r="N43" i="168"/>
  <c r="N37" i="168"/>
  <c r="M5" i="217"/>
  <c r="M5" i="214"/>
  <c r="C14" i="219"/>
  <c r="N32" i="168"/>
  <c r="O39" i="168"/>
  <c r="N33" i="168"/>
  <c r="O40" i="168"/>
  <c r="D5" i="216"/>
  <c r="J5" i="193"/>
  <c r="J7" i="191"/>
  <c r="C6" i="167"/>
  <c r="C4" i="212"/>
  <c r="C6" i="212" s="1"/>
  <c r="P5" i="180"/>
  <c r="O5" i="182"/>
  <c r="N5" i="214"/>
  <c r="N5" i="217"/>
  <c r="N5" i="193"/>
  <c r="G5" i="176"/>
  <c r="C5" i="176"/>
  <c r="C5" i="216" s="1"/>
  <c r="O43" i="168" l="1"/>
  <c r="O37" i="168"/>
  <c r="O36" i="168"/>
  <c r="O32" i="168" s="1"/>
  <c r="O42" i="168"/>
  <c r="P39" i="168"/>
  <c r="P40" i="168"/>
  <c r="O33" i="168"/>
  <c r="G5" i="216"/>
  <c r="C4" i="222"/>
  <c r="O5" i="217"/>
  <c r="O5" i="214"/>
  <c r="O5" i="186"/>
  <c r="K7" i="191"/>
  <c r="Q5" i="180"/>
  <c r="P5" i="182"/>
  <c r="G16" i="177"/>
  <c r="G25" i="177"/>
  <c r="G10" i="177"/>
  <c r="G23" i="177"/>
  <c r="G21" i="177"/>
  <c r="G27" i="177"/>
  <c r="G6" i="167"/>
  <c r="H10" i="167"/>
  <c r="H6" i="167" s="1"/>
  <c r="P37" i="168" l="1"/>
  <c r="P33" i="168" s="1"/>
  <c r="P43" i="168"/>
  <c r="P36" i="168"/>
  <c r="P32" i="168" s="1"/>
  <c r="P42" i="168"/>
  <c r="Q39" i="168"/>
  <c r="Q40" i="168"/>
  <c r="L7" i="191"/>
  <c r="P5" i="217"/>
  <c r="P5" i="214"/>
  <c r="P5" i="186"/>
  <c r="O5" i="193"/>
  <c r="Q5" i="182"/>
  <c r="L10" i="167"/>
  <c r="L6" i="167" s="1"/>
  <c r="J10" i="167"/>
  <c r="J6" i="167" s="1"/>
  <c r="K10" i="167"/>
  <c r="K6" i="167" s="1"/>
  <c r="I10" i="167"/>
  <c r="I6" i="167" s="1"/>
  <c r="G13" i="169"/>
  <c r="G12" i="169"/>
  <c r="G32" i="177"/>
  <c r="G29" i="177"/>
  <c r="G27" i="154"/>
  <c r="G38" i="154" s="1"/>
  <c r="G9" i="154"/>
  <c r="G18" i="154" s="1"/>
  <c r="G32" i="155"/>
  <c r="G7" i="155"/>
  <c r="G11" i="155" l="1"/>
  <c r="G40" i="154"/>
  <c r="G16" i="175"/>
  <c r="G18" i="175" s="1"/>
  <c r="Q42" i="168"/>
  <c r="Q36" i="168"/>
  <c r="Q32" i="168" s="1"/>
  <c r="Q43" i="168"/>
  <c r="Q37" i="168"/>
  <c r="Q33" i="168" s="1"/>
  <c r="G15" i="155"/>
  <c r="G33" i="155" s="1"/>
  <c r="G11" i="169"/>
  <c r="G14" i="169" s="1"/>
  <c r="P5" i="193"/>
  <c r="Q5" i="214"/>
  <c r="Q5" i="217"/>
  <c r="Q5" i="186"/>
  <c r="M7" i="191"/>
  <c r="G31" i="154"/>
  <c r="G31" i="177"/>
  <c r="G30" i="177"/>
  <c r="C12" i="219"/>
  <c r="G39" i="154"/>
  <c r="G34" i="154" l="1"/>
  <c r="G45" i="154"/>
  <c r="G19" i="175"/>
  <c r="G19" i="155"/>
  <c r="G21" i="155" s="1"/>
  <c r="G23" i="155" s="1"/>
  <c r="G34" i="155" s="1"/>
  <c r="G43" i="154"/>
  <c r="G17" i="176"/>
  <c r="N7" i="191"/>
  <c r="Q5" i="193"/>
  <c r="G36" i="155" l="1"/>
  <c r="G35" i="155"/>
  <c r="O7" i="191"/>
  <c r="P7" i="191" l="1"/>
  <c r="F12" i="176"/>
  <c r="C12" i="176"/>
  <c r="F5" i="177"/>
  <c r="E5" i="177"/>
  <c r="D5" i="177"/>
  <c r="F6" i="177"/>
  <c r="E6" i="177"/>
  <c r="D6" i="177"/>
  <c r="C6" i="177"/>
  <c r="C5" i="177"/>
  <c r="C32" i="178" s="1"/>
  <c r="F6" i="178" l="1"/>
  <c r="F25" i="178" s="1"/>
  <c r="C8" i="222"/>
  <c r="Q7" i="191"/>
  <c r="C31" i="178"/>
  <c r="E29" i="177" l="1"/>
  <c r="E30" i="177" s="1"/>
  <c r="D29" i="177"/>
  <c r="D30" i="177" s="1"/>
  <c r="C29" i="177"/>
  <c r="C30" i="177" s="1"/>
  <c r="E32" i="177"/>
  <c r="D32" i="177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E20" i="177"/>
  <c r="D20" i="177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E12" i="176"/>
  <c r="D12" i="176"/>
  <c r="D6" i="178" s="1"/>
  <c r="D25" i="178" s="1"/>
  <c r="F12" i="172"/>
  <c r="F10" i="176" s="1"/>
  <c r="C7" i="222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5" i="177" l="1"/>
  <c r="P25" i="177"/>
  <c r="O25" i="177"/>
  <c r="N25" i="177"/>
  <c r="M25" i="177"/>
  <c r="L25" i="177"/>
  <c r="K25" i="177"/>
  <c r="J25" i="177"/>
  <c r="H25" i="177"/>
  <c r="I25" i="177"/>
  <c r="K10" i="177"/>
  <c r="L10" i="177"/>
  <c r="M10" i="177"/>
  <c r="N10" i="177"/>
  <c r="O10" i="177"/>
  <c r="P10" i="177"/>
  <c r="Q10" i="177"/>
  <c r="I10" i="177"/>
  <c r="J10" i="177"/>
  <c r="J23" i="177"/>
  <c r="K23" i="177"/>
  <c r="H23" i="177"/>
  <c r="N23" i="177"/>
  <c r="L23" i="177"/>
  <c r="O23" i="177"/>
  <c r="M23" i="177"/>
  <c r="P23" i="177"/>
  <c r="Q23" i="177"/>
  <c r="I23" i="177"/>
  <c r="P16" i="177"/>
  <c r="Q16" i="177"/>
  <c r="N16" i="177"/>
  <c r="I16" i="177"/>
  <c r="J16" i="177"/>
  <c r="L16" i="177"/>
  <c r="M16" i="177"/>
  <c r="O16" i="177"/>
  <c r="K16" i="177"/>
  <c r="P27" i="177"/>
  <c r="H27" i="177"/>
  <c r="Q27" i="177"/>
  <c r="I27" i="177"/>
  <c r="O27" i="177"/>
  <c r="N27" i="177"/>
  <c r="M27" i="177"/>
  <c r="J27" i="177"/>
  <c r="L27" i="177"/>
  <c r="K27" i="177"/>
  <c r="F21" i="177"/>
  <c r="D21" i="177"/>
  <c r="D18" i="178"/>
  <c r="D16" i="175"/>
  <c r="D18" i="175" s="1"/>
  <c r="E18" i="178"/>
  <c r="H16" i="177"/>
  <c r="H10" i="177"/>
  <c r="O21" i="175"/>
  <c r="P21" i="175"/>
  <c r="N21" i="175"/>
  <c r="Q21" i="175"/>
  <c r="M21" i="175"/>
  <c r="E6" i="178"/>
  <c r="E25" i="178" s="1"/>
  <c r="E10" i="177"/>
  <c r="E17" i="178"/>
  <c r="E13" i="178"/>
  <c r="E11" i="178"/>
  <c r="E21" i="177"/>
  <c r="E23" i="178"/>
  <c r="E15" i="175"/>
  <c r="E16" i="175"/>
  <c r="E12" i="178"/>
  <c r="D30" i="178"/>
  <c r="C34" i="178"/>
  <c r="C18" i="175"/>
  <c r="C19" i="175"/>
  <c r="F21" i="175"/>
  <c r="L21" i="175"/>
  <c r="E21" i="175"/>
  <c r="J21" i="175"/>
  <c r="I21" i="175"/>
  <c r="K21" i="175"/>
  <c r="D21" i="175"/>
  <c r="C21" i="175"/>
  <c r="H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D19" i="175" l="1"/>
  <c r="D24" i="175" s="1"/>
  <c r="L21" i="177"/>
  <c r="P21" i="177"/>
  <c r="I21" i="177"/>
  <c r="H21" i="177"/>
  <c r="J21" i="177"/>
  <c r="K21" i="177"/>
  <c r="Q21" i="177"/>
  <c r="M21" i="177"/>
  <c r="N21" i="177"/>
  <c r="O21" i="177"/>
  <c r="D14" i="178"/>
  <c r="E19" i="175"/>
  <c r="E18" i="175"/>
  <c r="C24" i="175"/>
  <c r="E14" i="178"/>
  <c r="F14" i="178"/>
  <c r="D22" i="178"/>
  <c r="E36" i="177"/>
  <c r="C36" i="177"/>
  <c r="D36" i="177"/>
  <c r="E24" i="175" l="1"/>
  <c r="C7" i="168"/>
  <c r="F10" i="168"/>
  <c r="E10" i="168"/>
  <c r="D10" i="168"/>
  <c r="C10" i="168"/>
  <c r="C8" i="168" s="1"/>
  <c r="F29" i="177"/>
  <c r="F38" i="154"/>
  <c r="F14" i="177"/>
  <c r="F42" i="154"/>
  <c r="F13" i="169" s="1"/>
  <c r="F41" i="154"/>
  <c r="F12" i="169" s="1"/>
  <c r="F18" i="178" l="1"/>
  <c r="G18" i="178"/>
  <c r="F40" i="154"/>
  <c r="F11" i="169" s="1"/>
  <c r="F14" i="169" s="1"/>
  <c r="E8" i="178"/>
  <c r="F30" i="177"/>
  <c r="G7" i="168"/>
  <c r="G8" i="168" s="1"/>
  <c r="D8" i="178"/>
  <c r="F8" i="178"/>
  <c r="F17" i="177"/>
  <c r="F17" i="178"/>
  <c r="F32" i="177"/>
  <c r="F31" i="177"/>
  <c r="F39" i="154"/>
  <c r="F7" i="168"/>
  <c r="F8" i="168" s="1"/>
  <c r="D7" i="168"/>
  <c r="D8" i="168" s="1"/>
  <c r="Q30" i="177" l="1"/>
  <c r="H30" i="177"/>
  <c r="I30" i="177"/>
  <c r="P30" i="177"/>
  <c r="J30" i="177"/>
  <c r="K30" i="177"/>
  <c r="L30" i="177"/>
  <c r="M30" i="177"/>
  <c r="N30" i="177"/>
  <c r="O30" i="177"/>
  <c r="F16" i="175"/>
  <c r="F19" i="175" s="1"/>
  <c r="F16" i="178"/>
  <c r="F17" i="176"/>
  <c r="F43" i="154"/>
  <c r="F34" i="177"/>
  <c r="F36" i="177" s="1"/>
  <c r="D16" i="178"/>
  <c r="F18" i="175" l="1"/>
  <c r="G16" i="178"/>
  <c r="F24" i="175"/>
  <c r="E7" i="168"/>
  <c r="E8" i="168" s="1"/>
  <c r="E16" i="178" l="1"/>
  <c r="E13" i="169" l="1"/>
  <c r="D42" i="154"/>
  <c r="D13" i="169" s="1"/>
  <c r="C13" i="169"/>
  <c r="E41" i="154"/>
  <c r="E12" i="169" s="1"/>
  <c r="D41" i="154"/>
  <c r="D12" i="169" s="1"/>
  <c r="C41" i="154"/>
  <c r="C12" i="169" s="1"/>
  <c r="E39" i="154"/>
  <c r="D39" i="154"/>
  <c r="C39" i="154"/>
  <c r="P12" i="169" l="1"/>
  <c r="O12" i="169"/>
  <c r="N12" i="169"/>
  <c r="M12" i="169"/>
  <c r="Q12" i="169"/>
  <c r="P13" i="169"/>
  <c r="Q13" i="169"/>
  <c r="O13" i="169"/>
  <c r="N13" i="169"/>
  <c r="M13" i="169"/>
  <c r="L12" i="169"/>
  <c r="K12" i="169"/>
  <c r="J12" i="169"/>
  <c r="I12" i="169"/>
  <c r="H12" i="169"/>
  <c r="H13" i="169"/>
  <c r="L13" i="169"/>
  <c r="K13" i="169"/>
  <c r="I13" i="169"/>
  <c r="J13" i="169"/>
  <c r="D40" i="154"/>
  <c r="D11" i="169" s="1"/>
  <c r="D14" i="169" s="1"/>
  <c r="C40" i="154"/>
  <c r="E40" i="154"/>
  <c r="F7" i="176"/>
  <c r="F9" i="176" l="1"/>
  <c r="F9" i="216" s="1"/>
  <c r="F7" i="216" s="1"/>
  <c r="F8" i="216"/>
  <c r="F6" i="216" s="1"/>
  <c r="E7" i="176"/>
  <c r="D43" i="154"/>
  <c r="C11" i="169"/>
  <c r="C43" i="154"/>
  <c r="E11" i="169"/>
  <c r="E14" i="169" s="1"/>
  <c r="E43" i="154"/>
  <c r="C17" i="176" l="1"/>
  <c r="E17" i="176"/>
  <c r="D17" i="176"/>
  <c r="M11" i="169"/>
  <c r="N11" i="169"/>
  <c r="Q11" i="169"/>
  <c r="P11" i="169"/>
  <c r="O11" i="169"/>
  <c r="E9" i="176"/>
  <c r="E11" i="176" s="1"/>
  <c r="E8" i="216"/>
  <c r="E6" i="216" s="1"/>
  <c r="F11" i="176"/>
  <c r="F14" i="176" s="1"/>
  <c r="F5" i="178"/>
  <c r="F7" i="178" s="1"/>
  <c r="F9" i="178" s="1"/>
  <c r="F20" i="178" s="1"/>
  <c r="C14" i="169"/>
  <c r="L11" i="169"/>
  <c r="K11" i="169"/>
  <c r="I11" i="169"/>
  <c r="H11" i="169"/>
  <c r="J11" i="169"/>
  <c r="D7" i="176"/>
  <c r="C3" i="222" l="1"/>
  <c r="F24" i="178"/>
  <c r="E14" i="176"/>
  <c r="E24" i="178" s="1"/>
  <c r="J14" i="169"/>
  <c r="H14" i="169"/>
  <c r="I14" i="169"/>
  <c r="K14" i="169"/>
  <c r="L14" i="169"/>
  <c r="O14" i="169"/>
  <c r="P14" i="169"/>
  <c r="Q14" i="169"/>
  <c r="N14" i="169"/>
  <c r="M14" i="169"/>
  <c r="E9" i="216"/>
  <c r="E7" i="216" s="1"/>
  <c r="E5" i="178"/>
  <c r="E7" i="178" s="1"/>
  <c r="E9" i="178" s="1"/>
  <c r="E20" i="178" s="1"/>
  <c r="D9" i="176"/>
  <c r="D8" i="216"/>
  <c r="D6" i="216" s="1"/>
  <c r="F18" i="176"/>
  <c r="G11" i="178"/>
  <c r="G12" i="178"/>
  <c r="G7" i="176"/>
  <c r="G8" i="216" s="1"/>
  <c r="G6" i="216" s="1"/>
  <c r="E18" i="176" l="1"/>
  <c r="D11" i="176"/>
  <c r="D14" i="176" s="1"/>
  <c r="D9" i="216"/>
  <c r="D7" i="216" s="1"/>
  <c r="D5" i="178"/>
  <c r="D7" i="178" s="1"/>
  <c r="G8" i="178"/>
  <c r="G9" i="176"/>
  <c r="G13" i="178"/>
  <c r="D9" i="178" l="1"/>
  <c r="D20" i="178" s="1"/>
  <c r="D18" i="176"/>
  <c r="D24" i="178"/>
  <c r="G9" i="216"/>
  <c r="G7" i="216" s="1"/>
  <c r="G5" i="178"/>
  <c r="G7" i="178" s="1"/>
  <c r="G9" i="178" s="1"/>
  <c r="G14" i="178"/>
  <c r="G11" i="176"/>
  <c r="G14" i="176" s="1"/>
  <c r="D28" i="178" l="1"/>
  <c r="D31" i="178" s="1"/>
  <c r="D32" i="178" s="1"/>
  <c r="D34" i="178" s="1"/>
  <c r="C10" i="222"/>
  <c r="G24" i="178"/>
  <c r="G18" i="176"/>
  <c r="G25" i="178" l="1"/>
  <c r="C7" i="176" l="1"/>
  <c r="C9" i="176" l="1"/>
  <c r="C11" i="176" s="1"/>
  <c r="C14" i="176" s="1"/>
  <c r="C8" i="216"/>
  <c r="C6" i="216" s="1"/>
  <c r="G17" i="178"/>
  <c r="C18" i="176" l="1"/>
  <c r="C9" i="216"/>
  <c r="C7" i="216" s="1"/>
  <c r="G20" i="178"/>
  <c r="F28" i="178"/>
  <c r="F31" i="178" s="1"/>
  <c r="E28" i="178"/>
  <c r="E31" i="178" s="1"/>
  <c r="E30" i="178" l="1"/>
  <c r="E32" i="178" s="1"/>
  <c r="E34" i="178" s="1"/>
  <c r="F30" i="178" l="1"/>
  <c r="F32" i="178" s="1"/>
  <c r="F34" i="178" s="1"/>
  <c r="G23" i="178"/>
  <c r="G34" i="177"/>
  <c r="G30" i="178" l="1"/>
  <c r="G28" i="178"/>
  <c r="G31" i="178" l="1"/>
  <c r="G32" i="178" s="1"/>
  <c r="H30" i="178" s="1"/>
  <c r="C8" i="210"/>
  <c r="C8" i="221"/>
  <c r="G36" i="177"/>
  <c r="G34" i="178" l="1"/>
  <c r="J10" i="180"/>
  <c r="K10" i="180" s="1"/>
  <c r="L10" i="180" s="1"/>
  <c r="M10" i="180" s="1"/>
  <c r="J9" i="180"/>
  <c r="K9" i="180" s="1"/>
  <c r="L9" i="180" s="1"/>
  <c r="M9" i="180" s="1"/>
  <c r="N10" i="180" l="1"/>
  <c r="M10" i="182"/>
  <c r="N9" i="180"/>
  <c r="M9" i="182"/>
  <c r="J8" i="182"/>
  <c r="I10" i="182"/>
  <c r="J7" i="180"/>
  <c r="K7" i="180" s="1"/>
  <c r="L7" i="180" s="1"/>
  <c r="I9" i="182"/>
  <c r="I6" i="180"/>
  <c r="I6" i="182" s="1"/>
  <c r="H6" i="182"/>
  <c r="C10" i="209" s="1"/>
  <c r="H11" i="180"/>
  <c r="C9" i="219" l="1"/>
  <c r="C22" i="219" s="1"/>
  <c r="D23" i="207"/>
  <c r="M7" i="180"/>
  <c r="M7" i="182" s="1"/>
  <c r="M9" i="217"/>
  <c r="M9" i="214"/>
  <c r="M15" i="214" s="1"/>
  <c r="M9" i="186"/>
  <c r="M9" i="193" s="1"/>
  <c r="O9" i="180"/>
  <c r="N9" i="182"/>
  <c r="M10" i="214"/>
  <c r="M16" i="214" s="1"/>
  <c r="M10" i="217"/>
  <c r="M10" i="186"/>
  <c r="M10" i="193" s="1"/>
  <c r="N7" i="180"/>
  <c r="O10" i="180"/>
  <c r="N10" i="182"/>
  <c r="H6" i="214"/>
  <c r="H6" i="217"/>
  <c r="H11" i="217" s="1"/>
  <c r="I10" i="214"/>
  <c r="I16" i="214" s="1"/>
  <c r="I10" i="217"/>
  <c r="I6" i="214"/>
  <c r="I6" i="217"/>
  <c r="I9" i="214"/>
  <c r="I15" i="214" s="1"/>
  <c r="I9" i="217"/>
  <c r="I7" i="214"/>
  <c r="I7" i="217"/>
  <c r="J8" i="186"/>
  <c r="J8" i="193" s="1"/>
  <c r="J8" i="214"/>
  <c r="J8" i="217"/>
  <c r="C29" i="209"/>
  <c r="I7" i="186"/>
  <c r="I7" i="193" s="1"/>
  <c r="C30" i="209"/>
  <c r="I9" i="186"/>
  <c r="I9" i="193" s="1"/>
  <c r="C32" i="209"/>
  <c r="I10" i="186"/>
  <c r="I10" i="193" s="1"/>
  <c r="C33" i="209"/>
  <c r="I11" i="180"/>
  <c r="J6" i="180"/>
  <c r="J11" i="180" s="1"/>
  <c r="J10" i="182"/>
  <c r="J9" i="182"/>
  <c r="J7" i="182"/>
  <c r="H6" i="186"/>
  <c r="H6" i="193" s="1"/>
  <c r="H11" i="182"/>
  <c r="I6" i="186"/>
  <c r="I6" i="193" s="1"/>
  <c r="I11" i="182"/>
  <c r="L8" i="182"/>
  <c r="K8" i="182"/>
  <c r="H5" i="176" l="1"/>
  <c r="H5" i="169" s="1"/>
  <c r="H5" i="167"/>
  <c r="I5" i="176"/>
  <c r="I5" i="167"/>
  <c r="N9" i="214"/>
  <c r="N15" i="214" s="1"/>
  <c r="N9" i="217"/>
  <c r="N9" i="186"/>
  <c r="N9" i="193" s="1"/>
  <c r="N10" i="214"/>
  <c r="N16" i="214" s="1"/>
  <c r="N10" i="217"/>
  <c r="N10" i="186"/>
  <c r="N10" i="193" s="1"/>
  <c r="P9" i="180"/>
  <c r="O9" i="182"/>
  <c r="J6" i="182"/>
  <c r="K6" i="180"/>
  <c r="K11" i="180" s="1"/>
  <c r="I11" i="217"/>
  <c r="P10" i="180"/>
  <c r="O10" i="182"/>
  <c r="M7" i="214"/>
  <c r="M7" i="217"/>
  <c r="M7" i="186"/>
  <c r="M7" i="193" s="1"/>
  <c r="O7" i="180"/>
  <c r="N7" i="182"/>
  <c r="L8" i="186"/>
  <c r="L8" i="193" s="1"/>
  <c r="L8" i="217"/>
  <c r="L8" i="214"/>
  <c r="I11" i="214"/>
  <c r="I14" i="214"/>
  <c r="I17" i="214" s="1"/>
  <c r="J10" i="186"/>
  <c r="J10" i="193" s="1"/>
  <c r="J10" i="217"/>
  <c r="J10" i="214"/>
  <c r="C34" i="209"/>
  <c r="H4" i="212"/>
  <c r="C5" i="219"/>
  <c r="C25" i="219"/>
  <c r="G4" i="212"/>
  <c r="K8" i="186"/>
  <c r="K8" i="193" s="1"/>
  <c r="K8" i="214"/>
  <c r="K8" i="217"/>
  <c r="H11" i="214"/>
  <c r="H14" i="214"/>
  <c r="H17" i="214" s="1"/>
  <c r="J7" i="186"/>
  <c r="J7" i="193" s="1"/>
  <c r="J7" i="214"/>
  <c r="J7" i="217"/>
  <c r="J9" i="186"/>
  <c r="J9" i="193" s="1"/>
  <c r="J9" i="214"/>
  <c r="J15" i="214" s="1"/>
  <c r="J9" i="217"/>
  <c r="C27" i="209"/>
  <c r="C15" i="209"/>
  <c r="I11" i="186"/>
  <c r="H5" i="212" s="1"/>
  <c r="I11" i="193"/>
  <c r="H11" i="186"/>
  <c r="G5" i="212" s="1"/>
  <c r="H11" i="193"/>
  <c r="L7" i="182"/>
  <c r="K7" i="182"/>
  <c r="L9" i="182"/>
  <c r="K9" i="182"/>
  <c r="L10" i="182"/>
  <c r="K10" i="182"/>
  <c r="I5" i="169" l="1"/>
  <c r="I7" i="177" s="1"/>
  <c r="I20" i="177"/>
  <c r="I15" i="177"/>
  <c r="I29" i="177"/>
  <c r="H15" i="177"/>
  <c r="H29" i="177"/>
  <c r="H20" i="177"/>
  <c r="C11" i="222"/>
  <c r="J6" i="186"/>
  <c r="J11" i="182"/>
  <c r="J5" i="167" s="1"/>
  <c r="J6" i="214"/>
  <c r="J11" i="214" s="1"/>
  <c r="G6" i="212"/>
  <c r="H6" i="212"/>
  <c r="J6" i="217"/>
  <c r="J11" i="217" s="1"/>
  <c r="O10" i="217"/>
  <c r="O10" i="214"/>
  <c r="O16" i="214" s="1"/>
  <c r="O10" i="186"/>
  <c r="O10" i="193" s="1"/>
  <c r="Q10" i="180"/>
  <c r="Q10" i="182" s="1"/>
  <c r="P10" i="182"/>
  <c r="O9" i="214"/>
  <c r="O15" i="214" s="1"/>
  <c r="O9" i="217"/>
  <c r="O9" i="186"/>
  <c r="O9" i="193" s="1"/>
  <c r="Q9" i="180"/>
  <c r="Q9" i="182" s="1"/>
  <c r="P9" i="182"/>
  <c r="N7" i="217"/>
  <c r="N7" i="214"/>
  <c r="N7" i="186"/>
  <c r="N7" i="193" s="1"/>
  <c r="L6" i="180"/>
  <c r="K6" i="182"/>
  <c r="K6" i="186" s="1"/>
  <c r="P7" i="180"/>
  <c r="O7" i="182"/>
  <c r="J16" i="214"/>
  <c r="L10" i="186"/>
  <c r="L10" i="193" s="1"/>
  <c r="L10" i="217"/>
  <c r="L10" i="214"/>
  <c r="L16" i="214" s="1"/>
  <c r="K10" i="186"/>
  <c r="K10" i="193" s="1"/>
  <c r="K10" i="217"/>
  <c r="K10" i="214"/>
  <c r="K16" i="214" s="1"/>
  <c r="K9" i="186"/>
  <c r="K9" i="193" s="1"/>
  <c r="K9" i="217"/>
  <c r="K9" i="214"/>
  <c r="C24" i="219"/>
  <c r="C23" i="219"/>
  <c r="L9" i="186"/>
  <c r="L9" i="193" s="1"/>
  <c r="L9" i="217"/>
  <c r="L9" i="214"/>
  <c r="L15" i="214" s="1"/>
  <c r="L7" i="186"/>
  <c r="L7" i="193" s="1"/>
  <c r="L7" i="214"/>
  <c r="L7" i="217"/>
  <c r="K7" i="186"/>
  <c r="K7" i="193" s="1"/>
  <c r="K7" i="214"/>
  <c r="K7" i="217"/>
  <c r="H7" i="177"/>
  <c r="H11" i="178" s="1"/>
  <c r="H5" i="216"/>
  <c r="I5" i="216"/>
  <c r="H24" i="177"/>
  <c r="H9" i="177"/>
  <c r="H17" i="178" s="1"/>
  <c r="H26" i="177"/>
  <c r="H22" i="177"/>
  <c r="I24" i="177"/>
  <c r="I9" i="177"/>
  <c r="I26" i="177"/>
  <c r="I22" i="177"/>
  <c r="H7" i="167"/>
  <c r="I7" i="167"/>
  <c r="I8" i="176" s="1"/>
  <c r="I17" i="178" l="1"/>
  <c r="H18" i="178"/>
  <c r="I18" i="178"/>
  <c r="M6" i="180"/>
  <c r="M6" i="182" s="1"/>
  <c r="L11" i="180"/>
  <c r="D24" i="207" s="1"/>
  <c r="H8" i="178"/>
  <c r="J6" i="193"/>
  <c r="J11" i="193" s="1"/>
  <c r="J11" i="186"/>
  <c r="I5" i="212" s="1"/>
  <c r="L6" i="182"/>
  <c r="L6" i="186" s="1"/>
  <c r="J14" i="214"/>
  <c r="J17" i="214" s="1"/>
  <c r="H8" i="176"/>
  <c r="C13" i="222" s="1"/>
  <c r="I4" i="212"/>
  <c r="J5" i="176"/>
  <c r="K11" i="182"/>
  <c r="K5" i="167" s="1"/>
  <c r="P10" i="214"/>
  <c r="P16" i="214" s="1"/>
  <c r="P10" i="217"/>
  <c r="P10" i="186"/>
  <c r="P10" i="193" s="1"/>
  <c r="Q10" i="217"/>
  <c r="Q10" i="214"/>
  <c r="Q16" i="214" s="1"/>
  <c r="Q10" i="186"/>
  <c r="Q10" i="193" s="1"/>
  <c r="O7" i="214"/>
  <c r="O7" i="217"/>
  <c r="O7" i="186"/>
  <c r="O7" i="193" s="1"/>
  <c r="P9" i="214"/>
  <c r="P15" i="214" s="1"/>
  <c r="P9" i="217"/>
  <c r="P9" i="186"/>
  <c r="P9" i="193" s="1"/>
  <c r="Q7" i="180"/>
  <c r="Q7" i="182" s="1"/>
  <c r="P7" i="182"/>
  <c r="Q9" i="214"/>
  <c r="Q15" i="214" s="1"/>
  <c r="Q9" i="217"/>
  <c r="Q9" i="186"/>
  <c r="Q9" i="193" s="1"/>
  <c r="K6" i="217"/>
  <c r="K11" i="217" s="1"/>
  <c r="K6" i="214"/>
  <c r="K14" i="214" s="1"/>
  <c r="I11" i="178"/>
  <c r="K15" i="214"/>
  <c r="J7" i="167"/>
  <c r="J8" i="176" s="1"/>
  <c r="J20" i="177" l="1"/>
  <c r="J29" i="177"/>
  <c r="J15" i="177"/>
  <c r="L11" i="182"/>
  <c r="L5" i="167" s="1"/>
  <c r="N6" i="180"/>
  <c r="L6" i="193"/>
  <c r="L11" i="193" s="1"/>
  <c r="L6" i="214"/>
  <c r="L11" i="214" s="1"/>
  <c r="M11" i="180"/>
  <c r="J5" i="216"/>
  <c r="L6" i="217"/>
  <c r="L11" i="217" s="1"/>
  <c r="C10" i="221"/>
  <c r="C10" i="210"/>
  <c r="I6" i="212"/>
  <c r="J9" i="177"/>
  <c r="J24" i="177"/>
  <c r="J22" i="177"/>
  <c r="J26" i="177"/>
  <c r="J4" i="212"/>
  <c r="K5" i="176"/>
  <c r="J5" i="169"/>
  <c r="J7" i="177" s="1"/>
  <c r="J11" i="178" s="1"/>
  <c r="K6" i="193"/>
  <c r="K11" i="193" s="1"/>
  <c r="K11" i="214"/>
  <c r="K11" i="186"/>
  <c r="J5" i="212" s="1"/>
  <c r="Q7" i="214"/>
  <c r="Q7" i="217"/>
  <c r="Q7" i="186"/>
  <c r="Q7" i="193" s="1"/>
  <c r="K17" i="214"/>
  <c r="O6" i="180"/>
  <c r="N6" i="182"/>
  <c r="N11" i="180"/>
  <c r="P7" i="217"/>
  <c r="P7" i="214"/>
  <c r="P7" i="186"/>
  <c r="P7" i="193" s="1"/>
  <c r="M6" i="214"/>
  <c r="M6" i="217"/>
  <c r="M11" i="217" s="1"/>
  <c r="M6" i="186"/>
  <c r="M11" i="182"/>
  <c r="K7" i="167"/>
  <c r="K8" i="176" s="1"/>
  <c r="L11" i="186"/>
  <c r="K5" i="212" s="1"/>
  <c r="L14" i="214" l="1"/>
  <c r="L17" i="214" s="1"/>
  <c r="K4" i="212"/>
  <c r="J17" i="178"/>
  <c r="L5" i="176"/>
  <c r="L26" i="177" s="1"/>
  <c r="K26" i="177"/>
  <c r="K29" i="177"/>
  <c r="K15" i="177"/>
  <c r="K20" i="177"/>
  <c r="J18" i="178"/>
  <c r="K6" i="212"/>
  <c r="M5" i="176"/>
  <c r="M5" i="167"/>
  <c r="M7" i="167" s="1"/>
  <c r="M8" i="176" s="1"/>
  <c r="K5" i="216"/>
  <c r="K9" i="177"/>
  <c r="K24" i="177"/>
  <c r="K22" i="177"/>
  <c r="J6" i="212"/>
  <c r="K5" i="169"/>
  <c r="K7" i="177" s="1"/>
  <c r="K11" i="178" s="1"/>
  <c r="N6" i="217"/>
  <c r="N11" i="217" s="1"/>
  <c r="N6" i="214"/>
  <c r="N6" i="186"/>
  <c r="N11" i="182"/>
  <c r="M14" i="214"/>
  <c r="M17" i="214" s="1"/>
  <c r="M11" i="214"/>
  <c r="P6" i="180"/>
  <c r="O6" i="182"/>
  <c r="O11" i="180"/>
  <c r="M6" i="193"/>
  <c r="M11" i="193" s="1"/>
  <c r="M11" i="186"/>
  <c r="L5" i="212" s="1"/>
  <c r="L4" i="212"/>
  <c r="L7" i="167"/>
  <c r="L8" i="176" s="1"/>
  <c r="L22" i="177" l="1"/>
  <c r="L20" i="177"/>
  <c r="L9" i="177"/>
  <c r="L24" i="177"/>
  <c r="L5" i="216"/>
  <c r="L29" i="177"/>
  <c r="L5" i="169"/>
  <c r="L7" i="177" s="1"/>
  <c r="L11" i="178" s="1"/>
  <c r="L15" i="177"/>
  <c r="K17" i="178"/>
  <c r="M5" i="169"/>
  <c r="M29" i="177"/>
  <c r="M20" i="177"/>
  <c r="M15" i="177"/>
  <c r="K18" i="178"/>
  <c r="N5" i="176"/>
  <c r="N5" i="167"/>
  <c r="N7" i="167" s="1"/>
  <c r="N8" i="176" s="1"/>
  <c r="Q6" i="180"/>
  <c r="P6" i="182"/>
  <c r="P11" i="180"/>
  <c r="M4" i="212"/>
  <c r="L6" i="212"/>
  <c r="N6" i="193"/>
  <c r="N11" i="193" s="1"/>
  <c r="N11" i="186"/>
  <c r="M5" i="212" s="1"/>
  <c r="N11" i="214"/>
  <c r="N14" i="214"/>
  <c r="N17" i="214" s="1"/>
  <c r="O6" i="214"/>
  <c r="O6" i="217"/>
  <c r="O11" i="217" s="1"/>
  <c r="O6" i="186"/>
  <c r="O11" i="182"/>
  <c r="M5" i="216"/>
  <c r="M24" i="177"/>
  <c r="M26" i="177"/>
  <c r="M22" i="177"/>
  <c r="M9" i="177"/>
  <c r="L18" i="178" l="1"/>
  <c r="L17" i="178"/>
  <c r="M17" i="178"/>
  <c r="N5" i="169"/>
  <c r="N29" i="177"/>
  <c r="N20" i="177"/>
  <c r="N15" i="177"/>
  <c r="M18" i="178"/>
  <c r="O5" i="176"/>
  <c r="O5" i="167"/>
  <c r="O7" i="167" s="1"/>
  <c r="O8" i="176" s="1"/>
  <c r="H16" i="178"/>
  <c r="M6" i="212"/>
  <c r="O11" i="214"/>
  <c r="O14" i="214"/>
  <c r="O17" i="214" s="1"/>
  <c r="N5" i="216"/>
  <c r="N22" i="177"/>
  <c r="N24" i="177"/>
  <c r="N26" i="177"/>
  <c r="N9" i="177"/>
  <c r="N17" i="178" s="1"/>
  <c r="M7" i="177"/>
  <c r="M11" i="178" s="1"/>
  <c r="N4" i="212"/>
  <c r="P6" i="214"/>
  <c r="P6" i="217"/>
  <c r="P11" i="217" s="1"/>
  <c r="P6" i="186"/>
  <c r="P11" i="182"/>
  <c r="O6" i="193"/>
  <c r="O11" i="193" s="1"/>
  <c r="O11" i="186"/>
  <c r="N5" i="212" s="1"/>
  <c r="Q6" i="182"/>
  <c r="Q11" i="182" s="1"/>
  <c r="Q5" i="167" s="1"/>
  <c r="Q11" i="180"/>
  <c r="D25" i="207" s="1"/>
  <c r="O5" i="169" l="1"/>
  <c r="O29" i="177"/>
  <c r="O20" i="177"/>
  <c r="O15" i="177"/>
  <c r="N18" i="178"/>
  <c r="P5" i="176"/>
  <c r="P5" i="167"/>
  <c r="P7" i="167" s="1"/>
  <c r="P8" i="176" s="1"/>
  <c r="C12" i="210"/>
  <c r="C12" i="221"/>
  <c r="N6" i="212"/>
  <c r="O5" i="216"/>
  <c r="O24" i="177"/>
  <c r="O26" i="177"/>
  <c r="O22" i="177"/>
  <c r="O9" i="177"/>
  <c r="O17" i="178" s="1"/>
  <c r="P6" i="193"/>
  <c r="P11" i="193" s="1"/>
  <c r="P11" i="186"/>
  <c r="O5" i="212" s="1"/>
  <c r="O4" i="212"/>
  <c r="Q6" i="214"/>
  <c r="Q6" i="217"/>
  <c r="Q11" i="217" s="1"/>
  <c r="Q6" i="186"/>
  <c r="Q5" i="176"/>
  <c r="P11" i="214"/>
  <c r="P14" i="214"/>
  <c r="P17" i="214" s="1"/>
  <c r="N7" i="177"/>
  <c r="N11" i="178" s="1"/>
  <c r="I7" i="168"/>
  <c r="I8" i="168" l="1"/>
  <c r="Q29" i="177"/>
  <c r="Q15" i="177"/>
  <c r="Q20" i="177"/>
  <c r="P5" i="169"/>
  <c r="P15" i="177"/>
  <c r="P29" i="177"/>
  <c r="P20" i="177"/>
  <c r="O18" i="178"/>
  <c r="O6" i="212"/>
  <c r="Q5" i="169"/>
  <c r="P4" i="212"/>
  <c r="Q7" i="167"/>
  <c r="Q8" i="176" s="1"/>
  <c r="Q6" i="193"/>
  <c r="Q11" i="193" s="1"/>
  <c r="Q11" i="186"/>
  <c r="P5" i="212" s="1"/>
  <c r="Q14" i="214"/>
  <c r="Q17" i="214" s="1"/>
  <c r="Q11" i="214"/>
  <c r="P5" i="216"/>
  <c r="P22" i="177"/>
  <c r="P26" i="177"/>
  <c r="P9" i="177"/>
  <c r="P17" i="178" s="1"/>
  <c r="P24" i="177"/>
  <c r="O7" i="177"/>
  <c r="O11" i="178" s="1"/>
  <c r="H13" i="177"/>
  <c r="O19" i="168" l="1"/>
  <c r="N19" i="168"/>
  <c r="M19" i="168"/>
  <c r="L19" i="168"/>
  <c r="K19" i="168"/>
  <c r="I19" i="168"/>
  <c r="I28" i="168" s="1"/>
  <c r="I9" i="168" s="1"/>
  <c r="Q19" i="168"/>
  <c r="J19" i="168"/>
  <c r="P19" i="168"/>
  <c r="P18" i="178"/>
  <c r="P6" i="212"/>
  <c r="P7" i="177"/>
  <c r="P11" i="178" s="1"/>
  <c r="Q5" i="216"/>
  <c r="Q22" i="177"/>
  <c r="Q24" i="177"/>
  <c r="Q26" i="177"/>
  <c r="Q9" i="177"/>
  <c r="Q17" i="178" s="1"/>
  <c r="I10" i="168" l="1"/>
  <c r="Q18" i="178"/>
  <c r="I16" i="178"/>
  <c r="Q7" i="177"/>
  <c r="Q11" i="178" s="1"/>
  <c r="I8" i="178" l="1"/>
  <c r="J7" i="168"/>
  <c r="J8" i="168" l="1"/>
  <c r="I13" i="177"/>
  <c r="Q20" i="168" l="1"/>
  <c r="P20" i="168"/>
  <c r="N20" i="168"/>
  <c r="L20" i="168"/>
  <c r="K20" i="168"/>
  <c r="O20" i="168"/>
  <c r="M20" i="168"/>
  <c r="J20" i="168"/>
  <c r="J28" i="168" s="1"/>
  <c r="J9" i="168" s="1"/>
  <c r="J16" i="178"/>
  <c r="J10" i="168" l="1"/>
  <c r="K7" i="168" s="1"/>
  <c r="J8" i="178"/>
  <c r="K8" i="168" l="1"/>
  <c r="K16" i="178" s="1"/>
  <c r="J13" i="177"/>
  <c r="L21" i="168" l="1"/>
  <c r="K21" i="168"/>
  <c r="P21" i="168"/>
  <c r="O21" i="168"/>
  <c r="M21" i="168"/>
  <c r="Q21" i="168"/>
  <c r="N21" i="168"/>
  <c r="K28" i="168"/>
  <c r="K9" i="168" s="1"/>
  <c r="K10" i="168" s="1"/>
  <c r="L7" i="168" l="1"/>
  <c r="K8" i="178"/>
  <c r="L8" i="168" l="1"/>
  <c r="K13" i="177"/>
  <c r="Q22" i="168" l="1"/>
  <c r="P22" i="168"/>
  <c r="O22" i="168"/>
  <c r="N22" i="168"/>
  <c r="M22" i="168"/>
  <c r="L22" i="168"/>
  <c r="L28" i="168" s="1"/>
  <c r="L9" i="168" s="1"/>
  <c r="L10" i="168" s="1"/>
  <c r="M7" i="168" s="1"/>
  <c r="L16" i="178"/>
  <c r="L8" i="178" l="1"/>
  <c r="M8" i="168"/>
  <c r="L13" i="177"/>
  <c r="M23" i="168" l="1"/>
  <c r="M28" i="168" s="1"/>
  <c r="M9" i="168" s="1"/>
  <c r="M10" i="168" s="1"/>
  <c r="Q23" i="168"/>
  <c r="P23" i="168"/>
  <c r="O23" i="168"/>
  <c r="N23" i="168"/>
  <c r="M16" i="178"/>
  <c r="M8" i="178" l="1"/>
  <c r="N7" i="168" l="1"/>
  <c r="N8" i="168" l="1"/>
  <c r="M13" i="177"/>
  <c r="P24" i="168" l="1"/>
  <c r="N24" i="168"/>
  <c r="N28" i="168" s="1"/>
  <c r="N9" i="168" s="1"/>
  <c r="Q24" i="168"/>
  <c r="O24" i="168"/>
  <c r="N16" i="178"/>
  <c r="N10" i="168" l="1"/>
  <c r="O7" i="168" s="1"/>
  <c r="O8" i="168" s="1"/>
  <c r="N8" i="178"/>
  <c r="N13" i="177"/>
  <c r="Q25" i="168" l="1"/>
  <c r="P25" i="168"/>
  <c r="O25" i="168"/>
  <c r="O28" i="168" s="1"/>
  <c r="O9" i="168" s="1"/>
  <c r="O10" i="168" s="1"/>
  <c r="O16" i="178"/>
  <c r="P7" i="168" l="1"/>
  <c r="O8" i="178"/>
  <c r="P8" i="168" l="1"/>
  <c r="O13" i="177"/>
  <c r="P26" i="168" l="1"/>
  <c r="P28" i="168" s="1"/>
  <c r="P9" i="168" s="1"/>
  <c r="Q26" i="168"/>
  <c r="P16" i="178"/>
  <c r="P10" i="168" l="1"/>
  <c r="Q7" i="168" s="1"/>
  <c r="P8" i="178"/>
  <c r="Q8" i="168" l="1"/>
  <c r="Q27" i="168" s="1"/>
  <c r="P13" i="177"/>
  <c r="Q28" i="168" l="1"/>
  <c r="Q9" i="168" s="1"/>
  <c r="Q10" i="168" s="1"/>
  <c r="Q13" i="177" s="1"/>
  <c r="Q16" i="178"/>
  <c r="C30" i="210" s="1"/>
  <c r="H10" i="176"/>
  <c r="Q8" i="178" l="1"/>
  <c r="H22" i="178"/>
  <c r="C14" i="222"/>
  <c r="C28" i="210"/>
  <c r="C11" i="192" l="1"/>
  <c r="E11" i="192"/>
  <c r="G11" i="192"/>
  <c r="F11" i="192"/>
  <c r="D11" i="192"/>
  <c r="J11" i="192" l="1"/>
  <c r="J7" i="192" s="1"/>
  <c r="J7" i="206" s="1"/>
  <c r="J6" i="176" s="1"/>
  <c r="K11" i="192"/>
  <c r="K7" i="192" s="1"/>
  <c r="K7" i="206" s="1"/>
  <c r="K6" i="176" s="1"/>
  <c r="N11" i="192"/>
  <c r="N7" i="192" s="1"/>
  <c r="N7" i="206" s="1"/>
  <c r="N6" i="176" s="1"/>
  <c r="H11" i="192"/>
  <c r="H7" i="192" s="1"/>
  <c r="H7" i="206" s="1"/>
  <c r="H6" i="176" s="1"/>
  <c r="C12" i="222" s="1"/>
  <c r="M11" i="192" l="1"/>
  <c r="M7" i="192" s="1"/>
  <c r="M7" i="206" s="1"/>
  <c r="M6" i="176" s="1"/>
  <c r="M7" i="176" s="1"/>
  <c r="I11" i="192"/>
  <c r="I7" i="192" s="1"/>
  <c r="I7" i="206" s="1"/>
  <c r="I6" i="176" s="1"/>
  <c r="I7" i="169" s="1"/>
  <c r="I19" i="177" s="1"/>
  <c r="Q11" i="192"/>
  <c r="Q7" i="192" s="1"/>
  <c r="Q7" i="206" s="1"/>
  <c r="Q6" i="176" s="1"/>
  <c r="Q7" i="176" s="1"/>
  <c r="O11" i="192"/>
  <c r="O7" i="192" s="1"/>
  <c r="O7" i="206" s="1"/>
  <c r="O6" i="176" s="1"/>
  <c r="O6" i="169" s="1"/>
  <c r="P11" i="192"/>
  <c r="P7" i="192" s="1"/>
  <c r="P7" i="206" s="1"/>
  <c r="P6" i="176" s="1"/>
  <c r="P6" i="169" s="1"/>
  <c r="L11" i="192"/>
  <c r="L7" i="192" s="1"/>
  <c r="L7" i="206" s="1"/>
  <c r="L6" i="176" s="1"/>
  <c r="L7" i="176" s="1"/>
  <c r="N7" i="169"/>
  <c r="N19" i="177" s="1"/>
  <c r="N7" i="176"/>
  <c r="N6" i="169"/>
  <c r="H7" i="169"/>
  <c r="H19" i="177" s="1"/>
  <c r="H13" i="178" s="1"/>
  <c r="H6" i="169"/>
  <c r="H7" i="176"/>
  <c r="J6" i="169"/>
  <c r="J7" i="176"/>
  <c r="J7" i="169"/>
  <c r="J19" i="177" s="1"/>
  <c r="K7" i="176"/>
  <c r="K6" i="169"/>
  <c r="K7" i="169"/>
  <c r="K19" i="177" s="1"/>
  <c r="Q7" i="169" l="1"/>
  <c r="Q19" i="177" s="1"/>
  <c r="Q6" i="169"/>
  <c r="I6" i="169"/>
  <c r="I8" i="169" s="1"/>
  <c r="M6" i="169"/>
  <c r="M7" i="169"/>
  <c r="M19" i="177" s="1"/>
  <c r="N13" i="178" s="1"/>
  <c r="I7" i="176"/>
  <c r="I9" i="176" s="1"/>
  <c r="O7" i="176"/>
  <c r="O9" i="176" s="1"/>
  <c r="O7" i="169"/>
  <c r="O19" i="177" s="1"/>
  <c r="O13" i="178" s="1"/>
  <c r="L6" i="169"/>
  <c r="L8" i="177" s="1"/>
  <c r="L7" i="169"/>
  <c r="L19" i="177" s="1"/>
  <c r="P7" i="176"/>
  <c r="P8" i="216" s="1"/>
  <c r="P6" i="216" s="1"/>
  <c r="P7" i="169"/>
  <c r="P19" i="177" s="1"/>
  <c r="P13" i="178" s="1"/>
  <c r="P8" i="177"/>
  <c r="K8" i="216"/>
  <c r="K6" i="216" s="1"/>
  <c r="K9" i="176"/>
  <c r="M9" i="176"/>
  <c r="M8" i="216"/>
  <c r="M6" i="216" s="1"/>
  <c r="J13" i="178"/>
  <c r="N8" i="177"/>
  <c r="N8" i="169"/>
  <c r="O8" i="177"/>
  <c r="K13" i="178"/>
  <c r="J8" i="216"/>
  <c r="J6" i="216" s="1"/>
  <c r="J9" i="176"/>
  <c r="Q9" i="176"/>
  <c r="Q8" i="216"/>
  <c r="Q6" i="216" s="1"/>
  <c r="H8" i="216"/>
  <c r="H6" i="216" s="1"/>
  <c r="H9" i="176"/>
  <c r="H5" i="178" s="1"/>
  <c r="N8" i="216"/>
  <c r="N6" i="216" s="1"/>
  <c r="N9" i="176"/>
  <c r="I13" i="178"/>
  <c r="Q8" i="177"/>
  <c r="K8" i="169"/>
  <c r="K8" i="177"/>
  <c r="J8" i="177"/>
  <c r="J8" i="169"/>
  <c r="L8" i="216"/>
  <c r="L6" i="216" s="1"/>
  <c r="L9" i="176"/>
  <c r="H8" i="169"/>
  <c r="H8" i="177"/>
  <c r="H12" i="178" s="1"/>
  <c r="H14" i="178" s="1"/>
  <c r="I8" i="177" l="1"/>
  <c r="M8" i="169"/>
  <c r="Q8" i="169"/>
  <c r="M13" i="178"/>
  <c r="O8" i="169"/>
  <c r="M8" i="177"/>
  <c r="N12" i="178" s="1"/>
  <c r="N14" i="178" s="1"/>
  <c r="O8" i="216"/>
  <c r="O6" i="216" s="1"/>
  <c r="L8" i="169"/>
  <c r="L13" i="178"/>
  <c r="I8" i="216"/>
  <c r="I6" i="216" s="1"/>
  <c r="P9" i="176"/>
  <c r="P9" i="216" s="1"/>
  <c r="P7" i="216" s="1"/>
  <c r="P8" i="169"/>
  <c r="Q13" i="178"/>
  <c r="C11" i="221"/>
  <c r="C11" i="210"/>
  <c r="O12" i="178"/>
  <c r="O14" i="178" s="1"/>
  <c r="Q12" i="178"/>
  <c r="I12" i="178"/>
  <c r="I14" i="178" s="1"/>
  <c r="K12" i="178"/>
  <c r="K14" i="178" s="1"/>
  <c r="L12" i="178"/>
  <c r="O9" i="216"/>
  <c r="O7" i="216" s="1"/>
  <c r="O5" i="178"/>
  <c r="P12" i="178"/>
  <c r="P14" i="178" s="1"/>
  <c r="J12" i="178"/>
  <c r="J14" i="178" s="1"/>
  <c r="I9" i="216"/>
  <c r="I7" i="216" s="1"/>
  <c r="I5" i="178"/>
  <c r="Q9" i="216"/>
  <c r="Q7" i="216" s="1"/>
  <c r="Q5" i="178"/>
  <c r="N9" i="216"/>
  <c r="N7" i="216" s="1"/>
  <c r="N5" i="178"/>
  <c r="H9" i="216"/>
  <c r="H7" i="216" s="1"/>
  <c r="H11" i="176"/>
  <c r="J9" i="216"/>
  <c r="J7" i="216" s="1"/>
  <c r="J5" i="178"/>
  <c r="K9" i="216"/>
  <c r="K7" i="216" s="1"/>
  <c r="K5" i="178"/>
  <c r="L9" i="216"/>
  <c r="L7" i="216" s="1"/>
  <c r="L5" i="178"/>
  <c r="M9" i="216"/>
  <c r="M7" i="216" s="1"/>
  <c r="M5" i="178"/>
  <c r="M12" i="178" l="1"/>
  <c r="M14" i="178" s="1"/>
  <c r="L14" i="178"/>
  <c r="P5" i="178"/>
  <c r="P6" i="178" s="1"/>
  <c r="P7" i="178" s="1"/>
  <c r="P9" i="178" s="1"/>
  <c r="P20" i="178" s="1"/>
  <c r="Q14" i="178"/>
  <c r="C29" i="210" s="1"/>
  <c r="L6" i="178"/>
  <c r="L7" i="178" s="1"/>
  <c r="N6" i="178"/>
  <c r="N7" i="178" s="1"/>
  <c r="N9" i="178" s="1"/>
  <c r="N20" i="178" s="1"/>
  <c r="O6" i="178"/>
  <c r="O7" i="178" s="1"/>
  <c r="O9" i="178" s="1"/>
  <c r="O20" i="178" s="1"/>
  <c r="H6" i="178"/>
  <c r="H7" i="178" s="1"/>
  <c r="K6" i="178"/>
  <c r="K7" i="178" s="1"/>
  <c r="K9" i="178" s="1"/>
  <c r="K20" i="178" s="1"/>
  <c r="H12" i="176"/>
  <c r="I6" i="178"/>
  <c r="I7" i="178" s="1"/>
  <c r="I9" i="178" s="1"/>
  <c r="I20" i="178" s="1"/>
  <c r="M6" i="178"/>
  <c r="M7" i="178" s="1"/>
  <c r="M9" i="178" s="1"/>
  <c r="J6" i="178"/>
  <c r="J7" i="178" s="1"/>
  <c r="J9" i="178" s="1"/>
  <c r="J20" i="178" s="1"/>
  <c r="Q6" i="178"/>
  <c r="Q7" i="178" s="1"/>
  <c r="M20" i="178" l="1"/>
  <c r="M6" i="179" s="1"/>
  <c r="C15" i="222"/>
  <c r="H25" i="178"/>
  <c r="C9" i="221"/>
  <c r="C9" i="210"/>
  <c r="L9" i="178"/>
  <c r="L20" i="178" s="1"/>
  <c r="H14" i="176"/>
  <c r="K18" i="172"/>
  <c r="K6" i="179"/>
  <c r="O18" i="172"/>
  <c r="O6" i="179"/>
  <c r="J6" i="179"/>
  <c r="J18" i="172"/>
  <c r="P18" i="172"/>
  <c r="P6" i="179"/>
  <c r="N18" i="172"/>
  <c r="N6" i="179"/>
  <c r="I6" i="179"/>
  <c r="I18" i="172"/>
  <c r="Q9" i="178"/>
  <c r="Q20" i="178" s="1"/>
  <c r="C27" i="210"/>
  <c r="H9" i="178"/>
  <c r="H20" i="178" s="1"/>
  <c r="M18" i="172" l="1"/>
  <c r="M19" i="172" s="1"/>
  <c r="H18" i="172"/>
  <c r="L6" i="179"/>
  <c r="L18" i="172"/>
  <c r="L20" i="172" s="1"/>
  <c r="C16" i="222"/>
  <c r="N20" i="172"/>
  <c r="N19" i="172"/>
  <c r="J20" i="172"/>
  <c r="J19" i="172"/>
  <c r="O20" i="172"/>
  <c r="O19" i="172"/>
  <c r="Q18" i="172"/>
  <c r="Q6" i="179"/>
  <c r="I19" i="172"/>
  <c r="I20" i="172"/>
  <c r="P19" i="172"/>
  <c r="P20" i="172"/>
  <c r="K20" i="172"/>
  <c r="K19" i="172"/>
  <c r="M20" i="172" l="1"/>
  <c r="H6" i="179"/>
  <c r="H19" i="172"/>
  <c r="H28" i="177" s="1"/>
  <c r="H20" i="172"/>
  <c r="H32" i="177" s="1"/>
  <c r="L19" i="172"/>
  <c r="Q19" i="172"/>
  <c r="Q20" i="172"/>
  <c r="H23" i="178" l="1"/>
  <c r="I11" i="172"/>
  <c r="J12" i="172" s="1"/>
  <c r="H24" i="178"/>
  <c r="H16" i="175"/>
  <c r="C13" i="221" l="1"/>
  <c r="C13" i="210"/>
  <c r="J11" i="172"/>
  <c r="K12" i="172" s="1"/>
  <c r="I10" i="176"/>
  <c r="H15" i="175"/>
  <c r="H18" i="175" s="1"/>
  <c r="I28" i="177"/>
  <c r="H31" i="177"/>
  <c r="H34" i="177" s="1"/>
  <c r="H28" i="178" l="1"/>
  <c r="C14" i="221" s="1"/>
  <c r="I23" i="178"/>
  <c r="I22" i="178"/>
  <c r="I11" i="176"/>
  <c r="J10" i="176"/>
  <c r="K11" i="172"/>
  <c r="L12" i="172" s="1"/>
  <c r="J28" i="177"/>
  <c r="J23" i="178" s="1"/>
  <c r="I15" i="175"/>
  <c r="I31" i="177"/>
  <c r="H19" i="175"/>
  <c r="H31" i="178" l="1"/>
  <c r="H32" i="178" s="1"/>
  <c r="I30" i="178" s="1"/>
  <c r="H5" i="177"/>
  <c r="H17" i="177" s="1"/>
  <c r="H36" i="177" s="1"/>
  <c r="C14" i="210"/>
  <c r="H24" i="175"/>
  <c r="H9" i="179" s="1"/>
  <c r="H10" i="179" s="1"/>
  <c r="K10" i="176"/>
  <c r="L11" i="172"/>
  <c r="M12" i="172" s="1"/>
  <c r="J15" i="175"/>
  <c r="K28" i="177"/>
  <c r="K23" i="178" s="1"/>
  <c r="J31" i="177"/>
  <c r="J22" i="178"/>
  <c r="J11" i="176"/>
  <c r="I12" i="176"/>
  <c r="I25" i="178" s="1"/>
  <c r="H34" i="178" l="1"/>
  <c r="I14" i="176"/>
  <c r="L10" i="176"/>
  <c r="M11" i="172"/>
  <c r="N12" i="172" s="1"/>
  <c r="K15" i="175"/>
  <c r="L28" i="177"/>
  <c r="L23" i="178" s="1"/>
  <c r="K31" i="177"/>
  <c r="K22" i="178"/>
  <c r="K11" i="176"/>
  <c r="J12" i="176"/>
  <c r="J25" i="178" s="1"/>
  <c r="J14" i="176" l="1"/>
  <c r="I32" i="177"/>
  <c r="I24" i="178" s="1"/>
  <c r="I28" i="178" s="1"/>
  <c r="L15" i="175"/>
  <c r="M28" i="177"/>
  <c r="L31" i="177"/>
  <c r="N11" i="172"/>
  <c r="O12" i="172" s="1"/>
  <c r="M10" i="176"/>
  <c r="K12" i="176"/>
  <c r="K25" i="178" s="1"/>
  <c r="L22" i="178"/>
  <c r="L11" i="176"/>
  <c r="K14" i="176" l="1"/>
  <c r="M31" i="177"/>
  <c r="M23" i="178"/>
  <c r="I16" i="175"/>
  <c r="I19" i="175" s="1"/>
  <c r="J32" i="177"/>
  <c r="J34" i="177" s="1"/>
  <c r="I34" i="177"/>
  <c r="I5" i="177"/>
  <c r="I17" i="177" s="1"/>
  <c r="I31" i="178"/>
  <c r="I32" i="178" s="1"/>
  <c r="L12" i="176"/>
  <c r="L25" i="178" s="1"/>
  <c r="M22" i="178"/>
  <c r="M11" i="176"/>
  <c r="M15" i="175"/>
  <c r="N28" i="177"/>
  <c r="N23" i="178" s="1"/>
  <c r="N10" i="176"/>
  <c r="O11" i="172"/>
  <c r="P12" i="172" s="1"/>
  <c r="I36" i="177" l="1"/>
  <c r="I18" i="175"/>
  <c r="L14" i="176"/>
  <c r="J16" i="175"/>
  <c r="J24" i="178"/>
  <c r="J28" i="178" s="1"/>
  <c r="J31" i="178" s="1"/>
  <c r="K32" i="177"/>
  <c r="K34" i="177" s="1"/>
  <c r="J30" i="178"/>
  <c r="I34" i="178"/>
  <c r="O28" i="177"/>
  <c r="O23" i="178" s="1"/>
  <c r="N15" i="175"/>
  <c r="N31" i="177"/>
  <c r="O10" i="176"/>
  <c r="P11" i="172"/>
  <c r="Q12" i="172" s="1"/>
  <c r="N22" i="178"/>
  <c r="N11" i="176"/>
  <c r="M12" i="176"/>
  <c r="M25" i="178" s="1"/>
  <c r="I24" i="175" l="1"/>
  <c r="I9" i="179" s="1"/>
  <c r="I10" i="179" s="1"/>
  <c r="J32" i="178"/>
  <c r="K30" i="178" s="1"/>
  <c r="M14" i="176"/>
  <c r="K24" i="178"/>
  <c r="K28" i="178" s="1"/>
  <c r="K31" i="178" s="1"/>
  <c r="J5" i="177"/>
  <c r="L32" i="177"/>
  <c r="L24" i="178" s="1"/>
  <c r="L28" i="178" s="1"/>
  <c r="L31" i="178" s="1"/>
  <c r="K16" i="175"/>
  <c r="J18" i="175"/>
  <c r="J19" i="175"/>
  <c r="P10" i="176"/>
  <c r="Q11" i="172"/>
  <c r="Q10" i="176" s="1"/>
  <c r="N12" i="176"/>
  <c r="N25" i="178" s="1"/>
  <c r="O22" i="178"/>
  <c r="O11" i="176"/>
  <c r="O15" i="175"/>
  <c r="P28" i="177"/>
  <c r="P23" i="178" s="1"/>
  <c r="O31" i="177"/>
  <c r="J34" i="178" l="1"/>
  <c r="J17" i="177"/>
  <c r="J36" i="177" s="1"/>
  <c r="K5" i="177"/>
  <c r="K17" i="177" s="1"/>
  <c r="K36" i="177" s="1"/>
  <c r="L34" i="177"/>
  <c r="N14" i="176"/>
  <c r="K32" i="178"/>
  <c r="L16" i="175"/>
  <c r="L18" i="175" s="1"/>
  <c r="M32" i="177"/>
  <c r="M16" i="175" s="1"/>
  <c r="M19" i="175" s="1"/>
  <c r="J24" i="175"/>
  <c r="J9" i="179" s="1"/>
  <c r="J10" i="179" s="1"/>
  <c r="K19" i="175"/>
  <c r="K18" i="175"/>
  <c r="O12" i="176"/>
  <c r="O25" i="178" s="1"/>
  <c r="P15" i="175"/>
  <c r="Q28" i="177"/>
  <c r="Q23" i="178" s="1"/>
  <c r="P31" i="177"/>
  <c r="Q22" i="178"/>
  <c r="Q11" i="176"/>
  <c r="P22" i="178"/>
  <c r="P11" i="176"/>
  <c r="K24" i="175" l="1"/>
  <c r="K9" i="179" s="1"/>
  <c r="K10" i="179" s="1"/>
  <c r="M18" i="175"/>
  <c r="M24" i="175" s="1"/>
  <c r="M9" i="179" s="1"/>
  <c r="M10" i="179" s="1"/>
  <c r="L19" i="175"/>
  <c r="L24" i="175" s="1"/>
  <c r="L9" i="179" s="1"/>
  <c r="L10" i="179" s="1"/>
  <c r="M24" i="178"/>
  <c r="M28" i="178" s="1"/>
  <c r="M31" i="178" s="1"/>
  <c r="K34" i="178"/>
  <c r="L5" i="177"/>
  <c r="L17" i="177" s="1"/>
  <c r="L36" i="177" s="1"/>
  <c r="L30" i="178"/>
  <c r="L32" i="178" s="1"/>
  <c r="M30" i="178" s="1"/>
  <c r="M34" i="177"/>
  <c r="O14" i="176"/>
  <c r="N32" i="177"/>
  <c r="N16" i="175" s="1"/>
  <c r="N19" i="175" s="1"/>
  <c r="P12" i="176"/>
  <c r="P25" i="178" s="1"/>
  <c r="Q12" i="176"/>
  <c r="Q25" i="178" s="1"/>
  <c r="Q15" i="175"/>
  <c r="Q31" i="177"/>
  <c r="M5" i="177" l="1"/>
  <c r="M17" i="177" s="1"/>
  <c r="M36" i="177" s="1"/>
  <c r="M32" i="178"/>
  <c r="N30" i="178" s="1"/>
  <c r="L34" i="178"/>
  <c r="P14" i="176"/>
  <c r="N18" i="175"/>
  <c r="N24" i="175" s="1"/>
  <c r="N9" i="179" s="1"/>
  <c r="N10" i="179" s="1"/>
  <c r="O32" i="177"/>
  <c r="O24" i="178" s="1"/>
  <c r="O28" i="178" s="1"/>
  <c r="O31" i="178" s="1"/>
  <c r="Q14" i="176"/>
  <c r="N24" i="178"/>
  <c r="N28" i="178" s="1"/>
  <c r="N31" i="178" s="1"/>
  <c r="N34" i="177"/>
  <c r="M34" i="178" l="1"/>
  <c r="N32" i="178"/>
  <c r="O30" i="178" s="1"/>
  <c r="O32" i="178" s="1"/>
  <c r="P30" i="178" s="1"/>
  <c r="P32" i="177"/>
  <c r="P34" i="177" s="1"/>
  <c r="O16" i="175"/>
  <c r="O18" i="175" s="1"/>
  <c r="O34" i="177"/>
  <c r="N5" i="177"/>
  <c r="N34" i="178" l="1"/>
  <c r="P16" i="175"/>
  <c r="P19" i="175" s="1"/>
  <c r="P24" i="178"/>
  <c r="P28" i="178" s="1"/>
  <c r="P31" i="178" s="1"/>
  <c r="P32" i="178" s="1"/>
  <c r="Q30" i="178" s="1"/>
  <c r="O19" i="175"/>
  <c r="O24" i="175" s="1"/>
  <c r="O9" i="179" s="1"/>
  <c r="O10" i="179" s="1"/>
  <c r="Q32" i="177"/>
  <c r="Q34" i="177" s="1"/>
  <c r="O5" i="177"/>
  <c r="O34" i="178" s="1"/>
  <c r="N17" i="177"/>
  <c r="N36" i="177" s="1"/>
  <c r="P18" i="175" l="1"/>
  <c r="P24" i="175" s="1"/>
  <c r="P9" i="179" s="1"/>
  <c r="P10" i="179" s="1"/>
  <c r="C26" i="210"/>
  <c r="Q24" i="178"/>
  <c r="Q16" i="175"/>
  <c r="O17" i="177"/>
  <c r="O36" i="177" s="1"/>
  <c r="P5" i="177"/>
  <c r="C31" i="210" l="1"/>
  <c r="Q28" i="178"/>
  <c r="Q5" i="177" s="1"/>
  <c r="Q19" i="175"/>
  <c r="Q18" i="175"/>
  <c r="P34" i="178"/>
  <c r="P17" i="177"/>
  <c r="P36" i="177" s="1"/>
  <c r="Q24" i="175" l="1"/>
  <c r="Q9" i="179" s="1"/>
  <c r="Q7" i="179" s="1"/>
  <c r="F15" i="179" s="1"/>
  <c r="C32" i="210"/>
  <c r="Q31" i="178"/>
  <c r="Q32" i="178" s="1"/>
  <c r="Q34" i="178" s="1"/>
  <c r="Q17" i="177"/>
  <c r="Q36" i="177" s="1"/>
  <c r="Q11" i="179" l="1"/>
  <c r="F16" i="179" s="1"/>
  <c r="Q10" i="179"/>
  <c r="F14" i="179" s="1"/>
  <c r="F17" i="179" l="1"/>
  <c r="F20" i="179" s="1"/>
  <c r="F22" i="179" s="1"/>
</calcChain>
</file>

<file path=xl/sharedStrings.xml><?xml version="1.0" encoding="utf-8"?>
<sst xmlns="http://schemas.openxmlformats.org/spreadsheetml/2006/main" count="1198" uniqueCount="392">
  <si>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</si>
  <si>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</si>
  <si>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</si>
  <si>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</si>
  <si>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</si>
  <si>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</si>
  <si>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</si>
  <si>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</si>
  <si>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</si>
  <si>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</si>
  <si>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</si>
  <si>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</si>
  <si>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</si>
  <si>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</si>
  <si>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</si>
  <si>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</si>
  <si>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</si>
  <si>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</si>
  <si>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</si>
  <si>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</si>
  <si>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</si>
  <si>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</si>
  <si>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</si>
  <si>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</si>
  <si>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</si>
  <si>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</si>
  <si>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</si>
  <si>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</si>
  <si>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</si>
  <si>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</si>
  <si>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</si>
  <si>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</si>
  <si>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</si>
  <si>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</si>
  <si>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</si>
  <si>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</si>
  <si>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</si>
  <si>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</si>
  <si>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</si>
  <si>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</si>
  <si>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</si>
  <si>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</si>
  <si>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</si>
  <si>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</si>
  <si>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</si>
  <si>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</si>
  <si>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</si>
  <si>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</si>
  <si>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</si>
  <si>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</si>
  <si>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</si>
  <si>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</si>
  <si>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</si>
  <si>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</si>
  <si>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</si>
  <si>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</si>
  <si>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</si>
  <si>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</si>
  <si>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</si>
  <si>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</si>
  <si>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</si>
  <si>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</si>
  <si>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</si>
  <si>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</si>
  <si>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</si>
  <si>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</si>
  <si>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</si>
  <si>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</si>
  <si>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</si>
  <si>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</si>
  <si>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</si>
  <si>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</si>
  <si>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</si>
  <si>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</si>
  <si>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</si>
  <si>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</si>
  <si>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</si>
  <si>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</si>
  <si>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</si>
  <si>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</si>
  <si>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</si>
  <si>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</si>
  <si>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</si>
  <si>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</si>
  <si>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Capex as a % of PP&amp;E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</si>
  <si>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</si>
  <si>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</si>
  <si>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</si>
  <si>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</si>
  <si>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</si>
  <si>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</si>
  <si>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</si>
  <si>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</si>
  <si>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</si>
  <si>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</si>
  <si>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</si>
  <si>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</si>
  <si>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</si>
  <si>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</si>
  <si>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</si>
  <si>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</si>
  <si>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</si>
  <si>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</si>
  <si>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</si>
  <si>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</si>
  <si>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</si>
  <si>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</si>
  <si>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</si>
  <si>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</si>
  <si>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</si>
  <si>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</si>
  <si>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</si>
  <si>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</si>
  <si>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</si>
  <si>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</si>
  <si>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</si>
  <si>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</si>
  <si>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</si>
  <si>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</si>
  <si>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</si>
  <si>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</si>
  <si>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</si>
  <si>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</si>
  <si>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</si>
  <si>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</si>
  <si>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</si>
  <si>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</si>
  <si>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</si>
  <si>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</si>
  <si>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</si>
  <si>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</si>
  <si>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</si>
  <si>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</si>
  <si>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</si>
  <si>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</si>
  <si>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</si>
  <si>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</si>
  <si>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</si>
  <si>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</si>
  <si>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</si>
  <si>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</si>
  <si>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</si>
  <si>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</si>
  <si>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</si>
  <si>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</si>
  <si>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</si>
  <si>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</si>
  <si>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</si>
  <si>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</si>
  <si>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</si>
  <si>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</si>
  <si>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</si>
  <si>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</si>
  <si>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</si>
  <si>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</si>
  <si>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</si>
  <si>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</si>
  <si>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</si>
  <si>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</si>
  <si>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</si>
  <si>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</si>
  <si>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</si>
  <si>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</si>
  <si>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</si>
  <si>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</si>
  <si>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</si>
  <si>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</si>
  <si>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</si>
  <si>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</si>
  <si>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</si>
  <si>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</si>
  <si>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</si>
  <si>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</si>
  <si>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</si>
  <si>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</si>
  <si>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</si>
  <si>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</si>
  <si>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</si>
  <si>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</si>
  <si>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</si>
  <si>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</si>
  <si>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</si>
  <si>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</si>
  <si>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</si>
  <si>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</si>
  <si>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</si>
  <si>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</si>
  <si>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</si>
  <si>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</si>
  <si>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</si>
  <si>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</si>
  <si>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</si>
  <si>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</si>
  <si>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</si>
  <si>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</si>
  <si>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</si>
  <si>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</si>
  <si>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</si>
  <si>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</si>
  <si>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</si>
  <si>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</si>
  <si>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</si>
  <si>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</si>
  <si>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</si>
  <si>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</si>
  <si>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</si>
  <si>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</si>
  <si>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</si>
  <si>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</si>
  <si>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</si>
  <si>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</si>
  <si>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</si>
  <si>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</si>
  <si>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</si>
  <si>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</si>
  <si>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</si>
  <si>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</si>
  <si>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</si>
  <si>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</si>
  <si>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</si>
  <si>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</si>
  <si>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</si>
  <si>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</si>
  <si>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</si>
  <si>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</si>
  <si>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</si>
  <si>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31Dec2015
Act</t>
  </si>
  <si>
    <t>31Dec2016
Act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</si>
  <si>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</si>
  <si>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</si>
  <si>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</si>
  <si>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</si>
  <si>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</si>
  <si>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</si>
  <si>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</si>
  <si>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</si>
  <si>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</si>
  <si>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</si>
  <si>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</si>
  <si>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</si>
  <si>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</si>
  <si>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</si>
  <si>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</si>
  <si>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</si>
  <si>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</si>
  <si>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</si>
  <si>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</si>
  <si>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</si>
  <si>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</si>
  <si>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</si>
  <si>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</si>
  <si>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</si>
  <si>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</si>
  <si>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</si>
  <si>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</si>
  <si>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</si>
  <si>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</si>
  <si>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</si>
  <si>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</si>
  <si>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Continuing value</t>
  </si>
  <si>
    <t>Bridge Charts --&gt;</t>
  </si>
  <si>
    <t>Revenue 2019</t>
  </si>
  <si>
    <t>Revenue bridge</t>
  </si>
  <si>
    <t>Revenue 2020</t>
  </si>
  <si>
    <t>Cash Flow 2019</t>
  </si>
  <si>
    <t>Working Capital</t>
  </si>
  <si>
    <t>Other</t>
  </si>
  <si>
    <t>Cash flow bridge</t>
  </si>
  <si>
    <t>Cash Flow 2028</t>
  </si>
  <si>
    <t>Present value of CV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</si>
  <si>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</si>
  <si>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</si>
  <si>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</si>
  <si>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</si>
  <si>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</si>
  <si>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</si>
  <si>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</si>
  <si>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</si>
  <si>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</si>
  <si>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</si>
  <si>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</si>
  <si>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</si>
  <si>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</si>
  <si>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Other Charts --&gt;</t>
  </si>
  <si>
    <t>Types of vehicles</t>
  </si>
  <si>
    <t>Vehicle type</t>
  </si>
  <si>
    <t>Car</t>
  </si>
  <si>
    <t>Pickup</t>
  </si>
  <si>
    <t>Truck</t>
  </si>
  <si>
    <t>Revenue</t>
  </si>
  <si>
    <t>EBIT%</t>
  </si>
  <si>
    <t>Revenue by type of car</t>
  </si>
  <si>
    <t>Price - Volume - Mix analysis --&gt;</t>
  </si>
  <si>
    <t>Revenue 2018 autom.</t>
  </si>
  <si>
    <t>Average price 2018 ($ 000's)</t>
  </si>
  <si>
    <t>Average price 2019 ($ 000's)</t>
  </si>
  <si>
    <t>Deliveries 2018</t>
  </si>
  <si>
    <t>Deliveries 2019</t>
  </si>
  <si>
    <t>Δ Volume</t>
  </si>
  <si>
    <t>Δ Price</t>
  </si>
  <si>
    <t>Δ Mix</t>
  </si>
  <si>
    <t>Price-Volume-Mix Analysis Automotive</t>
  </si>
  <si>
    <t>Revenue 2019 autom.</t>
  </si>
  <si>
    <t>Expenses bridge</t>
  </si>
  <si>
    <t>Δ Revenues</t>
  </si>
  <si>
    <t>Δ Taxes</t>
  </si>
  <si>
    <t>Δ Cost of
 sales</t>
  </si>
  <si>
    <t>Δ Operating 
expenses</t>
  </si>
  <si>
    <t>Δ Interest 
expenses</t>
  </si>
  <si>
    <t>Δ Minority 
interest</t>
  </si>
  <si>
    <t>Net Inc. FY18</t>
  </si>
  <si>
    <t>Net Inc. FY19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</si>
  <si>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</si>
  <si>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</si>
  <si>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</si>
  <si>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</si>
  <si>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</si>
  <si>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</si>
  <si>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</si>
  <si>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</si>
  <si>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</si>
  <si>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</si>
  <si>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</si>
  <si>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</si>
  <si>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</si>
  <si>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Beta (as of 27 Sep 2018)</t>
  </si>
  <si>
    <t>Current bond Yield as of 19th Sep</t>
  </si>
  <si>
    <t>Tesla Cost of sales (in mln $)</t>
  </si>
  <si>
    <t>2019
Act</t>
  </si>
  <si>
    <t>2018
Act</t>
  </si>
  <si>
    <t>31Dec2018
Act</t>
  </si>
  <si>
    <t>31 Dec 
2018</t>
  </si>
  <si>
    <t>Operating lease right-of-use assets</t>
  </si>
  <si>
    <t>2029
Fcst</t>
  </si>
  <si>
    <t>31Dec2029
Fcst</t>
  </si>
  <si>
    <t>Model and Version</t>
  </si>
  <si>
    <t>Range</t>
  </si>
  <si>
    <t>Base price</t>
  </si>
  <si>
    <t>Fully loaded</t>
  </si>
  <si>
    <t>Model 3 Standard Range Plus</t>
  </si>
  <si>
    <t>250 miles</t>
  </si>
  <si>
    <t>Model 3 Long Range</t>
  </si>
  <si>
    <t>322 miles</t>
  </si>
  <si>
    <t>Model 3 Performance</t>
  </si>
  <si>
    <t>Model S Long Range</t>
  </si>
  <si>
    <t>373 miles</t>
  </si>
  <si>
    <t>Model S Performance</t>
  </si>
  <si>
    <t>348 miles</t>
  </si>
  <si>
    <t>Model X Long Range</t>
  </si>
  <si>
    <t>328 miles</t>
  </si>
  <si>
    <t>Model X Performance</t>
  </si>
  <si>
    <t>305 miles</t>
  </si>
  <si>
    <t>Model</t>
  </si>
  <si>
    <t>Max price</t>
  </si>
  <si>
    <t>CyberTruck</t>
  </si>
  <si>
    <t>Model Y</t>
  </si>
  <si>
    <t>Roadster 2020</t>
  </si>
  <si>
    <t>Capex as a % of revenue</t>
  </si>
  <si>
    <t>Capex %</t>
  </si>
  <si>
    <t>31Dec2019
Act</t>
  </si>
  <si>
    <t>CAPEX as a % of PP&amp;E</t>
  </si>
  <si>
    <t>CAPEX as a % of revenues</t>
  </si>
  <si>
    <t>Mercedes</t>
  </si>
  <si>
    <t>Net Inc. FY20</t>
  </si>
  <si>
    <t>Deliveries 2020</t>
  </si>
  <si>
    <t>Average price 2020 ($ 000's)</t>
  </si>
  <si>
    <t>Revenue 2020 autom.</t>
  </si>
  <si>
    <t>Net Income Bridge FY18-FY20</t>
  </si>
  <si>
    <t>Cash Flow 2029</t>
  </si>
  <si>
    <t>Cash Flow 2020</t>
  </si>
  <si>
    <t>Revenue 2021</t>
  </si>
  <si>
    <t>Historic</t>
  </si>
  <si>
    <t>Semi</t>
  </si>
  <si>
    <t>Comparables - 2019</t>
  </si>
  <si>
    <t>10-year treasury yield (Sep 18 2020)</t>
  </si>
  <si>
    <t>Bond Yield (Sep 18 2020)</t>
  </si>
  <si>
    <t>Vehicle Sales 2015-2019 - average</t>
  </si>
  <si>
    <t>Average Price per Model</t>
  </si>
  <si>
    <t>Tesla Expected Deliveries</t>
  </si>
  <si>
    <t>Historic Average GP%</t>
  </si>
  <si>
    <t>31 Dec 
2019</t>
  </si>
  <si>
    <t>Comparables 2019</t>
  </si>
  <si>
    <t>Comparables 2015-2019</t>
  </si>
  <si>
    <t>Average prices</t>
  </si>
  <si>
    <t>Average Model S and X</t>
  </si>
  <si>
    <t>Average Model 3</t>
  </si>
  <si>
    <t>Tesla D&amp;A (in mln $)</t>
  </si>
  <si>
    <t>Total D&amp;A</t>
  </si>
  <si>
    <t>Number of shares outstanding (as of 30 Sep 2020)</t>
  </si>
  <si>
    <t>Company beta (Dec 15 2020)</t>
  </si>
  <si>
    <t>Tesla share price (Dec 15 2020)</t>
  </si>
  <si>
    <t>Bond Yield as of Sep.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</si>
</sst>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\-* #,##0.00_-;_-* &quot;-&quot;??_-;_-@_-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  <numFmt numFmtId="176" formatCode="[$$-45C]#,##0"/>
  </numFmts>
  <fonts count="42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b/>
      <u/>
      <sz val="13"/>
      <name val="Arial"/>
      <family val="2"/>
      <charset val="204"/>
    </font>
    <font>
      <b/>
      <sz val="9"/>
      <color rgb="FF212529"/>
      <name val="Arial"/>
      <family val="2"/>
    </font>
    <font>
      <b/>
      <u/>
      <sz val="9"/>
      <name val="Arial"/>
      <family val="2"/>
    </font>
    <font>
      <sz val="9"/>
      <color rgb="FF1D254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color rgb="FF1D254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5">
    <xf numFmtId="0" fontId="0" fillId="0" borderId="0">
      <alignment vertical="top"/>
    </xf>
    <xf numFmtId="165" fontId="1" fillId="0" borderId="0">
      <alignment vertical="top"/>
    </xf>
    <xf numFmtId="9" fontId="1" fillId="0" borderId="0">
      <alignment vertical="top"/>
    </xf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</xf>
  </cellStyleXfs>
  <cellXfs count="23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7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7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6" fontId="4" fillId="2" borderId="0" xfId="1" applyNumberFormat="1" applyFont="1" applyFill="1">
      <alignment vertical="top"/>
    </xf>
    <xf numFmtId="168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6" fontId="10" fillId="2" borderId="0" xfId="0" applyNumberFormat="1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66" fontId="10" fillId="2" borderId="0" xfId="1" applyNumberFormat="1" applyFont="1" applyFill="1" applyBorder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8" fontId="13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8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8" fontId="10" fillId="2" borderId="0" xfId="0" applyNumberFormat="1" applyFont="1" applyFill="1" applyAlignment="1">
      <alignment horizontal="right"/>
    </xf>
    <xf numFmtId="168" fontId="10" fillId="2" borderId="0" xfId="0" applyNumberFormat="1" applyFont="1" applyFill="1" applyAlignment="1"/>
    <xf numFmtId="9" fontId="10" fillId="2" borderId="0" xfId="0" applyNumberFormat="1" applyFont="1" applyFill="1" applyAlignment="1"/>
    <xf numFmtId="166" fontId="13" fillId="2" borderId="0" xfId="1" applyNumberFormat="1" applyFont="1" applyFill="1" applyBorder="1" applyAlignment="1"/>
    <xf numFmtId="173" fontId="17" fillId="2" borderId="0" xfId="0" applyNumberFormat="1" applyFont="1" applyFill="1" applyAlignment="1"/>
    <xf numFmtId="173" fontId="6" fillId="2" borderId="0" xfId="0" applyNumberFormat="1" applyFont="1" applyFill="1" applyAlignment="1"/>
    <xf numFmtId="173" fontId="18" fillId="2" borderId="0" xfId="0" applyNumberFormat="1" applyFont="1" applyFill="1" applyBorder="1" applyAlignment="1"/>
    <xf numFmtId="9" fontId="19" fillId="7" borderId="6" xfId="0" applyNumberFormat="1" applyFont="1" applyFill="1" applyBorder="1" applyAlignment="1">
      <alignment horizontal="center"/>
    </xf>
    <xf numFmtId="174" fontId="6" fillId="8" borderId="0" xfId="0" applyNumberFormat="1" applyFont="1" applyFill="1" applyAlignment="1"/>
    <xf numFmtId="173" fontId="18" fillId="2" borderId="5" xfId="0" applyNumberFormat="1" applyFont="1" applyFill="1" applyBorder="1" applyAlignment="1"/>
    <xf numFmtId="174" fontId="6" fillId="2" borderId="0" xfId="0" applyNumberFormat="1" applyFont="1" applyFill="1" applyAlignment="1"/>
    <xf numFmtId="174" fontId="18" fillId="2" borderId="5" xfId="0" applyNumberFormat="1" applyFont="1" applyFill="1" applyBorder="1" applyAlignment="1"/>
    <xf numFmtId="173" fontId="6" fillId="2" borderId="0" xfId="0" quotePrefix="1" applyNumberFormat="1" applyFont="1" applyFill="1" applyAlignment="1"/>
    <xf numFmtId="173" fontId="18" fillId="2" borderId="1" xfId="0" applyNumberFormat="1" applyFont="1" applyFill="1" applyBorder="1" applyAlignment="1"/>
    <xf numFmtId="174" fontId="6" fillId="8" borderId="1" xfId="0" applyNumberFormat="1" applyFont="1" applyFill="1" applyBorder="1" applyAlignment="1"/>
    <xf numFmtId="165" fontId="10" fillId="2" borderId="0" xfId="0" applyNumberFormat="1" applyFont="1" applyFill="1" applyAlignment="1"/>
    <xf numFmtId="168" fontId="6" fillId="2" borderId="0" xfId="2" applyNumberFormat="1" applyFont="1" applyFill="1" applyAlignment="1"/>
    <xf numFmtId="173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7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10" borderId="3" xfId="0" applyFont="1" applyFill="1" applyBorder="1" applyAlignment="1">
      <alignment horizontal="right" wrapText="1"/>
    </xf>
    <xf numFmtId="0" fontId="23" fillId="3" borderId="0" xfId="0" applyFont="1" applyFill="1" applyAlignment="1"/>
    <xf numFmtId="2" fontId="23" fillId="3" borderId="0" xfId="0" applyNumberFormat="1" applyFont="1" applyFill="1" applyAlignment="1"/>
    <xf numFmtId="0" fontId="24" fillId="3" borderId="0" xfId="0" applyFont="1" applyFill="1" applyAlignment="1"/>
    <xf numFmtId="0" fontId="15" fillId="3" borderId="0" xfId="0" applyFont="1" applyFill="1" applyAlignment="1"/>
    <xf numFmtId="0" fontId="25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10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10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10" borderId="0" xfId="0" applyNumberFormat="1" applyFont="1" applyFill="1">
      <alignment vertical="top"/>
    </xf>
    <xf numFmtId="0" fontId="26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7" fillId="2" borderId="0" xfId="0" applyFont="1" applyFill="1">
      <alignment vertical="top"/>
    </xf>
    <xf numFmtId="0" fontId="28" fillId="2" borderId="0" xfId="0" applyFont="1" applyFill="1">
      <alignment vertical="top"/>
    </xf>
    <xf numFmtId="168" fontId="4" fillId="2" borderId="0" xfId="0" applyNumberFormat="1" applyFont="1" applyFill="1">
      <alignment vertical="top"/>
    </xf>
    <xf numFmtId="168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10" borderId="1" xfId="0" applyNumberFormat="1" applyFont="1" applyFill="1" applyBorder="1">
      <alignment vertical="top"/>
    </xf>
    <xf numFmtId="0" fontId="29" fillId="3" borderId="0" xfId="0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8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30" fillId="5" borderId="0" xfId="0" applyFont="1" applyFill="1" applyAlignment="1"/>
    <xf numFmtId="0" fontId="31" fillId="2" borderId="0" xfId="0" applyFont="1" applyFill="1" applyAlignment="1"/>
    <xf numFmtId="0" fontId="30" fillId="2" borderId="0" xfId="0" applyFont="1" applyFill="1" applyAlignment="1"/>
    <xf numFmtId="167" fontId="10" fillId="2" borderId="0" xfId="1" applyNumberFormat="1" applyFont="1" applyFill="1" applyAlignment="1"/>
    <xf numFmtId="167" fontId="4" fillId="10" borderId="0" xfId="0" applyNumberFormat="1" applyFont="1" applyFill="1" applyAlignment="1">
      <alignment horizontal="right" vertical="top"/>
    </xf>
    <xf numFmtId="167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6" fontId="14" fillId="3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10" borderId="0" xfId="1" applyNumberFormat="1" applyFont="1" applyFill="1">
      <alignment vertical="top"/>
    </xf>
    <xf numFmtId="166" fontId="4" fillId="0" borderId="0" xfId="1" applyNumberFormat="1" applyFont="1">
      <alignment vertical="top"/>
    </xf>
    <xf numFmtId="165" fontId="4" fillId="10" borderId="0" xfId="1" applyFont="1" applyFill="1">
      <alignment vertical="top"/>
    </xf>
    <xf numFmtId="165" fontId="3" fillId="10" borderId="1" xfId="1" applyFont="1" applyFill="1" applyBorder="1">
      <alignment vertical="top"/>
    </xf>
    <xf numFmtId="166" fontId="4" fillId="3" borderId="0" xfId="1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165" fontId="4" fillId="10" borderId="0" xfId="0" applyNumberFormat="1" applyFont="1" applyFill="1">
      <alignment vertical="top"/>
    </xf>
    <xf numFmtId="0" fontId="4" fillId="3" borderId="0" xfId="0" applyFont="1" applyFill="1" applyAlignment="1"/>
    <xf numFmtId="166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8" fontId="10" fillId="10" borderId="0" xfId="0" applyNumberFormat="1" applyFont="1" applyFill="1" applyAlignment="1">
      <alignment horizontal="right"/>
    </xf>
    <xf numFmtId="168" fontId="10" fillId="10" borderId="0" xfId="0" applyNumberFormat="1" applyFont="1" applyFill="1" applyAlignment="1"/>
    <xf numFmtId="0" fontId="10" fillId="10" borderId="0" xfId="0" applyFont="1" applyFill="1" applyAlignment="1"/>
    <xf numFmtId="165" fontId="10" fillId="10" borderId="0" xfId="0" applyNumberFormat="1" applyFont="1" applyFill="1" applyAlignment="1"/>
    <xf numFmtId="174" fontId="6" fillId="10" borderId="0" xfId="0" applyNumberFormat="1" applyFont="1" applyFill="1" applyAlignment="1"/>
    <xf numFmtId="173" fontId="6" fillId="10" borderId="0" xfId="0" applyNumberFormat="1" applyFont="1" applyFill="1" applyAlignment="1"/>
    <xf numFmtId="168" fontId="6" fillId="10" borderId="0" xfId="1" applyNumberFormat="1" applyFont="1" applyFill="1" applyAlignment="1"/>
    <xf numFmtId="174" fontId="22" fillId="10" borderId="1" xfId="0" applyNumberFormat="1" applyFont="1" applyFill="1" applyBorder="1" applyAlignment="1"/>
    <xf numFmtId="166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>
      <alignment horizontal="right"/>
    </xf>
    <xf numFmtId="166" fontId="4" fillId="2" borderId="0" xfId="0" applyNumberFormat="1" applyFont="1" applyFill="1" applyAlignment="1">
      <alignment horizontal="right"/>
    </xf>
    <xf numFmtId="167" fontId="10" fillId="2" borderId="0" xfId="1" applyNumberFormat="1" applyFont="1" applyFill="1" applyBorder="1" applyAlignment="1"/>
    <xf numFmtId="167" fontId="4" fillId="10" borderId="0" xfId="1" applyNumberFormat="1" applyFont="1" applyFill="1">
      <alignment vertical="top"/>
    </xf>
    <xf numFmtId="167" fontId="13" fillId="2" borderId="1" xfId="1" applyNumberFormat="1" applyFont="1" applyFill="1" applyBorder="1" applyAlignment="1"/>
    <xf numFmtId="167" fontId="3" fillId="10" borderId="1" xfId="1" applyNumberFormat="1" applyFont="1" applyFill="1" applyBorder="1">
      <alignment vertical="top"/>
    </xf>
    <xf numFmtId="167" fontId="13" fillId="2" borderId="1" xfId="0" applyNumberFormat="1" applyFont="1" applyFill="1" applyBorder="1" applyAlignment="1"/>
    <xf numFmtId="167" fontId="10" fillId="10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9" fillId="6" borderId="0" xfId="0" applyFont="1" applyFill="1" applyAlignment="1"/>
    <xf numFmtId="167" fontId="4" fillId="10" borderId="0" xfId="1" applyNumberFormat="1" applyFont="1" applyFill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7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7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7" fontId="10" fillId="2" borderId="0" xfId="1" applyNumberFormat="1" applyFont="1" applyFill="1" applyBorder="1" applyAlignment="1">
      <alignment horizontal="right"/>
    </xf>
    <xf numFmtId="167" fontId="3" fillId="2" borderId="5" xfId="0" applyNumberFormat="1" applyFont="1" applyFill="1" applyBorder="1" applyAlignment="1">
      <alignment horizontal="right"/>
    </xf>
    <xf numFmtId="167" fontId="3" fillId="2" borderId="5" xfId="0" applyNumberFormat="1" applyFont="1" applyFill="1" applyBorder="1" applyAlignment="1"/>
    <xf numFmtId="167" fontId="3" fillId="10" borderId="5" xfId="0" applyNumberFormat="1" applyFont="1" applyFill="1" applyBorder="1" applyAlignment="1"/>
    <xf numFmtId="167" fontId="3" fillId="2" borderId="1" xfId="0" applyNumberFormat="1" applyFont="1" applyFill="1" applyBorder="1" applyAlignment="1">
      <alignment horizontal="right"/>
    </xf>
    <xf numFmtId="167" fontId="3" fillId="2" borderId="1" xfId="0" applyNumberFormat="1" applyFont="1" applyFill="1" applyBorder="1" applyAlignment="1"/>
    <xf numFmtId="167" fontId="3" fillId="10" borderId="1" xfId="0" applyNumberFormat="1" applyFont="1" applyFill="1" applyBorder="1" applyAlignment="1"/>
    <xf numFmtId="167" fontId="4" fillId="2" borderId="0" xfId="0" applyNumberFormat="1" applyFont="1" applyFill="1" applyAlignment="1">
      <alignment horizontal="right"/>
    </xf>
    <xf numFmtId="167" fontId="4" fillId="2" borderId="0" xfId="0" applyNumberFormat="1" applyFont="1" applyFill="1" applyAlignment="1"/>
    <xf numFmtId="167" fontId="4" fillId="10" borderId="0" xfId="0" applyNumberFormat="1" applyFont="1" applyFill="1" applyAlignment="1"/>
    <xf numFmtId="167" fontId="8" fillId="5" borderId="2" xfId="0" applyNumberFormat="1" applyFont="1" applyFill="1" applyBorder="1" applyAlignment="1">
      <alignment horizontal="right"/>
    </xf>
    <xf numFmtId="167" fontId="16" fillId="5" borderId="2" xfId="0" applyNumberFormat="1" applyFont="1" applyFill="1" applyBorder="1" applyAlignment="1">
      <alignment horizontal="right"/>
    </xf>
    <xf numFmtId="167" fontId="8" fillId="5" borderId="2" xfId="0" applyNumberFormat="1" applyFont="1" applyFill="1" applyBorder="1" applyAlignment="1"/>
    <xf numFmtId="0" fontId="32" fillId="2" borderId="0" xfId="0" applyFont="1" applyFill="1">
      <alignment vertical="top"/>
    </xf>
    <xf numFmtId="168" fontId="32" fillId="2" borderId="0" xfId="2" applyNumberFormat="1" applyFont="1" applyFill="1">
      <alignment vertical="top"/>
    </xf>
    <xf numFmtId="168" fontId="32" fillId="10" borderId="0" xfId="1" applyNumberFormat="1" applyFont="1" applyFill="1">
      <alignment vertical="top"/>
    </xf>
    <xf numFmtId="166" fontId="13" fillId="10" borderId="0" xfId="1" applyNumberFormat="1" applyFont="1" applyFill="1" applyBorder="1" applyAlignment="1">
      <alignment horizontal="right"/>
    </xf>
    <xf numFmtId="166" fontId="10" fillId="10" borderId="0" xfId="0" applyNumberFormat="1" applyFont="1" applyFill="1" applyAlignment="1">
      <alignment horizontal="right"/>
    </xf>
    <xf numFmtId="166" fontId="10" fillId="10" borderId="0" xfId="1" applyNumberFormat="1" applyFont="1" applyFill="1" applyBorder="1" applyAlignment="1">
      <alignment horizontal="right"/>
    </xf>
    <xf numFmtId="167" fontId="4" fillId="10" borderId="0" xfId="1" applyNumberFormat="1" applyFont="1" applyFill="1" applyBorder="1">
      <alignment vertical="top"/>
    </xf>
    <xf numFmtId="167" fontId="3" fillId="2" borderId="0" xfId="0" applyNumberFormat="1" applyFont="1" applyFill="1">
      <alignment vertical="top"/>
    </xf>
    <xf numFmtId="167" fontId="3" fillId="10" borderId="0" xfId="1" applyNumberFormat="1" applyFont="1" applyFill="1">
      <alignment vertical="top"/>
    </xf>
    <xf numFmtId="1" fontId="4" fillId="2" borderId="0" xfId="0" applyNumberFormat="1" applyFont="1" applyFill="1" applyAlignment="1">
      <alignment horizontal="right"/>
    </xf>
    <xf numFmtId="9" fontId="10" fillId="10" borderId="0" xfId="0" applyNumberFormat="1" applyFont="1" applyFill="1" applyAlignment="1"/>
    <xf numFmtId="168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0" fontId="33" fillId="2" borderId="0" xfId="4" applyFill="1">
      <alignment vertical="top"/>
    </xf>
    <xf numFmtId="172" fontId="23" fillId="6" borderId="0" xfId="0" applyNumberFormat="1" applyFont="1" applyFill="1" applyAlignment="1"/>
    <xf numFmtId="9" fontId="32" fillId="2" borderId="0" xfId="2" applyFont="1" applyFill="1">
      <alignment vertical="top"/>
    </xf>
    <xf numFmtId="167" fontId="4" fillId="10" borderId="0" xfId="0" applyNumberFormat="1" applyFont="1" applyFill="1">
      <alignment vertical="top"/>
    </xf>
    <xf numFmtId="168" fontId="32" fillId="2" borderId="0" xfId="0" applyNumberFormat="1" applyFont="1" applyFill="1">
      <alignment vertical="top"/>
    </xf>
    <xf numFmtId="168" fontId="32" fillId="10" borderId="0" xfId="0" applyNumberFormat="1" applyFont="1" applyFill="1">
      <alignment vertical="top"/>
    </xf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wrapText="1"/>
    </xf>
    <xf numFmtId="0" fontId="34" fillId="2" borderId="0" xfId="0" applyFont="1" applyFill="1">
      <alignment vertical="top"/>
    </xf>
    <xf numFmtId="9" fontId="32" fillId="10" borderId="0" xfId="0" applyNumberFormat="1" applyFont="1" applyFill="1">
      <alignment vertical="top"/>
    </xf>
    <xf numFmtId="2" fontId="23" fillId="3" borderId="0" xfId="0" applyNumberFormat="1" applyFont="1" applyFill="1" applyAlignment="1">
      <alignment horizontal="right"/>
    </xf>
    <xf numFmtId="0" fontId="33" fillId="0" borderId="0" xfId="4">
      <alignment vertical="top"/>
    </xf>
    <xf numFmtId="174" fontId="0" fillId="2" borderId="0" xfId="0" applyNumberFormat="1" applyFill="1">
      <alignment vertical="top"/>
    </xf>
    <xf numFmtId="0" fontId="3" fillId="2" borderId="3" xfId="0" applyFont="1" applyFill="1" applyBorder="1" applyAlignment="1">
      <alignment horizontal="left"/>
    </xf>
    <xf numFmtId="168" fontId="1" fillId="0" borderId="0" xfId="2" applyNumberFormat="1">
      <alignment vertical="top"/>
    </xf>
    <xf numFmtId="164" fontId="0" fillId="2" borderId="0" xfId="0" applyNumberFormat="1" applyFill="1" applyAlignment="1"/>
    <xf numFmtId="168" fontId="4" fillId="11" borderId="0" xfId="0" applyNumberFormat="1" applyFont="1" applyFill="1">
      <alignment vertical="top"/>
    </xf>
    <xf numFmtId="9" fontId="4" fillId="3" borderId="0" xfId="0" applyNumberFormat="1" applyFont="1" applyFill="1">
      <alignment vertical="top"/>
    </xf>
    <xf numFmtId="167" fontId="4" fillId="2" borderId="0" xfId="1" applyNumberFormat="1" applyFont="1" applyFill="1" applyAlignment="1"/>
    <xf numFmtId="0" fontId="35" fillId="2" borderId="0" xfId="0" applyFont="1" applyFill="1">
      <alignment vertical="top"/>
    </xf>
    <xf numFmtId="0" fontId="0" fillId="2" borderId="0" xfId="0" applyFill="1" applyAlignment="1">
      <alignment vertical="top"/>
    </xf>
    <xf numFmtId="0" fontId="38" fillId="2" borderId="0" xfId="0" applyFont="1" applyFill="1" applyBorder="1" applyAlignment="1">
      <alignment vertical="top"/>
    </xf>
    <xf numFmtId="0" fontId="38" fillId="2" borderId="0" xfId="0" applyFont="1" applyFill="1" applyBorder="1" applyAlignment="1">
      <alignment horizontal="right" vertical="top" wrapText="1"/>
    </xf>
    <xf numFmtId="176" fontId="38" fillId="2" borderId="0" xfId="0" applyNumberFormat="1" applyFont="1" applyFill="1" applyBorder="1" applyAlignment="1">
      <alignment horizontal="right" vertical="top" wrapText="1"/>
    </xf>
    <xf numFmtId="0" fontId="37" fillId="2" borderId="0" xfId="0" applyFont="1" applyFill="1" applyBorder="1" applyAlignment="1">
      <alignment horizontal="right" vertical="top"/>
    </xf>
    <xf numFmtId="0" fontId="39" fillId="2" borderId="0" xfId="0" applyFont="1" applyFill="1" applyBorder="1" applyAlignment="1">
      <alignment vertical="top"/>
    </xf>
    <xf numFmtId="0" fontId="39" fillId="2" borderId="0" xfId="0" applyFont="1" applyFill="1" applyBorder="1">
      <alignment vertical="top"/>
    </xf>
    <xf numFmtId="0" fontId="37" fillId="2" borderId="0" xfId="0" applyFont="1" applyFill="1" applyBorder="1">
      <alignment vertical="top"/>
    </xf>
    <xf numFmtId="176" fontId="38" fillId="2" borderId="0" xfId="0" applyNumberFormat="1" applyFont="1" applyFill="1" applyBorder="1" applyAlignment="1">
      <alignment vertical="top" wrapText="1"/>
    </xf>
    <xf numFmtId="0" fontId="38" fillId="2" borderId="0" xfId="0" applyFont="1" applyFill="1" applyBorder="1" applyAlignment="1">
      <alignment vertical="top" wrapText="1"/>
    </xf>
    <xf numFmtId="176" fontId="37" fillId="2" borderId="0" xfId="0" applyNumberFormat="1" applyFont="1" applyFill="1" applyBorder="1">
      <alignment vertical="top"/>
    </xf>
    <xf numFmtId="0" fontId="37" fillId="2" borderId="0" xfId="0" applyFont="1" applyFill="1" applyBorder="1" applyAlignment="1"/>
    <xf numFmtId="0" fontId="22" fillId="2" borderId="0" xfId="0" applyFont="1" applyFill="1" applyBorder="1">
      <alignment vertical="top"/>
    </xf>
    <xf numFmtId="168" fontId="39" fillId="2" borderId="0" xfId="2" applyNumberFormat="1" applyFont="1" applyFill="1" applyBorder="1">
      <alignment vertical="top"/>
    </xf>
    <xf numFmtId="0" fontId="40" fillId="2" borderId="0" xfId="0" applyFont="1" applyFill="1" applyBorder="1" applyAlignment="1">
      <alignment vertical="top"/>
    </xf>
    <xf numFmtId="0" fontId="40" fillId="2" borderId="0" xfId="0" applyFont="1" applyFill="1" applyBorder="1" applyAlignment="1">
      <alignment horizontal="left" vertical="top" indent="3"/>
    </xf>
    <xf numFmtId="0" fontId="36" fillId="2" borderId="3" xfId="0" applyFont="1" applyFill="1" applyBorder="1" applyAlignment="1">
      <alignment horizontal="left" vertical="center"/>
    </xf>
    <xf numFmtId="0" fontId="36" fillId="2" borderId="3" xfId="0" applyFont="1" applyFill="1" applyBorder="1" applyAlignment="1">
      <alignment horizontal="right" vertical="center" wrapText="1"/>
    </xf>
    <xf numFmtId="176" fontId="37" fillId="2" borderId="3" xfId="0" applyNumberFormat="1" applyFont="1" applyFill="1" applyBorder="1" applyAlignment="1">
      <alignment horizontal="right" vertical="center" wrapText="1"/>
    </xf>
    <xf numFmtId="0" fontId="36" fillId="2" borderId="3" xfId="0" applyFont="1" applyFill="1" applyBorder="1" applyAlignment="1">
      <alignment horizontal="left"/>
    </xf>
    <xf numFmtId="0" fontId="36" fillId="2" borderId="3" xfId="0" applyFont="1" applyFill="1" applyBorder="1" applyAlignment="1">
      <alignment horizontal="center" wrapText="1"/>
    </xf>
    <xf numFmtId="0" fontId="36" fillId="2" borderId="3" xfId="0" applyFont="1" applyFill="1" applyBorder="1" applyAlignment="1">
      <alignment horizontal="center"/>
    </xf>
    <xf numFmtId="0" fontId="37" fillId="2" borderId="3" xfId="0" applyFont="1" applyFill="1" applyBorder="1">
      <alignment vertical="top"/>
    </xf>
    <xf numFmtId="0" fontId="22" fillId="4" borderId="1" xfId="0" applyFont="1" applyFill="1" applyBorder="1" applyAlignment="1">
      <alignment vertical="top"/>
    </xf>
    <xf numFmtId="0" fontId="22" fillId="4" borderId="1" xfId="0" applyFont="1" applyFill="1" applyBorder="1">
      <alignment vertical="top"/>
    </xf>
    <xf numFmtId="176" fontId="41" fillId="4" borderId="1" xfId="0" applyNumberFormat="1" applyFont="1" applyFill="1" applyBorder="1" applyAlignment="1">
      <alignment horizontal="right" vertical="top" wrapText="1"/>
    </xf>
    <xf numFmtId="0" fontId="8" fillId="5" borderId="0" xfId="0" applyFont="1" applyFill="1" applyAlignment="1">
      <alignment horizontal="center" vertical="top"/>
    </xf>
    <xf numFmtId="0" fontId="21" fillId="9" borderId="0" xfId="3" applyNumberFormat="1" applyFont="1" applyFill="1" applyBorder="1" applyAlignment="1">
      <alignment horizontal="center"/>
    </xf>
  </cellXfs>
  <cellStyles count="5">
    <cellStyle name="Comma" xfId="1" builtinId="3"/>
    <cellStyle name="Hyperlink" xfId="4" builtinId="8"/>
    <cellStyle name="Normal" xfId="0" builtinId="0"/>
    <cellStyle name="Normal_Project Accel Valuation v56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2015-2029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Deliveries!$C$5:$Q$5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1764</c:v>
                </c:pt>
                <c:pt idx="3">
                  <c:v>146055</c:v>
                </c:pt>
                <c:pt idx="4">
                  <c:v>300815</c:v>
                </c:pt>
                <c:pt idx="5">
                  <c:v>481304</c:v>
                </c:pt>
                <c:pt idx="6">
                  <c:v>529434.4</c:v>
                </c:pt>
                <c:pt idx="7">
                  <c:v>582377.84000000008</c:v>
                </c:pt>
                <c:pt idx="8">
                  <c:v>628968.06720000017</c:v>
                </c:pt>
                <c:pt idx="9">
                  <c:v>679285.51257600018</c:v>
                </c:pt>
                <c:pt idx="10">
                  <c:v>706456.93307904026</c:v>
                </c:pt>
                <c:pt idx="11">
                  <c:v>734715.21040220186</c:v>
                </c:pt>
                <c:pt idx="12">
                  <c:v>764103.81881829002</c:v>
                </c:pt>
                <c:pt idx="13">
                  <c:v>794667.9715710216</c:v>
                </c:pt>
                <c:pt idx="14">
                  <c:v>826454.6904338625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Deliveries!$C$6:$Q$6</c:f>
              <c:numCache>
                <c:formatCode>_(* #,##0_);_(* \(#,##0\);_(* "-"?_);@_)</c:formatCode>
                <c:ptCount val="15"/>
                <c:pt idx="0">
                  <c:v>50580</c:v>
                </c:pt>
                <c:pt idx="1">
                  <c:v>76230</c:v>
                </c:pt>
                <c:pt idx="2">
                  <c:v>101312</c:v>
                </c:pt>
                <c:pt idx="3">
                  <c:v>98865</c:v>
                </c:pt>
                <c:pt idx="4">
                  <c:v>66385</c:v>
                </c:pt>
                <c:pt idx="5">
                  <c:v>69040.400000000009</c:v>
                </c:pt>
                <c:pt idx="6">
                  <c:v>71802.016000000018</c:v>
                </c:pt>
                <c:pt idx="7">
                  <c:v>74674.096640000018</c:v>
                </c:pt>
                <c:pt idx="8">
                  <c:v>77661.06050560002</c:v>
                </c:pt>
                <c:pt idx="9">
                  <c:v>80767.502925824025</c:v>
                </c:pt>
                <c:pt idx="10">
                  <c:v>83998.203042856985</c:v>
                </c:pt>
                <c:pt idx="11">
                  <c:v>87358.13116457127</c:v>
                </c:pt>
                <c:pt idx="12">
                  <c:v>90852.456411154126</c:v>
                </c:pt>
                <c:pt idx="13">
                  <c:v>94486.5546676003</c:v>
                </c:pt>
                <c:pt idx="14">
                  <c:v>98266.016854304311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Deliveries!$C$7:$Q$7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1764</c:v>
                </c:pt>
                <c:pt idx="6">
                  <c:v>146055</c:v>
                </c:pt>
                <c:pt idx="7">
                  <c:v>300815</c:v>
                </c:pt>
                <c:pt idx="8">
                  <c:v>481304</c:v>
                </c:pt>
                <c:pt idx="9">
                  <c:v>529434.4</c:v>
                </c:pt>
                <c:pt idx="10">
                  <c:v>582377.84000000008</c:v>
                </c:pt>
                <c:pt idx="11">
                  <c:v>628968.06720000017</c:v>
                </c:pt>
                <c:pt idx="12">
                  <c:v>679285.51257600018</c:v>
                </c:pt>
                <c:pt idx="13">
                  <c:v>706456.93307904026</c:v>
                </c:pt>
                <c:pt idx="14">
                  <c:v>734715.21040220186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Deliveries!$C$8:$Q$8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1650.0000000000002</c:v>
                </c:pt>
                <c:pt idx="11">
                  <c:v>1815.0000000000005</c:v>
                </c:pt>
                <c:pt idx="12">
                  <c:v>1960.2000000000007</c:v>
                </c:pt>
                <c:pt idx="13">
                  <c:v>2117.016000000001</c:v>
                </c:pt>
                <c:pt idx="14">
                  <c:v>2201.696640000001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Deliveries!$C$9:$Q$9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20699.404761904763</c:v>
                </c:pt>
                <c:pt idx="8">
                  <c:v>42632.511337868491</c:v>
                </c:pt>
                <c:pt idx="9">
                  <c:v>68212.018140589586</c:v>
                </c:pt>
                <c:pt idx="10">
                  <c:v>75033.21995464855</c:v>
                </c:pt>
                <c:pt idx="11">
                  <c:v>82536.541950113417</c:v>
                </c:pt>
                <c:pt idx="12">
                  <c:v>89139.465306122496</c:v>
                </c:pt>
                <c:pt idx="13">
                  <c:v>96270.622530612309</c:v>
                </c:pt>
                <c:pt idx="14">
                  <c:v>100121.4474318368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Deliveries!$C$10:$Q$10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20699.404761904763</c:v>
                </c:pt>
                <c:pt idx="8">
                  <c:v>42632.511337868491</c:v>
                </c:pt>
                <c:pt idx="9">
                  <c:v>68212.018140589586</c:v>
                </c:pt>
                <c:pt idx="10">
                  <c:v>75033.21995464855</c:v>
                </c:pt>
                <c:pt idx="11">
                  <c:v>82536.541950113417</c:v>
                </c:pt>
                <c:pt idx="12">
                  <c:v>89139.465306122496</c:v>
                </c:pt>
                <c:pt idx="13">
                  <c:v>96270.622530612309</c:v>
                </c:pt>
                <c:pt idx="14">
                  <c:v>100121.4474318368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autom'!$C$4:$P$4</c:f>
              <c:numCache>
                <c:formatCode>_(* #,##0_);_(* \(#,##0\);_(* "-"?_);@_)</c:formatCode>
                <c:ptCount val="14"/>
                <c:pt idx="0">
                  <c:v>3740.973</c:v>
                </c:pt>
                <c:pt idx="1">
                  <c:v>6350.7659999999996</c:v>
                </c:pt>
                <c:pt idx="2">
                  <c:v>9641.3000000000011</c:v>
                </c:pt>
                <c:pt idx="3">
                  <c:v>18514.983</c:v>
                </c:pt>
                <c:pt idx="4">
                  <c:v>33219.169714333329</c:v>
                </c:pt>
                <c:pt idx="5">
                  <c:v>44967.682560506662</c:v>
                </c:pt>
                <c:pt idx="6">
                  <c:v>62453.77687371552</c:v>
                </c:pt>
                <c:pt idx="7">
                  <c:v>81523.291482834262</c:v>
                </c:pt>
                <c:pt idx="8">
                  <c:v>93584.048102425513</c:v>
                </c:pt>
                <c:pt idx="9">
                  <c:v>100240.63103256337</c:v>
                </c:pt>
                <c:pt idx="10">
                  <c:v>106744.2984157108</c:v>
                </c:pt>
                <c:pt idx="11">
                  <c:v>113335.6485919535</c:v>
                </c:pt>
                <c:pt idx="12">
                  <c:v>118718.9223837296</c:v>
                </c:pt>
                <c:pt idx="13">
                  <c:v>123467.67927907882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autom'!$C$5:$P$5</c:f>
              <c:numCache>
                <c:formatCode>_(* #,##0_);_(* \(#,##0\);_(* "-"?_);@_)</c:formatCode>
                <c:ptCount val="14"/>
                <c:pt idx="0">
                  <c:v>917.67100000000005</c:v>
                </c:pt>
                <c:pt idx="1">
                  <c:v>1600.6849999999999</c:v>
                </c:pt>
                <c:pt idx="2">
                  <c:v>2208.596</c:v>
                </c:pt>
                <c:pt idx="3">
                  <c:v>4340.9859999999999</c:v>
                </c:pt>
                <c:pt idx="4">
                  <c:v>7415.4077036644558</c:v>
                </c:pt>
                <c:pt idx="5">
                  <c:v>9448.6620253686197</c:v>
                </c:pt>
                <c:pt idx="6">
                  <c:v>12591.288845846053</c:v>
                </c:pt>
                <c:pt idx="7">
                  <c:v>15971.186630362348</c:v>
                </c:pt>
                <c:pt idx="8">
                  <c:v>18298.342745098678</c:v>
                </c:pt>
                <c:pt idx="9">
                  <c:v>19524.471449339468</c:v>
                </c:pt>
                <c:pt idx="10">
                  <c:v>20737.931590780732</c:v>
                </c:pt>
                <c:pt idx="11">
                  <c:v>21961.654154841166</c:v>
                </c:pt>
                <c:pt idx="12">
                  <c:v>23006.610492247291</c:v>
                </c:pt>
                <c:pt idx="13">
                  <c:v>23926.874911937193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autom'!$C$6:$P$6</c:f>
              <c:numCache>
                <c:formatCode>0%</c:formatCode>
                <c:ptCount val="14"/>
                <c:pt idx="0">
                  <c:v>0.24530275946926108</c:v>
                </c:pt>
                <c:pt idx="1">
                  <c:v>0.25204597366679865</c:v>
                </c:pt>
                <c:pt idx="2">
                  <c:v>0.22907657681018118</c:v>
                </c:pt>
                <c:pt idx="3">
                  <c:v>0.23445800625363791</c:v>
                </c:pt>
                <c:pt idx="4">
                  <c:v>0.2232267623613986</c:v>
                </c:pt>
                <c:pt idx="5">
                  <c:v>0.21012116896739985</c:v>
                </c:pt>
                <c:pt idx="6">
                  <c:v>0.20160972604276972</c:v>
                </c:pt>
                <c:pt idx="7">
                  <c:v>0.19590949212011735</c:v>
                </c:pt>
                <c:pt idx="8">
                  <c:v>0.1955284379777158</c:v>
                </c:pt>
                <c:pt idx="9">
                  <c:v>0.19477602293821258</c:v>
                </c:pt>
                <c:pt idx="10">
                  <c:v>0.19427671452781303</c:v>
                </c:pt>
                <c:pt idx="11">
                  <c:v>0.19377534277772138</c:v>
                </c:pt>
                <c:pt idx="12">
                  <c:v>0.1937905940376051</c:v>
                </c:pt>
                <c:pt idx="13">
                  <c:v>0.19379059403760512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capital'!$H$5:$Q$5</c:f>
              <c:numCache>
                <c:formatCode>#,##0_);\(#,##0\)</c:formatCode>
                <c:ptCount val="10"/>
                <c:pt idx="0">
                  <c:v>1920.1571947442799</c:v>
                </c:pt>
                <c:pt idx="1">
                  <c:v>2546.4248321384598</c:v>
                </c:pt>
                <c:pt idx="2">
                  <c:v>3458.4184296099274</c:v>
                </c:pt>
                <c:pt idx="3">
                  <c:v>4447.3127248761848</c:v>
                </c:pt>
                <c:pt idx="4">
                  <c:v>5079.766579368511</c:v>
                </c:pt>
                <c:pt idx="5">
                  <c:v>5437.6678876511414</c:v>
                </c:pt>
                <c:pt idx="6">
                  <c:v>5788.8771499035474</c:v>
                </c:pt>
                <c:pt idx="7">
                  <c:v>6145.7305059971732</c:v>
                </c:pt>
                <c:pt idx="8">
                  <c:v>6442.2186072586464</c:v>
                </c:pt>
                <c:pt idx="9">
                  <c:v>6707.6657833195795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capital'!$H$6:$Q$6</c:f>
              <c:numCache>
                <c:formatCode>#,##0_);\(#,##0\)</c:formatCode>
                <c:ptCount val="10"/>
                <c:pt idx="0">
                  <c:v>8353.4109236615805</c:v>
                </c:pt>
                <c:pt idx="1">
                  <c:v>11184.360603681851</c:v>
                </c:pt>
                <c:pt idx="2">
                  <c:v>15256.686928759254</c:v>
                </c:pt>
                <c:pt idx="3">
                  <c:v>19680.056138254018</c:v>
                </c:pt>
                <c:pt idx="4">
                  <c:v>22463.323685796066</c:v>
                </c:pt>
                <c:pt idx="5">
                  <c:v>24063.438617271309</c:v>
                </c:pt>
                <c:pt idx="6">
                  <c:v>25630.800753041087</c:v>
                </c:pt>
                <c:pt idx="7">
                  <c:v>27225.903367828698</c:v>
                </c:pt>
                <c:pt idx="8">
                  <c:v>28543.377402375438</c:v>
                </c:pt>
                <c:pt idx="9">
                  <c:v>29727.142073386149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capital'!$H$7:$Q$7</c:f>
              <c:numCache>
                <c:formatCode>#,##0_);\(#,##0\)</c:formatCode>
                <c:ptCount val="10"/>
                <c:pt idx="0">
                  <c:v>7666.9759607555252</c:v>
                </c:pt>
                <c:pt idx="1">
                  <c:v>10265.29458067923</c:v>
                </c:pt>
                <c:pt idx="2">
                  <c:v>14002.980697649818</c:v>
                </c:pt>
                <c:pt idx="3">
                  <c:v>18062.863026517334</c:v>
                </c:pt>
                <c:pt idx="4">
                  <c:v>20617.417755641349</c:v>
                </c:pt>
                <c:pt idx="5">
                  <c:v>22086.044502987945</c:v>
                </c:pt>
                <c:pt idx="6">
                  <c:v>23524.60988981773</c:v>
                </c:pt>
                <c:pt idx="7">
                  <c:v>24988.636203652441</c:v>
                </c:pt>
                <c:pt idx="8">
                  <c:v>26197.847847147383</c:v>
                </c:pt>
                <c:pt idx="9">
                  <c:v>27284.337588735783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2020 - 2029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40364117909397E-2"/>
          <c:y val="0.12679738562091503"/>
          <c:w val="0.81597186052132586"/>
          <c:h val="0.752872986464927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by type of car'!$B$5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car'!$H$5:$Q$5</c:f>
              <c:numCache>
                <c:formatCode>_(* #,##0_);_(* \(#,##0\);_(* "-"?_);@_)</c:formatCode>
                <c:ptCount val="10"/>
                <c:pt idx="0">
                  <c:v>26065.82029333333</c:v>
                </c:pt>
                <c:pt idx="1">
                  <c:v>28672.402322666669</c:v>
                </c:pt>
                <c:pt idx="2">
                  <c:v>31539.64255493334</c:v>
                </c:pt>
                <c:pt idx="3">
                  <c:v>34062.813959328007</c:v>
                </c:pt>
                <c:pt idx="4">
                  <c:v>36787.839076074248</c:v>
                </c:pt>
                <c:pt idx="5">
                  <c:v>38259.352639117227</c:v>
                </c:pt>
                <c:pt idx="6">
                  <c:v>39789.72674468191</c:v>
                </c:pt>
                <c:pt idx="7">
                  <c:v>41381.315814469192</c:v>
                </c:pt>
                <c:pt idx="8">
                  <c:v>43036.568447047961</c:v>
                </c:pt>
                <c:pt idx="9">
                  <c:v>44758.031184929881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B-4B2F-88EA-096539302D83}"/>
            </c:ext>
          </c:extLst>
        </c:ser>
        <c:ser>
          <c:idx val="1"/>
          <c:order val="1"/>
          <c:tx>
            <c:strRef>
              <c:f>'Revenue by type of car'!$B$6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car'!$H$6:$Q$6</c:f>
              <c:numCache>
                <c:formatCode>_(* #,##0_);_(* \(#,##0\);_(* "-"?_);@_)</c:formatCode>
                <c:ptCount val="10"/>
                <c:pt idx="0">
                  <c:v>7045.7454210000005</c:v>
                </c:pt>
                <c:pt idx="1">
                  <c:v>7327.575237840002</c:v>
                </c:pt>
                <c:pt idx="2">
                  <c:v>7620.6782473536014</c:v>
                </c:pt>
                <c:pt idx="3">
                  <c:v>7925.5053772477468</c:v>
                </c:pt>
                <c:pt idx="4">
                  <c:v>8242.5255923376553</c:v>
                </c:pt>
                <c:pt idx="5">
                  <c:v>8572.2266160311628</c:v>
                </c:pt>
                <c:pt idx="6">
                  <c:v>8915.1156806724084</c:v>
                </c:pt>
                <c:pt idx="7">
                  <c:v>9271.720307899308</c:v>
                </c:pt>
                <c:pt idx="8">
                  <c:v>9642.5891202152779</c:v>
                </c:pt>
                <c:pt idx="9">
                  <c:v>10028.292685023891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B-4B2F-88EA-096539302D83}"/>
            </c:ext>
          </c:extLst>
        </c:ser>
        <c:ser>
          <c:idx val="2"/>
          <c:order val="2"/>
          <c:tx>
            <c:strRef>
              <c:f>'Revenue by type of car'!$B$7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car'!$H$7:$Q$7</c:f>
              <c:numCache>
                <c:formatCode>_(* #,##0_);_(* \(#,##0\);_(* "-"?_);@_)</c:formatCode>
                <c:ptCount val="10"/>
                <c:pt idx="0">
                  <c:v>107.604</c:v>
                </c:pt>
                <c:pt idx="1">
                  <c:v>8909.3549999999996</c:v>
                </c:pt>
                <c:pt idx="2">
                  <c:v>18349.715</c:v>
                </c:pt>
                <c:pt idx="3">
                  <c:v>29359.544000000002</c:v>
                </c:pt>
                <c:pt idx="4">
                  <c:v>32295.4984</c:v>
                </c:pt>
                <c:pt idx="5">
                  <c:v>35525.048240000011</c:v>
                </c:pt>
                <c:pt idx="6">
                  <c:v>38367.052099200009</c:v>
                </c:pt>
                <c:pt idx="7">
                  <c:v>41436.41626713601</c:v>
                </c:pt>
                <c:pt idx="8">
                  <c:v>43093.872917821456</c:v>
                </c:pt>
                <c:pt idx="9">
                  <c:v>44817.627834534316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B-4B2F-88EA-096539302D83}"/>
            </c:ext>
          </c:extLst>
        </c:ser>
        <c:ser>
          <c:idx val="3"/>
          <c:order val="3"/>
          <c:tx>
            <c:strRef>
              <c:f>'Revenue by type of car'!$B$8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car'!$H$8:$Q$8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112.5</c:v>
                </c:pt>
                <c:pt idx="3">
                  <c:v>225</c:v>
                </c:pt>
                <c:pt idx="4">
                  <c:v>337.5</c:v>
                </c:pt>
                <c:pt idx="5">
                  <c:v>371.25000000000006</c:v>
                </c:pt>
                <c:pt idx="6">
                  <c:v>408.37500000000011</c:v>
                </c:pt>
                <c:pt idx="7">
                  <c:v>441.04500000000019</c:v>
                </c:pt>
                <c:pt idx="8">
                  <c:v>476.32860000000022</c:v>
                </c:pt>
                <c:pt idx="9">
                  <c:v>495.38174400000025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B-4B2F-88EA-096539302D83}"/>
            </c:ext>
          </c:extLst>
        </c:ser>
        <c:ser>
          <c:idx val="4"/>
          <c:order val="4"/>
          <c:tx>
            <c:strRef>
              <c:f>'Revenue by type of car'!$B$9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DE-4EC1-966D-E5710818D8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DE-4EC1-966D-E5710818D85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DE-4EC1-966D-E5710818D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car'!$H$9:$Q$9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14.6</c:v>
                </c:pt>
                <c:pt idx="2">
                  <c:v>1208.8452380952383</c:v>
                </c:pt>
                <c:pt idx="3">
                  <c:v>2489.73866213152</c:v>
                </c:pt>
                <c:pt idx="4">
                  <c:v>3983.5818594104317</c:v>
                </c:pt>
                <c:pt idx="5">
                  <c:v>4381.9400453514754</c:v>
                </c:pt>
                <c:pt idx="6">
                  <c:v>4820.134049886623</c:v>
                </c:pt>
                <c:pt idx="7">
                  <c:v>5205.7447738775536</c:v>
                </c:pt>
                <c:pt idx="8">
                  <c:v>5622.2043557877587</c:v>
                </c:pt>
                <c:pt idx="9">
                  <c:v>5847.0925300192694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B-4B2F-88EA-096539302D83}"/>
            </c:ext>
          </c:extLst>
        </c:ser>
        <c:ser>
          <c:idx val="5"/>
          <c:order val="5"/>
          <c:tx>
            <c:strRef>
              <c:f>'Revenue by type of car'!$B$10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car'!$H$10:$Q$10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43.75</c:v>
                </c:pt>
                <c:pt idx="2">
                  <c:v>3622.3958333333335</c:v>
                </c:pt>
                <c:pt idx="3">
                  <c:v>7460.6894841269859</c:v>
                </c:pt>
                <c:pt idx="4">
                  <c:v>11937.103174603179</c:v>
                </c:pt>
                <c:pt idx="5">
                  <c:v>13130.813492063495</c:v>
                </c:pt>
                <c:pt idx="6">
                  <c:v>14443.894841269848</c:v>
                </c:pt>
                <c:pt idx="7">
                  <c:v>15599.406428571436</c:v>
                </c:pt>
                <c:pt idx="8">
                  <c:v>16847.358942857154</c:v>
                </c:pt>
                <c:pt idx="9">
                  <c:v>17521.253300571443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B-4B2F-88EA-09653930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4243080"/>
        <c:axId val="614247016"/>
      </c:bar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2020 - 2029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'Types of vehicles'!$B$14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vehicles'!$H$14:$Q$14</c:f>
              <c:numCache>
                <c:formatCode>_(* #,##0_);_(* \(#,##0\);_(* "-"?_);@_)</c:formatCode>
                <c:ptCount val="10"/>
                <c:pt idx="0">
                  <c:v>33219.169714333329</c:v>
                </c:pt>
                <c:pt idx="1">
                  <c:v>44909.332560506664</c:v>
                </c:pt>
                <c:pt idx="2">
                  <c:v>57622.535802286948</c:v>
                </c:pt>
                <c:pt idx="3">
                  <c:v>71572.863336575756</c:v>
                </c:pt>
                <c:pt idx="4">
                  <c:v>77663.363068411898</c:v>
                </c:pt>
                <c:pt idx="5">
                  <c:v>82727.877495148394</c:v>
                </c:pt>
                <c:pt idx="6">
                  <c:v>87480.269524554329</c:v>
                </c:pt>
                <c:pt idx="7">
                  <c:v>92530.497389504511</c:v>
                </c:pt>
                <c:pt idx="8">
                  <c:v>96249.359085084681</c:v>
                </c:pt>
                <c:pt idx="9">
                  <c:v>100099.33344848809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3-4B07-8B65-A759A9F3A214}"/>
            </c:ext>
          </c:extLst>
        </c:ser>
        <c:ser>
          <c:idx val="1"/>
          <c:order val="1"/>
          <c:tx>
            <c:strRef>
              <c:f>'Types of vehicles'!$B$15</c:f>
              <c:strCache>
                <c:ptCount val="1"/>
                <c:pt idx="0">
                  <c:v>Pickup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vehicles'!$H$15:$Q$15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14.6</c:v>
                </c:pt>
                <c:pt idx="2">
                  <c:v>1208.8452380952383</c:v>
                </c:pt>
                <c:pt idx="3">
                  <c:v>2489.73866213152</c:v>
                </c:pt>
                <c:pt idx="4">
                  <c:v>3983.5818594104317</c:v>
                </c:pt>
                <c:pt idx="5">
                  <c:v>4381.9400453514754</c:v>
                </c:pt>
                <c:pt idx="6">
                  <c:v>4820.134049886623</c:v>
                </c:pt>
                <c:pt idx="7">
                  <c:v>5205.7447738775536</c:v>
                </c:pt>
                <c:pt idx="8">
                  <c:v>5622.2043557877587</c:v>
                </c:pt>
                <c:pt idx="9">
                  <c:v>5847.0925300192694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3-4B07-8B65-A759A9F3A214}"/>
            </c:ext>
          </c:extLst>
        </c:ser>
        <c:ser>
          <c:idx val="2"/>
          <c:order val="2"/>
          <c:tx>
            <c:strRef>
              <c:f>'Types of vehicles'!$B$16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vehicles'!$H$16:$Q$16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43.75</c:v>
                </c:pt>
                <c:pt idx="2">
                  <c:v>3622.3958333333335</c:v>
                </c:pt>
                <c:pt idx="3">
                  <c:v>7460.6894841269859</c:v>
                </c:pt>
                <c:pt idx="4">
                  <c:v>11937.103174603179</c:v>
                </c:pt>
                <c:pt idx="5">
                  <c:v>13130.813492063495</c:v>
                </c:pt>
                <c:pt idx="6">
                  <c:v>14443.894841269848</c:v>
                </c:pt>
                <c:pt idx="7">
                  <c:v>15599.406428571436</c:v>
                </c:pt>
                <c:pt idx="8">
                  <c:v>16847.358942857154</c:v>
                </c:pt>
                <c:pt idx="9">
                  <c:v>17521.253300571443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3-4B07-8B65-A759A9F3A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43080"/>
        <c:axId val="614247016"/>
      </c:area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Tesla</a:t>
            </a:r>
            <a:r>
              <a:rPr lang="en-US" sz="1000" b="1" baseline="0">
                <a:solidFill>
                  <a:srgbClr val="002060"/>
                </a:solidFill>
              </a:rPr>
              <a:t> profitability: 2015-2029</a:t>
            </a:r>
            <a:endParaRPr lang="en-US" sz="10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40570175438596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28378401712948E-2"/>
          <c:y val="0.17824074074074073"/>
          <c:w val="0.86747964584196713"/>
          <c:h val="0.58887831729367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Profitability!$B$5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Profitability!$C$4:$Q$4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Profitability!$C$5:$Q$5</c:f>
              <c:numCache>
                <c:formatCode>_(* #,##0_);_(* \(#,##0\);_(* "-"??_);_(@_)</c:formatCode>
                <c:ptCount val="15"/>
                <c:pt idx="0">
                  <c:v>4046.0250000000001</c:v>
                </c:pt>
                <c:pt idx="1">
                  <c:v>7000.1319999999996</c:v>
                </c:pt>
                <c:pt idx="2">
                  <c:v>11758.751</c:v>
                </c:pt>
                <c:pt idx="3">
                  <c:v>21461.268</c:v>
                </c:pt>
                <c:pt idx="4">
                  <c:v>24578</c:v>
                </c:pt>
                <c:pt idx="5">
                  <c:v>37652.429714333332</c:v>
                </c:pt>
                <c:pt idx="6">
                  <c:v>49932.933760506661</c:v>
                </c:pt>
                <c:pt idx="7">
                  <c:v>67816.248169715516</c:v>
                </c:pt>
                <c:pt idx="8">
                  <c:v>87207.51105659426</c:v>
                </c:pt>
                <c:pt idx="9">
                  <c:v>99609.320850611111</c:v>
                </c:pt>
                <c:pt idx="10">
                  <c:v>106627.42014564011</c:v>
                </c:pt>
                <c:pt idx="11">
                  <c:v>113514.29487557214</c:v>
                </c:pt>
                <c:pt idx="12">
                  <c:v>120511.84483940653</c:v>
                </c:pt>
                <c:pt idx="13">
                  <c:v>126325.69040602981</c:v>
                </c:pt>
                <c:pt idx="14">
                  <c:v>131530.85338271703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39181288"/>
        <c:axId val="614219792"/>
      </c:barChart>
      <c:lineChart>
        <c:grouping val="standard"/>
        <c:varyColors val="0"/>
        <c:ser>
          <c:idx val="1"/>
          <c:order val="1"/>
          <c:tx>
            <c:strRef>
              <c:f>Profitability!$B$6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7817982456140351E-2"/>
                  <c:y val="9.25925925925921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F1-4978-90E2-423C850A09AC}"/>
                </c:ext>
              </c:extLst>
            </c:dLbl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Profitability!$C$6:$Q$6</c:f>
              <c:numCache>
                <c:formatCode>0.0%</c:formatCode>
                <c:ptCount val="15"/>
                <c:pt idx="0">
                  <c:v>0.22824945471172328</c:v>
                </c:pt>
                <c:pt idx="1">
                  <c:v>0.22846097759299391</c:v>
                </c:pt>
                <c:pt idx="2">
                  <c:v>0.18900706376042839</c:v>
                </c:pt>
                <c:pt idx="3">
                  <c:v>0.18834026954977687</c:v>
                </c:pt>
                <c:pt idx="4">
                  <c:v>0.1655545609895028</c:v>
                </c:pt>
                <c:pt idx="5">
                  <c:v>0.19694367030028875</c:v>
                </c:pt>
                <c:pt idx="6">
                  <c:v>0.18922705544775781</c:v>
                </c:pt>
                <c:pt idx="7">
                  <c:v>0.18566772986814825</c:v>
                </c:pt>
                <c:pt idx="8">
                  <c:v>0.1831400350366344</c:v>
                </c:pt>
                <c:pt idx="9">
                  <c:v>0.18370110938254045</c:v>
                </c:pt>
                <c:pt idx="10">
                  <c:v>0.18310929236280324</c:v>
                </c:pt>
                <c:pt idx="11">
                  <c:v>0.18269004457555291</c:v>
                </c:pt>
                <c:pt idx="12">
                  <c:v>0.1822364779504218</c:v>
                </c:pt>
                <c:pt idx="13">
                  <c:v>0.18212139128866495</c:v>
                </c:pt>
                <c:pt idx="14">
                  <c:v>0.18191074030605481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90-4766-AE82-D6428E53EC50}"/>
            </c:ext>
          </c:extLst>
        </c:ser>
        <c:ser>
          <c:idx val="2"/>
          <c:order val="2"/>
          <c:tx>
            <c:strRef>
              <c:f>Profitability!$B$7</c:f>
              <c:strCache>
                <c:ptCount val="1"/>
                <c:pt idx="0">
                  <c:v>EBIT%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5076754385965114E-2"/>
                  <c:y val="1.822688830562846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223684210526315E-2"/>
                      <c:h val="5.64585156022163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F1-4978-90E2-423C850A09AC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Profitability!$C$7:$Q$7</c:f>
              <c:numCache>
                <c:formatCode>0.0%</c:formatCode>
                <c:ptCount val="15"/>
                <c:pt idx="0">
                  <c:v>-0.17711927138364195</c:v>
                </c:pt>
                <c:pt idx="1">
                  <c:v>-9.5332488015940367E-2</c:v>
                </c:pt>
                <c:pt idx="2">
                  <c:v>-0.13879756446921945</c:v>
                </c:pt>
                <c:pt idx="3">
                  <c:v>-1.8082482358451488E-2</c:v>
                </c:pt>
                <c:pt idx="4">
                  <c:v>-2.8073887216209618E-3</c:v>
                </c:pt>
                <c:pt idx="5">
                  <c:v>6.0238924491665277E-2</c:v>
                </c:pt>
                <c:pt idx="6">
                  <c:v>5.2522309639134332E-2</c:v>
                </c:pt>
                <c:pt idx="7">
                  <c:v>4.8962984059524761E-2</c:v>
                </c:pt>
                <c:pt idx="8">
                  <c:v>4.6435289228010893E-2</c:v>
                </c:pt>
                <c:pt idx="9">
                  <c:v>4.6996363573916955E-2</c:v>
                </c:pt>
                <c:pt idx="10">
                  <c:v>4.6404546554179756E-2</c:v>
                </c:pt>
                <c:pt idx="11">
                  <c:v>4.5985298766929417E-2</c:v>
                </c:pt>
                <c:pt idx="12">
                  <c:v>4.5531732141798328E-2</c:v>
                </c:pt>
                <c:pt idx="13">
                  <c:v>4.541664548004145E-2</c:v>
                </c:pt>
                <c:pt idx="14">
                  <c:v>4.5205994497431304E-2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35208"/>
        <c:axId val="614236192"/>
      </c:lineChart>
      <c:catAx>
        <c:axId val="43918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19792"/>
        <c:crosses val="autoZero"/>
        <c:auto val="1"/>
        <c:lblAlgn val="ctr"/>
        <c:lblOffset val="100"/>
        <c:noMultiLvlLbl val="0"/>
      </c:catAx>
      <c:valAx>
        <c:axId val="61421979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9181288"/>
        <c:crosses val="autoZero"/>
        <c:crossBetween val="between"/>
        <c:majorUnit val="20000"/>
      </c:valAx>
      <c:valAx>
        <c:axId val="6142361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35208"/>
        <c:crosses val="max"/>
        <c:crossBetween val="between"/>
        <c:majorUnit val="0.1"/>
      </c:valAx>
      <c:catAx>
        <c:axId val="614235208"/>
        <c:scaling>
          <c:orientation val="minMax"/>
        </c:scaling>
        <c:delete val="1"/>
        <c:axPos val="b"/>
        <c:majorTickMark val="out"/>
        <c:minorTickMark val="none"/>
        <c:tickLblPos val="nextTo"/>
        <c:crossAx val="61423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Tesla: Revenue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Tesla: Revenue bridge 2020-2021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2020-2021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Tesla: Cash flow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Tesla: Cash flow bridge 2028-2029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2028-2029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Tesla: Cash flow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Tesla Inc. - Net Income bridge FY1</a:t>
            </a:r>
            <a:r>
              <a:rPr lang="bg-BG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8</a:t>
            </a: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-FY</a:t>
            </a:r>
            <a:r>
              <a:rPr lang="bg-BG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</a:t>
            </a:r>
            <a:endPara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>
        <cx:series layoutId="waterfall" uniqueId="{CB559398-49B7-4531-BCA7-5A242B7AD24B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Pt idx="9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3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0"/>
              <cx:idx val="7"/>
              <cx:idx val="13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bg-BG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$   </a:t>
                </a: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in million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>
          <cx:spPr>
            <a:ln>
              <a:solidFill>
                <a:schemeClr val="bg1">
                  <a:lumMod val="50000"/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Automotive revenue: Price - Volume - Mix Analysis 2018-2019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2018-2019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Automotive revenue: Price - Volume - Mix Analysis 2019-2020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2019-2020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83820</xdr:rowOff>
    </xdr:from>
    <xdr:to>
      <xdr:col>18</xdr:col>
      <xdr:colOff>243840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5A947-05F3-4885-903C-1AE9E4EF8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17</xdr:row>
      <xdr:rowOff>106680</xdr:rowOff>
    </xdr:from>
    <xdr:to>
      <xdr:col>11</xdr:col>
      <xdr:colOff>510540</xdr:colOff>
      <xdr:row>36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F8E367-D47A-4F2E-9106-04911915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9</xdr:row>
      <xdr:rowOff>95250</xdr:rowOff>
    </xdr:from>
    <xdr:to>
      <xdr:col>17</xdr:col>
      <xdr:colOff>38100</xdr:colOff>
      <xdr:row>28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1EE65-1412-4D60-8323-47891ED9B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190500</xdr:rowOff>
    </xdr:from>
    <xdr:to>
      <xdr:col>16</xdr:col>
      <xdr:colOff>167640</xdr:colOff>
      <xdr:row>15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FBB898-9EAB-4BBF-9976-B65A8C7A9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5160" y="190500"/>
              <a:ext cx="8237220" cy="2125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274320</xdr:colOff>
      <xdr:row>16</xdr:row>
      <xdr:rowOff>121920</xdr:rowOff>
    </xdr:from>
    <xdr:to>
      <xdr:col>16</xdr:col>
      <xdr:colOff>167640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1E5AB44-9AFF-4BC3-96EA-857236955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5160" y="2491740"/>
              <a:ext cx="8237220" cy="2125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302560</xdr:colOff>
      <xdr:row>1</xdr:row>
      <xdr:rowOff>33618</xdr:rowOff>
    </xdr:from>
    <xdr:to>
      <xdr:col>10</xdr:col>
      <xdr:colOff>156884</xdr:colOff>
      <xdr:row>20</xdr:row>
      <xdr:rowOff>33617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7D6470-52AF-47C8-8134-6ABB3EB84F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4" t="30335" r="38929" b="6391"/>
        <a:stretch/>
      </xdr:blipFill>
      <xdr:spPr>
        <a:xfrm>
          <a:off x="3003178" y="235324"/>
          <a:ext cx="4919382" cy="2980764"/>
        </a:xfrm>
        <a:prstGeom prst="rect">
          <a:avLst/>
        </a:prstGeom>
      </xdr:spPr>
    </xdr:pic>
    <xdr:clientData/>
  </xdr:twoCellAnchor>
  <xdr:twoCellAnchor editAs="oneCell">
    <xdr:from>
      <xdr:col>3</xdr:col>
      <xdr:colOff>246530</xdr:colOff>
      <xdr:row>20</xdr:row>
      <xdr:rowOff>112059</xdr:rowOff>
    </xdr:from>
    <xdr:to>
      <xdr:col>10</xdr:col>
      <xdr:colOff>123266</xdr:colOff>
      <xdr:row>37</xdr:row>
      <xdr:rowOff>145677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FCE249-87A5-4A8F-9CE7-BAACEE5A7F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780" t="33552" r="23876" b="9456"/>
        <a:stretch/>
      </xdr:blipFill>
      <xdr:spPr>
        <a:xfrm>
          <a:off x="2947148" y="3294530"/>
          <a:ext cx="4941794" cy="2700618"/>
        </a:xfrm>
        <a:prstGeom prst="rect">
          <a:avLst/>
        </a:prstGeom>
      </xdr:spPr>
    </xdr:pic>
    <xdr:clientData/>
  </xdr:twoCellAnchor>
  <xdr:twoCellAnchor editAs="oneCell">
    <xdr:from>
      <xdr:col>10</xdr:col>
      <xdr:colOff>212912</xdr:colOff>
      <xdr:row>0</xdr:row>
      <xdr:rowOff>89647</xdr:rowOff>
    </xdr:from>
    <xdr:to>
      <xdr:col>23</xdr:col>
      <xdr:colOff>533992</xdr:colOff>
      <xdr:row>37</xdr:row>
      <xdr:rowOff>144938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DB4F17-4596-48F8-A4D9-BBA481167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8588" y="89647"/>
          <a:ext cx="8714286" cy="5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15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93BF9DD-E731-40F8-B1D8-0D741C4064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18110"/>
              <a:ext cx="10020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19</xdr:row>
      <xdr:rowOff>125730</xdr:rowOff>
    </xdr:from>
    <xdr:to>
      <xdr:col>19</xdr:col>
      <xdr:colOff>160020</xdr:colOff>
      <xdr:row>38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D75E2B-AC51-44A0-8536-CFA4CA42C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2929890"/>
              <a:ext cx="10020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DEC695-FB3E-4392-9714-331EA9A7D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18110"/>
              <a:ext cx="10020300" cy="2598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18</xdr:row>
      <xdr:rowOff>125730</xdr:rowOff>
    </xdr:from>
    <xdr:to>
      <xdr:col>19</xdr:col>
      <xdr:colOff>160020</xdr:colOff>
      <xdr:row>36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C51C3A-4C7C-46BA-8021-8E87E4F9F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2785110"/>
              <a:ext cx="10020300" cy="2598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E6463F-098B-484A-A1F7-F0324042EF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18110"/>
              <a:ext cx="10020300" cy="2598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15240</xdr:rowOff>
    </xdr:from>
    <xdr:to>
      <xdr:col>19</xdr:col>
      <xdr:colOff>152400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B4F957-2118-4556-B26B-D80786E0DD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6060" y="510540"/>
              <a:ext cx="9951720" cy="2766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1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5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>
      <selection activeCell="J19" sqref="J1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185</v>
      </c>
      <c r="C9" s="95"/>
    </row>
    <row r="10" spans="2:3" ht="50.4" x14ac:dyDescent="0.25">
      <c r="B10" s="11" t="s">
        <v>186</v>
      </c>
      <c r="C10" s="9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A1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customWidth="1"/>
    <col min="11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25"/>
  <sheetViews>
    <sheetView workbookViewId="0">
      <selection activeCell="B1" sqref="B1"/>
    </sheetView>
  </sheetViews>
  <sheetFormatPr defaultColWidth="9.109375" defaultRowHeight="11.4" x14ac:dyDescent="0.25"/>
  <cols>
    <col min="1" max="1" width="2" style="8" customWidth="1"/>
    <col min="2" max="2" width="29.6640625" style="8" bestFit="1" customWidth="1"/>
    <col min="3" max="3" width="23.33203125" style="8" customWidth="1"/>
    <col min="4" max="4" width="11.6640625" style="8" customWidth="1"/>
    <col min="5" max="5" width="10.88671875" style="8" bestFit="1" customWidth="1"/>
    <col min="6" max="6" width="9.109375" style="8"/>
    <col min="7" max="7" width="10.5546875" style="8" bestFit="1" customWidth="1"/>
    <col min="8" max="16384" width="9.109375" style="8"/>
  </cols>
  <sheetData>
    <row r="1" spans="1:6" ht="15.6" x14ac:dyDescent="0.25">
      <c r="A1" s="1"/>
      <c r="B1" s="2" t="s">
        <v>258</v>
      </c>
    </row>
    <row r="2" spans="1:6" ht="15.6" x14ac:dyDescent="0.25">
      <c r="A2" s="1"/>
      <c r="B2" s="2"/>
    </row>
    <row r="3" spans="1:6" x14ac:dyDescent="0.25">
      <c r="B3" s="198" t="s">
        <v>382</v>
      </c>
    </row>
    <row r="5" spans="1:6" x14ac:dyDescent="0.25">
      <c r="F5" s="8" t="s">
        <v>191</v>
      </c>
    </row>
    <row r="6" spans="1:6" ht="12" x14ac:dyDescent="0.25">
      <c r="B6" s="203" t="s">
        <v>376</v>
      </c>
      <c r="C6" s="62" t="s">
        <v>188</v>
      </c>
      <c r="D6" s="62" t="s">
        <v>222</v>
      </c>
    </row>
    <row r="7" spans="1:6" x14ac:dyDescent="0.25">
      <c r="B7" s="8" t="s">
        <v>211</v>
      </c>
      <c r="C7" s="14">
        <v>9600340</v>
      </c>
      <c r="D7" s="14">
        <f>C7</f>
        <v>9600340</v>
      </c>
    </row>
    <row r="8" spans="1:6" x14ac:dyDescent="0.25">
      <c r="B8" s="8" t="s">
        <v>212</v>
      </c>
      <c r="C8" s="14">
        <v>6607000</v>
      </c>
      <c r="D8" s="14">
        <f t="shared" ref="D8:D11" si="0">C8</f>
        <v>6607000</v>
      </c>
    </row>
    <row r="9" spans="1:6" x14ac:dyDescent="0.25">
      <c r="B9" s="8" t="s">
        <v>213</v>
      </c>
      <c r="C9" s="14">
        <v>4740000</v>
      </c>
      <c r="D9" s="14">
        <f t="shared" si="0"/>
        <v>4740000</v>
      </c>
    </row>
    <row r="10" spans="1:6" x14ac:dyDescent="0.25">
      <c r="B10" s="8" t="s">
        <v>214</v>
      </c>
      <c r="C10" s="14">
        <v>2460000</v>
      </c>
      <c r="D10" s="14">
        <f t="shared" si="0"/>
        <v>2460000</v>
      </c>
    </row>
    <row r="11" spans="1:6" x14ac:dyDescent="0.25">
      <c r="B11" s="8" t="s">
        <v>215</v>
      </c>
      <c r="C11" s="14">
        <v>10700000</v>
      </c>
      <c r="D11" s="14">
        <f t="shared" si="0"/>
        <v>10700000</v>
      </c>
    </row>
    <row r="12" spans="1:6" x14ac:dyDescent="0.25">
      <c r="B12" s="116" t="s">
        <v>216</v>
      </c>
      <c r="C12" s="187" t="s">
        <v>64</v>
      </c>
      <c r="D12" s="187" t="s">
        <v>64</v>
      </c>
    </row>
    <row r="13" spans="1:6" x14ac:dyDescent="0.25">
      <c r="B13" s="116" t="s">
        <v>217</v>
      </c>
      <c r="C13" s="187" t="s">
        <v>64</v>
      </c>
      <c r="D13" s="187" t="s">
        <v>64</v>
      </c>
    </row>
    <row r="14" spans="1:6" x14ac:dyDescent="0.25">
      <c r="B14" s="116" t="s">
        <v>218</v>
      </c>
      <c r="C14" s="187" t="s">
        <v>64</v>
      </c>
      <c r="D14" s="187" t="s">
        <v>64</v>
      </c>
    </row>
    <row r="15" spans="1:6" x14ac:dyDescent="0.25">
      <c r="B15" s="116" t="s">
        <v>219</v>
      </c>
      <c r="C15" s="187" t="s">
        <v>64</v>
      </c>
      <c r="D15" s="187" t="s">
        <v>64</v>
      </c>
    </row>
    <row r="16" spans="1:6" x14ac:dyDescent="0.25">
      <c r="B16" s="116" t="s">
        <v>220</v>
      </c>
      <c r="C16" s="187" t="s">
        <v>64</v>
      </c>
      <c r="D16" s="187" t="s">
        <v>64</v>
      </c>
    </row>
    <row r="17" spans="2:4" x14ac:dyDescent="0.25">
      <c r="B17" s="116" t="s">
        <v>221</v>
      </c>
      <c r="C17" s="187" t="s">
        <v>64</v>
      </c>
      <c r="D17" s="187" t="s">
        <v>64</v>
      </c>
    </row>
    <row r="18" spans="2:4" ht="12" x14ac:dyDescent="0.25">
      <c r="B18" s="9" t="s">
        <v>188</v>
      </c>
      <c r="C18" s="189" t="s">
        <v>64</v>
      </c>
      <c r="D18" s="156">
        <f>AVERAGE(D7:D17)</f>
        <v>6821468</v>
      </c>
    </row>
    <row r="19" spans="2:4" x14ac:dyDescent="0.25">
      <c r="C19" s="188"/>
      <c r="D19" s="188"/>
    </row>
    <row r="22" spans="2:4" ht="12" x14ac:dyDescent="0.25">
      <c r="B22" s="203" t="s">
        <v>378</v>
      </c>
      <c r="C22" s="62"/>
      <c r="D22" s="62"/>
    </row>
    <row r="23" spans="2:4" x14ac:dyDescent="0.25">
      <c r="B23" s="8">
        <v>2020</v>
      </c>
      <c r="D23" s="14">
        <f>Deliveries!H$11</f>
        <v>552108.4</v>
      </c>
    </row>
    <row r="24" spans="2:4" x14ac:dyDescent="0.25">
      <c r="B24" s="8">
        <v>2024</v>
      </c>
      <c r="D24" s="14">
        <f>Deliveries!L$11</f>
        <v>1427411.4517830033</v>
      </c>
    </row>
    <row r="25" spans="2:4" x14ac:dyDescent="0.25">
      <c r="B25" s="8">
        <v>2029</v>
      </c>
      <c r="D25" s="14">
        <f>Deliveries!Q$11</f>
        <v>1861880.5091940423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EB7F-48C3-4E62-8AE2-B247778DDB16}">
  <dimension ref="B1:G31"/>
  <sheetViews>
    <sheetView showGridLines="0" workbookViewId="0">
      <selection activeCell="B1" sqref="B1"/>
    </sheetView>
  </sheetViews>
  <sheetFormatPr defaultColWidth="9.109375" defaultRowHeight="13.2" x14ac:dyDescent="0.25"/>
  <cols>
    <col min="1" max="1" width="2" style="1" customWidth="1"/>
    <col min="2" max="2" width="31.6640625" style="215" bestFit="1" customWidth="1"/>
    <col min="3" max="4" width="10.88671875" style="216" bestFit="1" customWidth="1"/>
    <col min="5" max="5" width="13.44140625" style="216" customWidth="1"/>
    <col min="6" max="6" width="34" style="217" customWidth="1"/>
    <col min="7" max="16384" width="9.109375" style="1"/>
  </cols>
  <sheetData>
    <row r="1" spans="2:6" ht="16.8" x14ac:dyDescent="0.25">
      <c r="B1" s="2" t="s">
        <v>383</v>
      </c>
      <c r="C1" s="1"/>
      <c r="D1" s="1"/>
      <c r="E1" s="1"/>
      <c r="F1" s="209"/>
    </row>
    <row r="2" spans="2:6" ht="16.8" x14ac:dyDescent="0.25">
      <c r="B2" s="210"/>
      <c r="C2" s="1"/>
      <c r="D2" s="1"/>
      <c r="E2" s="1"/>
      <c r="F2" s="209"/>
    </row>
    <row r="3" spans="2:6" x14ac:dyDescent="0.25">
      <c r="B3" s="226" t="s">
        <v>335</v>
      </c>
      <c r="C3" s="227" t="s">
        <v>336</v>
      </c>
      <c r="D3" s="227" t="s">
        <v>337</v>
      </c>
      <c r="E3" s="227" t="s">
        <v>338</v>
      </c>
      <c r="F3" s="228" t="s">
        <v>377</v>
      </c>
    </row>
    <row r="4" spans="2:6" x14ac:dyDescent="0.25">
      <c r="B4" s="211" t="s">
        <v>339</v>
      </c>
      <c r="C4" s="212" t="s">
        <v>340</v>
      </c>
      <c r="D4" s="213">
        <v>39990</v>
      </c>
      <c r="E4" s="213">
        <v>51490</v>
      </c>
      <c r="F4" s="214"/>
    </row>
    <row r="5" spans="2:6" x14ac:dyDescent="0.25">
      <c r="B5" s="211" t="s">
        <v>341</v>
      </c>
      <c r="C5" s="212" t="s">
        <v>342</v>
      </c>
      <c r="D5" s="213">
        <v>48990</v>
      </c>
      <c r="E5" s="213">
        <v>60490</v>
      </c>
      <c r="F5" s="214"/>
    </row>
    <row r="6" spans="2:6" ht="21" customHeight="1" x14ac:dyDescent="0.25">
      <c r="B6" s="211" t="s">
        <v>343</v>
      </c>
      <c r="C6" s="212" t="s">
        <v>342</v>
      </c>
      <c r="D6" s="213">
        <v>56990</v>
      </c>
      <c r="E6" s="213">
        <v>66990</v>
      </c>
      <c r="F6" s="1"/>
    </row>
    <row r="7" spans="2:6" ht="21" customHeight="1" x14ac:dyDescent="0.25">
      <c r="B7" s="233" t="s">
        <v>385</v>
      </c>
      <c r="C7" s="234"/>
      <c r="D7" s="234"/>
      <c r="E7" s="235"/>
      <c r="F7" s="235">
        <f>AVERAGE(D4:E6)</f>
        <v>54156.666666666664</v>
      </c>
    </row>
    <row r="8" spans="2:6" ht="21" customHeight="1" x14ac:dyDescent="0.25">
      <c r="B8" s="211" t="s">
        <v>344</v>
      </c>
      <c r="C8" s="212" t="s">
        <v>345</v>
      </c>
      <c r="D8" s="213">
        <v>79990</v>
      </c>
      <c r="E8" s="213">
        <v>95490</v>
      </c>
      <c r="F8" s="214"/>
    </row>
    <row r="9" spans="2:6" ht="21" customHeight="1" x14ac:dyDescent="0.25">
      <c r="B9" s="211" t="s">
        <v>346</v>
      </c>
      <c r="C9" s="212" t="s">
        <v>347</v>
      </c>
      <c r="D9" s="213">
        <v>99990</v>
      </c>
      <c r="E9" s="213">
        <v>115990</v>
      </c>
      <c r="F9" s="214"/>
    </row>
    <row r="10" spans="2:6" ht="21" customHeight="1" x14ac:dyDescent="0.25">
      <c r="B10" s="211" t="s">
        <v>348</v>
      </c>
      <c r="C10" s="212" t="s">
        <v>349</v>
      </c>
      <c r="D10" s="213">
        <v>84990</v>
      </c>
      <c r="E10" s="213">
        <v>106490</v>
      </c>
      <c r="F10" s="214"/>
    </row>
    <row r="11" spans="2:6" ht="21" customHeight="1" x14ac:dyDescent="0.25">
      <c r="B11" s="211" t="s">
        <v>350</v>
      </c>
      <c r="C11" s="212" t="s">
        <v>351</v>
      </c>
      <c r="D11" s="213">
        <v>104990</v>
      </c>
      <c r="E11" s="213">
        <v>128490</v>
      </c>
      <c r="F11" s="1"/>
    </row>
    <row r="12" spans="2:6" ht="21" customHeight="1" x14ac:dyDescent="0.25">
      <c r="B12" s="233" t="s">
        <v>384</v>
      </c>
      <c r="C12" s="234"/>
      <c r="D12" s="234"/>
      <c r="E12" s="235"/>
      <c r="F12" s="235">
        <f>AVERAGE(D8:E11)</f>
        <v>102052.5</v>
      </c>
    </row>
    <row r="14" spans="2:6" x14ac:dyDescent="0.25">
      <c r="B14" s="229" t="s">
        <v>352</v>
      </c>
      <c r="C14" s="230" t="s">
        <v>337</v>
      </c>
      <c r="D14" s="230" t="s">
        <v>353</v>
      </c>
      <c r="E14" s="231"/>
      <c r="F14" s="232"/>
    </row>
    <row r="15" spans="2:6" x14ac:dyDescent="0.25">
      <c r="B15" s="211" t="s">
        <v>354</v>
      </c>
      <c r="C15" s="218">
        <v>39900</v>
      </c>
      <c r="D15" s="218">
        <v>76900</v>
      </c>
      <c r="E15" s="219"/>
      <c r="F15" s="220">
        <f>AVERAGE(C15:D15)</f>
        <v>58400</v>
      </c>
    </row>
    <row r="16" spans="2:6" ht="18" customHeight="1" x14ac:dyDescent="0.25">
      <c r="B16" s="211" t="s">
        <v>355</v>
      </c>
      <c r="C16" s="218">
        <v>48000</v>
      </c>
      <c r="D16" s="218">
        <v>74000</v>
      </c>
      <c r="E16" s="219"/>
      <c r="F16" s="220">
        <f t="shared" ref="F16:F18" si="0">AVERAGE(C16:D16)</f>
        <v>61000</v>
      </c>
    </row>
    <row r="17" spans="2:7" ht="18" customHeight="1" x14ac:dyDescent="0.25">
      <c r="B17" s="211" t="s">
        <v>356</v>
      </c>
      <c r="C17" s="218">
        <v>200000</v>
      </c>
      <c r="D17" s="218">
        <v>250000</v>
      </c>
      <c r="E17" s="219"/>
      <c r="F17" s="220">
        <f t="shared" si="0"/>
        <v>225000</v>
      </c>
    </row>
    <row r="18" spans="2:7" ht="18" customHeight="1" x14ac:dyDescent="0.25">
      <c r="B18" s="211" t="s">
        <v>372</v>
      </c>
      <c r="C18" s="218">
        <v>150000</v>
      </c>
      <c r="D18" s="218">
        <v>200000</v>
      </c>
      <c r="E18" s="219"/>
      <c r="F18" s="220">
        <f t="shared" si="0"/>
        <v>175000</v>
      </c>
    </row>
    <row r="19" spans="2:7" ht="18" customHeight="1" x14ac:dyDescent="0.25"/>
    <row r="24" spans="2:7" ht="16.8" x14ac:dyDescent="0.25">
      <c r="G24" s="209"/>
    </row>
    <row r="25" spans="2:7" ht="16.8" x14ac:dyDescent="0.25">
      <c r="B25" s="221"/>
      <c r="C25" s="222"/>
      <c r="D25" s="222"/>
      <c r="E25" s="222"/>
      <c r="F25" s="216"/>
      <c r="G25" s="209"/>
    </row>
    <row r="26" spans="2:7" ht="16.8" x14ac:dyDescent="0.25">
      <c r="B26" s="216"/>
      <c r="C26" s="223"/>
      <c r="D26" s="223"/>
      <c r="E26" s="223"/>
      <c r="F26" s="216"/>
      <c r="G26" s="209"/>
    </row>
    <row r="27" spans="2:7" ht="16.8" x14ac:dyDescent="0.25">
      <c r="B27" s="216"/>
      <c r="C27" s="223"/>
      <c r="D27" s="223"/>
      <c r="E27" s="223"/>
      <c r="F27" s="216"/>
      <c r="G27" s="209"/>
    </row>
    <row r="28" spans="2:7" x14ac:dyDescent="0.25">
      <c r="F28" s="216"/>
    </row>
    <row r="29" spans="2:7" x14ac:dyDescent="0.25">
      <c r="B29" s="224"/>
    </row>
    <row r="30" spans="2:7" x14ac:dyDescent="0.25">
      <c r="B30" s="225"/>
    </row>
    <row r="31" spans="2:7" x14ac:dyDescent="0.25">
      <c r="B31" s="216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R4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1.4" x14ac:dyDescent="0.25"/>
  <cols>
    <col min="1" max="1" width="2" style="8" customWidth="1"/>
    <col min="2" max="2" width="15.109375" style="8" customWidth="1"/>
    <col min="3" max="3" width="10.6640625" style="8" customWidth="1"/>
    <col min="4" max="4" width="11.44140625" style="8" customWidth="1"/>
    <col min="5" max="5" width="11" style="8" customWidth="1"/>
    <col min="6" max="7" width="14.5546875" style="8" bestFit="1" customWidth="1"/>
    <col min="8" max="17" width="9.6640625" style="8" customWidth="1"/>
    <col min="18" max="18" width="15.109375" style="8" customWidth="1"/>
    <col min="19" max="19" width="9.109375" style="8"/>
    <col min="20" max="22" width="9.109375" style="8" customWidth="1"/>
    <col min="23" max="16384" width="9.109375" style="8"/>
  </cols>
  <sheetData>
    <row r="1" spans="1:18" ht="15.6" x14ac:dyDescent="0.25">
      <c r="A1" s="1"/>
      <c r="B1" s="2" t="s">
        <v>202</v>
      </c>
      <c r="F1" s="83"/>
      <c r="G1" s="83"/>
      <c r="R1" s="8" t="s">
        <v>75</v>
      </c>
    </row>
    <row r="2" spans="1:18" ht="15.6" x14ac:dyDescent="0.25">
      <c r="A2" s="1"/>
      <c r="B2" s="2"/>
      <c r="C2" s="72"/>
      <c r="D2" s="72"/>
      <c r="E2" s="72"/>
      <c r="F2" s="72"/>
      <c r="G2" s="72"/>
    </row>
    <row r="3" spans="1:18" ht="12" x14ac:dyDescent="0.25">
      <c r="C3" s="236" t="s">
        <v>206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8" ht="24" x14ac:dyDescent="0.25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  <c r="R4" s="62" t="s">
        <v>170</v>
      </c>
    </row>
    <row r="5" spans="1:18" ht="13.2" customHeight="1" x14ac:dyDescent="0.25">
      <c r="B5" s="8" t="s">
        <v>166</v>
      </c>
      <c r="C5" s="83"/>
      <c r="D5" s="83"/>
      <c r="E5" s="83">
        <v>88.268788561549911</v>
      </c>
      <c r="F5" s="83">
        <v>8136.4830442748871</v>
      </c>
      <c r="G5" s="83">
        <v>14705.599268864924</v>
      </c>
      <c r="H5" s="84">
        <f>($R5*Deliveries!H5)*H14/1000000</f>
        <v>26065.82029333333</v>
      </c>
      <c r="I5" s="84">
        <f>($R5*Deliveries!I5)*I14/1000000</f>
        <v>28672.402322666669</v>
      </c>
      <c r="J5" s="84">
        <f>($R5*Deliveries!J5)*J14/1000000</f>
        <v>31539.64255493334</v>
      </c>
      <c r="K5" s="84">
        <f>($R5*Deliveries!K5)*K14/1000000</f>
        <v>34062.813959328007</v>
      </c>
      <c r="L5" s="84">
        <f>($R5*Deliveries!L5)*L14/1000000</f>
        <v>36787.839076074248</v>
      </c>
      <c r="M5" s="84">
        <f>($R5*Deliveries!M5)*M14/1000000</f>
        <v>38259.352639117227</v>
      </c>
      <c r="N5" s="84">
        <f>($R5*Deliveries!N5)*N14/1000000</f>
        <v>39789.72674468191</v>
      </c>
      <c r="O5" s="84">
        <f>($R5*Deliveries!O5)*O14/1000000</f>
        <v>41381.315814469192</v>
      </c>
      <c r="P5" s="84">
        <f>($R5*Deliveries!P5)*P14/1000000</f>
        <v>43036.568447047961</v>
      </c>
      <c r="Q5" s="84">
        <f>($R5*Deliveries!Q5)*Q14/1000000</f>
        <v>44758.031184929881</v>
      </c>
      <c r="R5" s="82">
        <f>AVERAGE('Average Prices'!D4:E6)</f>
        <v>54156.666666666664</v>
      </c>
    </row>
    <row r="6" spans="1:18" x14ac:dyDescent="0.25">
      <c r="B6" s="8" t="s">
        <v>172</v>
      </c>
      <c r="C6" s="83">
        <v>3740.973</v>
      </c>
      <c r="D6" s="83">
        <v>6350.7659999999996</v>
      </c>
      <c r="E6" s="83">
        <v>9553.0312114384506</v>
      </c>
      <c r="F6" s="83">
        <v>10378.49995572511</v>
      </c>
      <c r="G6" s="83">
        <v>6115.4007311350751</v>
      </c>
      <c r="H6" s="84">
        <f>($R6*Deliveries!H6)*H15/1000000</f>
        <v>7045.7454210000005</v>
      </c>
      <c r="I6" s="84">
        <f>($R6*Deliveries!I6)*I15/1000000</f>
        <v>7327.575237840002</v>
      </c>
      <c r="J6" s="84">
        <f>($R6*Deliveries!J6)*J15/1000000</f>
        <v>7620.6782473536014</v>
      </c>
      <c r="K6" s="84">
        <f>($R6*Deliveries!K6)*K15/1000000</f>
        <v>7925.5053772477468</v>
      </c>
      <c r="L6" s="84">
        <f>($R6*Deliveries!L6)*L15/1000000</f>
        <v>8242.5255923376553</v>
      </c>
      <c r="M6" s="84">
        <f>($R6*Deliveries!M6)*M15/1000000</f>
        <v>8572.2266160311628</v>
      </c>
      <c r="N6" s="84">
        <f>($R6*Deliveries!N6)*N15/1000000</f>
        <v>8915.1156806724084</v>
      </c>
      <c r="O6" s="84">
        <f>($R6*Deliveries!O6)*O15/1000000</f>
        <v>9271.720307899308</v>
      </c>
      <c r="P6" s="84">
        <f>($R6*Deliveries!P6)*P15/1000000</f>
        <v>9642.5891202152779</v>
      </c>
      <c r="Q6" s="84">
        <f>($R6*Deliveries!Q6)*Q15/1000000</f>
        <v>10028.292685023891</v>
      </c>
      <c r="R6" s="82">
        <f>AVERAGE('Average Prices'!D8:E11)</f>
        <v>102052.5</v>
      </c>
    </row>
    <row r="7" spans="1:18" x14ac:dyDescent="0.25">
      <c r="B7" s="8" t="s">
        <v>167</v>
      </c>
      <c r="C7" s="83">
        <f>($R7*Deliveries!C7)/1000000</f>
        <v>0</v>
      </c>
      <c r="D7" s="83">
        <f>($R7*Deliveries!D7)/1000000</f>
        <v>0</v>
      </c>
      <c r="E7" s="83">
        <f>($R7*Deliveries!E7)/1000000</f>
        <v>0</v>
      </c>
      <c r="F7" s="83">
        <f>($R7*Deliveries!F7)/1000000</f>
        <v>0</v>
      </c>
      <c r="G7" s="83">
        <f>($R7*Deliveries!G7)/1000000</f>
        <v>0</v>
      </c>
      <c r="H7" s="84">
        <f>($R7*Deliveries!H7)*H16/1000000</f>
        <v>107.604</v>
      </c>
      <c r="I7" s="84">
        <f>($R7*Deliveries!I7)*I16/1000000</f>
        <v>8909.3549999999996</v>
      </c>
      <c r="J7" s="84">
        <f>($R7*Deliveries!J7)*J16/1000000</f>
        <v>18349.715</v>
      </c>
      <c r="K7" s="84">
        <f>($R7*Deliveries!K7)*K16/1000000</f>
        <v>29359.544000000002</v>
      </c>
      <c r="L7" s="84">
        <f>($R7*Deliveries!L7)*L16/1000000</f>
        <v>32295.4984</v>
      </c>
      <c r="M7" s="84">
        <f>($R7*Deliveries!M7)*M16/1000000</f>
        <v>35525.048240000011</v>
      </c>
      <c r="N7" s="84">
        <f>($R7*Deliveries!N7)*N16/1000000</f>
        <v>38367.052099200009</v>
      </c>
      <c r="O7" s="84">
        <f>($R7*Deliveries!O7)*O16/1000000</f>
        <v>41436.41626713601</v>
      </c>
      <c r="P7" s="84">
        <f>($R7*Deliveries!P7)*P16/1000000</f>
        <v>43093.872917821456</v>
      </c>
      <c r="Q7" s="84">
        <f>($R7*Deliveries!Q7)*Q16/1000000</f>
        <v>44817.627834534316</v>
      </c>
      <c r="R7" s="82">
        <f>AVERAGE('Average Prices'!C16:D16)</f>
        <v>61000</v>
      </c>
    </row>
    <row r="8" spans="1:18" x14ac:dyDescent="0.25">
      <c r="B8" s="8" t="s">
        <v>169</v>
      </c>
      <c r="C8" s="83">
        <f>($R8*Deliveries!C8)/1000000</f>
        <v>0</v>
      </c>
      <c r="D8" s="83">
        <f>($R8*Deliveries!D8)/1000000</f>
        <v>0</v>
      </c>
      <c r="E8" s="83">
        <f>($R8*Deliveries!E8)/1000000</f>
        <v>0</v>
      </c>
      <c r="F8" s="83">
        <f>($R8*Deliveries!F8)/1000000</f>
        <v>0</v>
      </c>
      <c r="G8" s="83">
        <f>($R8*Deliveries!G8)/1000000</f>
        <v>0</v>
      </c>
      <c r="H8" s="84">
        <f>($R8*Deliveries!H8)*H17/1000000</f>
        <v>0</v>
      </c>
      <c r="I8" s="84">
        <f>($R8*Deliveries!I8)*I17/1000000</f>
        <v>0</v>
      </c>
      <c r="J8" s="84">
        <f>($R8*Deliveries!J8)*J17/1000000</f>
        <v>112.5</v>
      </c>
      <c r="K8" s="84">
        <f>($R8*Deliveries!K8)*K17/1000000</f>
        <v>225</v>
      </c>
      <c r="L8" s="84">
        <f>($R8*Deliveries!L8)*L17/1000000</f>
        <v>337.5</v>
      </c>
      <c r="M8" s="84">
        <f>($R8*Deliveries!M8)*M17/1000000</f>
        <v>371.25000000000006</v>
      </c>
      <c r="N8" s="84">
        <f>($R8*Deliveries!N8)*N17/1000000</f>
        <v>408.37500000000011</v>
      </c>
      <c r="O8" s="84">
        <f>($R8*Deliveries!O8)*O17/1000000</f>
        <v>441.04500000000019</v>
      </c>
      <c r="P8" s="84">
        <f>($R8*Deliveries!P8)*P17/1000000</f>
        <v>476.32860000000022</v>
      </c>
      <c r="Q8" s="84">
        <f>($R8*Deliveries!Q8)*Q17/1000000</f>
        <v>495.38174400000025</v>
      </c>
      <c r="R8" s="82">
        <f>AVERAGE('Average Prices'!C17:D17)</f>
        <v>225000</v>
      </c>
    </row>
    <row r="9" spans="1:18" x14ac:dyDescent="0.25">
      <c r="B9" s="8" t="s">
        <v>168</v>
      </c>
      <c r="C9" s="83">
        <f>($R9*Deliveries!C9)/1000000</f>
        <v>0</v>
      </c>
      <c r="D9" s="83">
        <f>($R9*Deliveries!D9)/1000000</f>
        <v>0</v>
      </c>
      <c r="E9" s="83">
        <f>($R9*Deliveries!E9)/1000000</f>
        <v>0</v>
      </c>
      <c r="F9" s="83">
        <f>($R9*Deliveries!F9)/1000000</f>
        <v>0</v>
      </c>
      <c r="G9" s="83">
        <f>($R9*Deliveries!G9)/1000000</f>
        <v>0</v>
      </c>
      <c r="H9" s="84">
        <f>($R9*Deliveries!H9)*H18/1000000</f>
        <v>0</v>
      </c>
      <c r="I9" s="84">
        <f>($R9*Deliveries!I9)*I18/1000000</f>
        <v>14.6</v>
      </c>
      <c r="J9" s="84">
        <f>($R9*Deliveries!J9)*J18/1000000</f>
        <v>1208.8452380952383</v>
      </c>
      <c r="K9" s="84">
        <f>($R9*Deliveries!K9)*K18/1000000</f>
        <v>2489.73866213152</v>
      </c>
      <c r="L9" s="84">
        <f>($R9*Deliveries!L9)*L18/1000000</f>
        <v>3983.5818594104317</v>
      </c>
      <c r="M9" s="84">
        <f>($R9*Deliveries!M9)*M18/1000000</f>
        <v>4381.9400453514754</v>
      </c>
      <c r="N9" s="84">
        <f>($R9*Deliveries!N9)*N18/1000000</f>
        <v>4820.134049886623</v>
      </c>
      <c r="O9" s="84">
        <f>($R9*Deliveries!O9)*O18/1000000</f>
        <v>5205.7447738775536</v>
      </c>
      <c r="P9" s="84">
        <f>($R9*Deliveries!P9)*P18/1000000</f>
        <v>5622.2043557877587</v>
      </c>
      <c r="Q9" s="84">
        <f>($R9*Deliveries!Q9)*Q18/1000000</f>
        <v>5847.0925300192694</v>
      </c>
      <c r="R9" s="82">
        <f>AVERAGE('Average Prices'!C15:D15)</f>
        <v>58400</v>
      </c>
    </row>
    <row r="10" spans="1:18" x14ac:dyDescent="0.25">
      <c r="B10" s="8" t="s">
        <v>165</v>
      </c>
      <c r="C10" s="83">
        <f>($R10*Deliveries!C10)/1000000</f>
        <v>0</v>
      </c>
      <c r="D10" s="83">
        <f>($R10*Deliveries!D10)/1000000</f>
        <v>0</v>
      </c>
      <c r="E10" s="83">
        <f>($R10*Deliveries!E10)/1000000</f>
        <v>0</v>
      </c>
      <c r="F10" s="83">
        <f>($R10*Deliveries!F10)/1000000</f>
        <v>0</v>
      </c>
      <c r="G10" s="83">
        <f>($R10*Deliveries!G10)/1000000</f>
        <v>0</v>
      </c>
      <c r="H10" s="84">
        <f>($R10*Deliveries!H10)*H19/1000000</f>
        <v>0</v>
      </c>
      <c r="I10" s="84">
        <f>($R10*Deliveries!I10)*I19/1000000</f>
        <v>43.75</v>
      </c>
      <c r="J10" s="84">
        <f>($R10*Deliveries!J10)*J19/1000000</f>
        <v>3622.3958333333335</v>
      </c>
      <c r="K10" s="84">
        <f>($R10*Deliveries!K10)*K19/1000000</f>
        <v>7460.6894841269859</v>
      </c>
      <c r="L10" s="84">
        <f>($R10*Deliveries!L10)*L19/1000000</f>
        <v>11937.103174603179</v>
      </c>
      <c r="M10" s="84">
        <f>($R10*Deliveries!M10)*M19/1000000</f>
        <v>13130.813492063495</v>
      </c>
      <c r="N10" s="84">
        <f>($R10*Deliveries!N10)*N19/1000000</f>
        <v>14443.894841269848</v>
      </c>
      <c r="O10" s="84">
        <f>($R10*Deliveries!O10)*O19/1000000</f>
        <v>15599.406428571436</v>
      </c>
      <c r="P10" s="84">
        <f>($R10*Deliveries!P10)*P19/1000000</f>
        <v>16847.358942857154</v>
      </c>
      <c r="Q10" s="84">
        <f>($R10*Deliveries!Q10)*Q19/1000000</f>
        <v>17521.253300571443</v>
      </c>
      <c r="R10" s="82">
        <f>AVERAGE('Average Prices'!C18:D18)</f>
        <v>175000</v>
      </c>
    </row>
    <row r="11" spans="1:18" ht="12.6" thickBot="1" x14ac:dyDescent="0.3">
      <c r="B11" s="108" t="s">
        <v>68</v>
      </c>
      <c r="C11" s="114">
        <f>SUM(C5:C10)</f>
        <v>3740.973</v>
      </c>
      <c r="D11" s="114">
        <f t="shared" ref="D11:L11" si="0">SUM(D5:D10)</f>
        <v>6350.7659999999996</v>
      </c>
      <c r="E11" s="114">
        <f t="shared" si="0"/>
        <v>9641.3000000000011</v>
      </c>
      <c r="F11" s="114">
        <f>'P&amp;L Input'!F4/1000</f>
        <v>18514.983</v>
      </c>
      <c r="G11" s="114">
        <f>'P&amp;L Input'!G4/1000</f>
        <v>20821</v>
      </c>
      <c r="H11" s="114">
        <f t="shared" si="0"/>
        <v>33219.169714333329</v>
      </c>
      <c r="I11" s="114">
        <f t="shared" si="0"/>
        <v>44967.682560506662</v>
      </c>
      <c r="J11" s="114">
        <f t="shared" si="0"/>
        <v>62453.77687371552</v>
      </c>
      <c r="K11" s="114">
        <f t="shared" si="0"/>
        <v>81523.291482834262</v>
      </c>
      <c r="L11" s="114">
        <f t="shared" si="0"/>
        <v>93584.048102425513</v>
      </c>
      <c r="M11" s="114">
        <f>SUM(M5:M10)</f>
        <v>100240.63103256337</v>
      </c>
      <c r="N11" s="114">
        <f>SUM(N5:N10)</f>
        <v>106744.2984157108</v>
      </c>
      <c r="O11" s="114">
        <f>SUM(O5:O10)</f>
        <v>113335.6485919535</v>
      </c>
      <c r="P11" s="114">
        <f>SUM(P5:P10)</f>
        <v>118718.9223837296</v>
      </c>
      <c r="Q11" s="114">
        <f>SUM(Q5:Q10)</f>
        <v>123467.67927907882</v>
      </c>
      <c r="R11" s="90"/>
    </row>
    <row r="12" spans="1:18" ht="3" customHeight="1" x14ac:dyDescent="0.25"/>
    <row r="13" spans="1:18" x14ac:dyDescent="0.25">
      <c r="B13" s="85" t="s">
        <v>74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35"/>
    </row>
    <row r="14" spans="1:18" x14ac:dyDescent="0.25">
      <c r="B14" s="86" t="s">
        <v>166</v>
      </c>
      <c r="C14" s="89"/>
      <c r="D14" s="89"/>
      <c r="E14" s="89"/>
      <c r="F14" s="89"/>
      <c r="G14" s="86"/>
      <c r="H14" s="88">
        <f>CHOOSE(Drivers!$C$3,'Revenue automotive'!H22,'Revenue automotive'!H30,'Revenue automotive'!H38)</f>
        <v>1</v>
      </c>
      <c r="I14" s="88">
        <f>CHOOSE(Drivers!$C$3,'Revenue automotive'!I22,'Revenue automotive'!I30,'Revenue automotive'!I38)</f>
        <v>1</v>
      </c>
      <c r="J14" s="88">
        <f>CHOOSE(Drivers!$C$3,'Revenue automotive'!J22,'Revenue automotive'!J30,'Revenue automotive'!J38)</f>
        <v>1</v>
      </c>
      <c r="K14" s="88">
        <f>CHOOSE(Drivers!$C$3,'Revenue automotive'!K22,'Revenue automotive'!K30,'Revenue automotive'!K38)</f>
        <v>1</v>
      </c>
      <c r="L14" s="88">
        <f>CHOOSE(Drivers!$C$3,'Revenue automotive'!L22,'Revenue automotive'!L30,'Revenue automotive'!L38)</f>
        <v>1</v>
      </c>
      <c r="M14" s="88">
        <f>CHOOSE(Drivers!$C$3,'Revenue automotive'!M22,'Revenue automotive'!M30,'Revenue automotive'!M38)</f>
        <v>1</v>
      </c>
      <c r="N14" s="88">
        <f>CHOOSE(Drivers!$C$3,'Revenue automotive'!N22,'Revenue automotive'!N30,'Revenue automotive'!N38)</f>
        <v>1</v>
      </c>
      <c r="O14" s="88">
        <f>CHOOSE(Drivers!$C$3,'Revenue automotive'!O22,'Revenue automotive'!O30,'Revenue automotive'!O38)</f>
        <v>1</v>
      </c>
      <c r="P14" s="88">
        <f>CHOOSE(Drivers!$C$3,'Revenue automotive'!P22,'Revenue automotive'!P30,'Revenue automotive'!P38)</f>
        <v>1</v>
      </c>
      <c r="Q14" s="88">
        <f>CHOOSE(Drivers!$C$3,'Revenue automotive'!Q22,'Revenue automotive'!Q30,'Revenue automotive'!Q38)</f>
        <v>1</v>
      </c>
      <c r="R14" s="35"/>
    </row>
    <row r="15" spans="1:18" x14ac:dyDescent="0.25">
      <c r="B15" s="86" t="s">
        <v>172</v>
      </c>
      <c r="C15" s="89"/>
      <c r="D15" s="77"/>
      <c r="E15" s="77"/>
      <c r="F15" s="77"/>
      <c r="G15" s="86"/>
      <c r="H15" s="88">
        <f>CHOOSE(Drivers!$C$3,'Revenue automotive'!H23,'Revenue automotive'!H31,'Revenue automotive'!H39)</f>
        <v>1</v>
      </c>
      <c r="I15" s="88">
        <f>CHOOSE(Drivers!$C$3,'Revenue automotive'!I23,'Revenue automotive'!I31,'Revenue automotive'!I39)</f>
        <v>1</v>
      </c>
      <c r="J15" s="88">
        <f>CHOOSE(Drivers!$C$3,'Revenue automotive'!J23,'Revenue automotive'!J31,'Revenue automotive'!J39)</f>
        <v>1</v>
      </c>
      <c r="K15" s="88">
        <f>CHOOSE(Drivers!$C$3,'Revenue automotive'!K23,'Revenue automotive'!K31,'Revenue automotive'!K39)</f>
        <v>1</v>
      </c>
      <c r="L15" s="88">
        <f>CHOOSE(Drivers!$C$3,'Revenue automotive'!L23,'Revenue automotive'!L31,'Revenue automotive'!L39)</f>
        <v>1</v>
      </c>
      <c r="M15" s="88">
        <f>CHOOSE(Drivers!$C$3,'Revenue automotive'!M23,'Revenue automotive'!M31,'Revenue automotive'!M39)</f>
        <v>1</v>
      </c>
      <c r="N15" s="88">
        <f>CHOOSE(Drivers!$C$3,'Revenue automotive'!N23,'Revenue automotive'!N31,'Revenue automotive'!N39)</f>
        <v>1</v>
      </c>
      <c r="O15" s="88">
        <f>CHOOSE(Drivers!$C$3,'Revenue automotive'!O23,'Revenue automotive'!O31,'Revenue automotive'!O39)</f>
        <v>1</v>
      </c>
      <c r="P15" s="88">
        <f>CHOOSE(Drivers!$C$3,'Revenue automotive'!P23,'Revenue automotive'!P31,'Revenue automotive'!P39)</f>
        <v>1</v>
      </c>
      <c r="Q15" s="88">
        <f>CHOOSE(Drivers!$C$3,'Revenue automotive'!Q23,'Revenue automotive'!Q31,'Revenue automotive'!Q39)</f>
        <v>1</v>
      </c>
      <c r="R15" s="35"/>
    </row>
    <row r="16" spans="1:18" x14ac:dyDescent="0.25">
      <c r="B16" s="86" t="s">
        <v>167</v>
      </c>
      <c r="C16" s="89"/>
      <c r="D16" s="89"/>
      <c r="E16" s="89"/>
      <c r="F16" s="89"/>
      <c r="G16" s="86"/>
      <c r="H16" s="88">
        <f>CHOOSE(Drivers!$C$3,'Revenue automotive'!H24,'Revenue automotive'!H32,'Revenue automotive'!H40)</f>
        <v>1</v>
      </c>
      <c r="I16" s="88">
        <f>CHOOSE(Drivers!$C$3,'Revenue automotive'!I24,'Revenue automotive'!I32,'Revenue automotive'!I40)</f>
        <v>1</v>
      </c>
      <c r="J16" s="88">
        <f>CHOOSE(Drivers!$C$3,'Revenue automotive'!J24,'Revenue automotive'!J32,'Revenue automotive'!J40)</f>
        <v>1</v>
      </c>
      <c r="K16" s="88">
        <f>CHOOSE(Drivers!$C$3,'Revenue automotive'!K24,'Revenue automotive'!K32,'Revenue automotive'!K40)</f>
        <v>1</v>
      </c>
      <c r="L16" s="88">
        <f>CHOOSE(Drivers!$C$3,'Revenue automotive'!L24,'Revenue automotive'!L32,'Revenue automotive'!L40)</f>
        <v>1</v>
      </c>
      <c r="M16" s="88">
        <f>CHOOSE(Drivers!$C$3,'Revenue automotive'!M24,'Revenue automotive'!M32,'Revenue automotive'!M40)</f>
        <v>1</v>
      </c>
      <c r="N16" s="88">
        <f>CHOOSE(Drivers!$C$3,'Revenue automotive'!N24,'Revenue automotive'!N32,'Revenue automotive'!N40)</f>
        <v>1</v>
      </c>
      <c r="O16" s="88">
        <f>CHOOSE(Drivers!$C$3,'Revenue automotive'!O24,'Revenue automotive'!O32,'Revenue automotive'!O40)</f>
        <v>1</v>
      </c>
      <c r="P16" s="88">
        <f>CHOOSE(Drivers!$C$3,'Revenue automotive'!P24,'Revenue automotive'!P32,'Revenue automotive'!P40)</f>
        <v>1</v>
      </c>
      <c r="Q16" s="88">
        <f>CHOOSE(Drivers!$C$3,'Revenue automotive'!Q24,'Revenue automotive'!Q32,'Revenue automotive'!Q40)</f>
        <v>1</v>
      </c>
      <c r="R16" s="35"/>
    </row>
    <row r="17" spans="2:18" x14ac:dyDescent="0.25">
      <c r="B17" s="86" t="s">
        <v>169</v>
      </c>
      <c r="C17" s="89"/>
      <c r="D17" s="89"/>
      <c r="E17" s="89"/>
      <c r="F17" s="89"/>
      <c r="G17" s="86"/>
      <c r="H17" s="88">
        <f>CHOOSE(Drivers!$C$3,'Revenue automotive'!H25,'Revenue automotive'!H33,'Revenue automotive'!H41)</f>
        <v>1</v>
      </c>
      <c r="I17" s="88">
        <f>CHOOSE(Drivers!$C$3,'Revenue automotive'!I25,'Revenue automotive'!I33,'Revenue automotive'!I41)</f>
        <v>1</v>
      </c>
      <c r="J17" s="88">
        <f>CHOOSE(Drivers!$C$3,'Revenue automotive'!J25,'Revenue automotive'!J33,'Revenue automotive'!J41)</f>
        <v>1</v>
      </c>
      <c r="K17" s="88">
        <f>CHOOSE(Drivers!$C$3,'Revenue automotive'!K25,'Revenue automotive'!K33,'Revenue automotive'!K41)</f>
        <v>1</v>
      </c>
      <c r="L17" s="88">
        <f>CHOOSE(Drivers!$C$3,'Revenue automotive'!L25,'Revenue automotive'!L33,'Revenue automotive'!L41)</f>
        <v>1</v>
      </c>
      <c r="M17" s="88">
        <f>CHOOSE(Drivers!$C$3,'Revenue automotive'!M25,'Revenue automotive'!M33,'Revenue automotive'!M41)</f>
        <v>1</v>
      </c>
      <c r="N17" s="88">
        <f>CHOOSE(Drivers!$C$3,'Revenue automotive'!N25,'Revenue automotive'!N33,'Revenue automotive'!N41)</f>
        <v>1</v>
      </c>
      <c r="O17" s="88">
        <f>CHOOSE(Drivers!$C$3,'Revenue automotive'!O25,'Revenue automotive'!O33,'Revenue automotive'!O41)</f>
        <v>1</v>
      </c>
      <c r="P17" s="88">
        <f>CHOOSE(Drivers!$C$3,'Revenue automotive'!P25,'Revenue automotive'!P33,'Revenue automotive'!P41)</f>
        <v>1</v>
      </c>
      <c r="Q17" s="88">
        <f>CHOOSE(Drivers!$C$3,'Revenue automotive'!Q25,'Revenue automotive'!Q33,'Revenue automotive'!Q41)</f>
        <v>1</v>
      </c>
      <c r="R17" s="161"/>
    </row>
    <row r="18" spans="2:18" x14ac:dyDescent="0.25">
      <c r="B18" s="86" t="s">
        <v>168</v>
      </c>
      <c r="C18" s="89"/>
      <c r="D18" s="89"/>
      <c r="E18" s="89"/>
      <c r="F18" s="89"/>
      <c r="G18" s="86"/>
      <c r="H18" s="88">
        <f>CHOOSE(Drivers!$C$3,'Revenue automotive'!H26,'Revenue automotive'!H34,'Revenue automotive'!H42)</f>
        <v>1</v>
      </c>
      <c r="I18" s="88">
        <f>CHOOSE(Drivers!$C$3,'Revenue automotive'!I26,'Revenue automotive'!I34,'Revenue automotive'!I42)</f>
        <v>1</v>
      </c>
      <c r="J18" s="88">
        <f>CHOOSE(Drivers!$C$3,'Revenue automotive'!J26,'Revenue automotive'!J34,'Revenue automotive'!J42)</f>
        <v>1</v>
      </c>
      <c r="K18" s="88">
        <f>CHOOSE(Drivers!$C$3,'Revenue automotive'!K26,'Revenue automotive'!K34,'Revenue automotive'!K42)</f>
        <v>1</v>
      </c>
      <c r="L18" s="88">
        <f>CHOOSE(Drivers!$C$3,'Revenue automotive'!L26,'Revenue automotive'!L34,'Revenue automotive'!L42)</f>
        <v>1</v>
      </c>
      <c r="M18" s="88">
        <f>CHOOSE(Drivers!$C$3,'Revenue automotive'!M26,'Revenue automotive'!M34,'Revenue automotive'!M42)</f>
        <v>1</v>
      </c>
      <c r="N18" s="88">
        <f>CHOOSE(Drivers!$C$3,'Revenue automotive'!N26,'Revenue automotive'!N34,'Revenue automotive'!N42)</f>
        <v>1</v>
      </c>
      <c r="O18" s="88">
        <f>CHOOSE(Drivers!$C$3,'Revenue automotive'!O26,'Revenue automotive'!O34,'Revenue automotive'!O42)</f>
        <v>1</v>
      </c>
      <c r="P18" s="88">
        <f>CHOOSE(Drivers!$C$3,'Revenue automotive'!P26,'Revenue automotive'!P34,'Revenue automotive'!P42)</f>
        <v>1</v>
      </c>
      <c r="Q18" s="88">
        <f>CHOOSE(Drivers!$C$3,'Revenue automotive'!Q26,'Revenue automotive'!Q34,'Revenue automotive'!Q42)</f>
        <v>1</v>
      </c>
      <c r="R18" s="35"/>
    </row>
    <row r="19" spans="2:18" x14ac:dyDescent="0.25">
      <c r="B19" s="86" t="s">
        <v>165</v>
      </c>
      <c r="C19" s="89"/>
      <c r="D19" s="89"/>
      <c r="E19" s="89"/>
      <c r="F19" s="89"/>
      <c r="G19" s="86"/>
      <c r="H19" s="88">
        <f>CHOOSE(Drivers!$C$3,'Revenue automotive'!H27,'Revenue automotive'!H35,'Revenue automotive'!H43)</f>
        <v>1</v>
      </c>
      <c r="I19" s="88">
        <f>CHOOSE(Drivers!$C$3,'Revenue automotive'!I27,'Revenue automotive'!I35,'Revenue automotive'!I43)</f>
        <v>1</v>
      </c>
      <c r="J19" s="88">
        <f>CHOOSE(Drivers!$C$3,'Revenue automotive'!J27,'Revenue automotive'!J35,'Revenue automotive'!J43)</f>
        <v>1</v>
      </c>
      <c r="K19" s="88">
        <f>CHOOSE(Drivers!$C$3,'Revenue automotive'!K27,'Revenue automotive'!K35,'Revenue automotive'!K43)</f>
        <v>1</v>
      </c>
      <c r="L19" s="88">
        <f>CHOOSE(Drivers!$C$3,'Revenue automotive'!L27,'Revenue automotive'!L35,'Revenue automotive'!L43)</f>
        <v>1</v>
      </c>
      <c r="M19" s="88">
        <f>CHOOSE(Drivers!$C$3,'Revenue automotive'!M27,'Revenue automotive'!M35,'Revenue automotive'!M43)</f>
        <v>1</v>
      </c>
      <c r="N19" s="88">
        <f>CHOOSE(Drivers!$C$3,'Revenue automotive'!N27,'Revenue automotive'!N35,'Revenue automotive'!N43)</f>
        <v>1</v>
      </c>
      <c r="O19" s="88">
        <f>CHOOSE(Drivers!$C$3,'Revenue automotive'!O27,'Revenue automotive'!O35,'Revenue automotive'!O43)</f>
        <v>1</v>
      </c>
      <c r="P19" s="88">
        <f>CHOOSE(Drivers!$C$3,'Revenue automotive'!P27,'Revenue automotive'!P35,'Revenue automotive'!P43)</f>
        <v>1</v>
      </c>
      <c r="Q19" s="88">
        <f>CHOOSE(Drivers!$C$3,'Revenue automotive'!Q27,'Revenue automotive'!Q35,'Revenue automotive'!Q43)</f>
        <v>1</v>
      </c>
      <c r="R19" s="35"/>
    </row>
    <row r="20" spans="2:18" x14ac:dyDescent="0.25">
      <c r="B20" s="86"/>
      <c r="C20" s="89"/>
      <c r="D20" s="89"/>
      <c r="E20" s="89"/>
      <c r="F20" s="89"/>
      <c r="G20" s="86"/>
      <c r="H20" s="89"/>
      <c r="I20" s="87"/>
      <c r="J20" s="87"/>
      <c r="K20" s="87"/>
      <c r="L20" s="87"/>
      <c r="M20" s="87"/>
      <c r="N20" s="87"/>
      <c r="O20" s="87"/>
      <c r="P20" s="87"/>
      <c r="Q20" s="87"/>
      <c r="R20" s="35"/>
    </row>
    <row r="21" spans="2:18" x14ac:dyDescent="0.25">
      <c r="B21" s="85" t="s">
        <v>70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35"/>
    </row>
    <row r="22" spans="2:18" x14ac:dyDescent="0.25">
      <c r="B22" s="86" t="s">
        <v>166</v>
      </c>
      <c r="C22" s="89"/>
      <c r="D22" s="89"/>
      <c r="E22" s="89"/>
      <c r="F22" s="89"/>
      <c r="G22" s="86"/>
      <c r="H22" s="88">
        <v>1.02</v>
      </c>
      <c r="I22" s="88">
        <v>1.02</v>
      </c>
      <c r="J22" s="88">
        <v>1.02</v>
      </c>
      <c r="K22" s="88">
        <v>1.02</v>
      </c>
      <c r="L22" s="88">
        <v>1.02</v>
      </c>
      <c r="M22" s="88">
        <v>1.02</v>
      </c>
      <c r="N22" s="88">
        <v>1.02</v>
      </c>
      <c r="O22" s="88">
        <v>1.02</v>
      </c>
      <c r="P22" s="88">
        <v>1.02</v>
      </c>
      <c r="Q22" s="88">
        <v>1.02</v>
      </c>
      <c r="R22" s="35"/>
    </row>
    <row r="23" spans="2:18" x14ac:dyDescent="0.25">
      <c r="B23" s="86" t="s">
        <v>172</v>
      </c>
      <c r="C23" s="89"/>
      <c r="D23" s="77"/>
      <c r="E23" s="77"/>
      <c r="F23" s="77"/>
      <c r="G23" s="86"/>
      <c r="H23" s="88">
        <v>1.02</v>
      </c>
      <c r="I23" s="88">
        <v>1.02</v>
      </c>
      <c r="J23" s="88">
        <v>1.02</v>
      </c>
      <c r="K23" s="88">
        <v>1.02</v>
      </c>
      <c r="L23" s="88">
        <v>1.02</v>
      </c>
      <c r="M23" s="88">
        <v>1.02</v>
      </c>
      <c r="N23" s="88">
        <v>1.02</v>
      </c>
      <c r="O23" s="88">
        <v>1.02</v>
      </c>
      <c r="P23" s="88">
        <v>1.02</v>
      </c>
      <c r="Q23" s="88">
        <v>1.02</v>
      </c>
      <c r="R23" s="35"/>
    </row>
    <row r="24" spans="2:18" x14ac:dyDescent="0.25">
      <c r="B24" s="86" t="s">
        <v>167</v>
      </c>
      <c r="C24" s="89"/>
      <c r="D24" s="89"/>
      <c r="E24" s="89"/>
      <c r="F24" s="89"/>
      <c r="G24" s="86"/>
      <c r="H24" s="88">
        <v>1.02</v>
      </c>
      <c r="I24" s="88">
        <v>1.02</v>
      </c>
      <c r="J24" s="88">
        <v>1.02</v>
      </c>
      <c r="K24" s="88">
        <v>1.02</v>
      </c>
      <c r="L24" s="88">
        <v>1.02</v>
      </c>
      <c r="M24" s="88">
        <v>1.02</v>
      </c>
      <c r="N24" s="88">
        <v>1.02</v>
      </c>
      <c r="O24" s="88">
        <v>1.02</v>
      </c>
      <c r="P24" s="88">
        <v>1.02</v>
      </c>
      <c r="Q24" s="88">
        <v>1.02</v>
      </c>
      <c r="R24" s="35"/>
    </row>
    <row r="25" spans="2:18" x14ac:dyDescent="0.25">
      <c r="B25" s="86" t="s">
        <v>169</v>
      </c>
      <c r="C25" s="89"/>
      <c r="D25" s="89"/>
      <c r="E25" s="89"/>
      <c r="F25" s="89"/>
      <c r="G25" s="86"/>
      <c r="H25" s="88">
        <v>1.02</v>
      </c>
      <c r="I25" s="88">
        <v>1.02</v>
      </c>
      <c r="J25" s="88">
        <v>1.02</v>
      </c>
      <c r="K25" s="88">
        <v>1.02</v>
      </c>
      <c r="L25" s="88">
        <v>1.02</v>
      </c>
      <c r="M25" s="88">
        <v>1.02</v>
      </c>
      <c r="N25" s="88">
        <v>1.02</v>
      </c>
      <c r="O25" s="88">
        <v>1.02</v>
      </c>
      <c r="P25" s="88">
        <v>1.02</v>
      </c>
      <c r="Q25" s="88">
        <v>1.02</v>
      </c>
      <c r="R25" s="35"/>
    </row>
    <row r="26" spans="2:18" x14ac:dyDescent="0.25">
      <c r="B26" s="86" t="s">
        <v>168</v>
      </c>
      <c r="C26" s="89"/>
      <c r="D26" s="89"/>
      <c r="E26" s="89"/>
      <c r="F26" s="89"/>
      <c r="G26" s="86"/>
      <c r="H26" s="88">
        <v>1.02</v>
      </c>
      <c r="I26" s="88">
        <v>1.02</v>
      </c>
      <c r="J26" s="88">
        <v>1.02</v>
      </c>
      <c r="K26" s="88">
        <v>1.02</v>
      </c>
      <c r="L26" s="88">
        <v>1.02</v>
      </c>
      <c r="M26" s="88">
        <v>1.02</v>
      </c>
      <c r="N26" s="88">
        <v>1.02</v>
      </c>
      <c r="O26" s="88">
        <v>1.02</v>
      </c>
      <c r="P26" s="88">
        <v>1.02</v>
      </c>
      <c r="Q26" s="88">
        <v>1.02</v>
      </c>
      <c r="R26" s="35"/>
    </row>
    <row r="27" spans="2:18" x14ac:dyDescent="0.25">
      <c r="B27" s="86" t="s">
        <v>165</v>
      </c>
      <c r="C27" s="89"/>
      <c r="D27" s="89"/>
      <c r="E27" s="89"/>
      <c r="F27" s="89"/>
      <c r="G27" s="86"/>
      <c r="H27" s="88">
        <v>1.02</v>
      </c>
      <c r="I27" s="88">
        <v>1.02</v>
      </c>
      <c r="J27" s="88">
        <v>1.02</v>
      </c>
      <c r="K27" s="88">
        <v>1.02</v>
      </c>
      <c r="L27" s="88">
        <v>1.02</v>
      </c>
      <c r="M27" s="88">
        <v>1.02</v>
      </c>
      <c r="N27" s="88">
        <v>1.02</v>
      </c>
      <c r="O27" s="88">
        <v>1.02</v>
      </c>
      <c r="P27" s="88">
        <v>1.02</v>
      </c>
      <c r="Q27" s="88">
        <v>1.02</v>
      </c>
      <c r="R27" s="35"/>
    </row>
    <row r="28" spans="2:18" x14ac:dyDescent="0.25">
      <c r="B28" s="86"/>
      <c r="C28" s="89"/>
      <c r="D28" s="89"/>
      <c r="E28" s="89"/>
      <c r="F28" s="89"/>
      <c r="G28" s="86"/>
      <c r="H28" s="89"/>
      <c r="I28" s="87"/>
      <c r="J28" s="87"/>
      <c r="K28" s="87"/>
      <c r="L28" s="87"/>
      <c r="M28" s="87"/>
      <c r="N28" s="87"/>
      <c r="O28" s="87"/>
      <c r="P28" s="87"/>
      <c r="Q28" s="87"/>
      <c r="R28" s="35"/>
    </row>
    <row r="29" spans="2:18" x14ac:dyDescent="0.25">
      <c r="B29" s="85" t="s">
        <v>71</v>
      </c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35"/>
    </row>
    <row r="30" spans="2:18" x14ac:dyDescent="0.25">
      <c r="B30" s="86" t="s">
        <v>166</v>
      </c>
      <c r="C30" s="89"/>
      <c r="D30" s="89"/>
      <c r="E30" s="89"/>
      <c r="F30" s="89"/>
      <c r="G30" s="86"/>
      <c r="H30" s="88">
        <v>1</v>
      </c>
      <c r="I30" s="88">
        <v>1</v>
      </c>
      <c r="J30" s="88">
        <v>1</v>
      </c>
      <c r="K30" s="88">
        <v>1</v>
      </c>
      <c r="L30" s="88">
        <v>1</v>
      </c>
      <c r="M30" s="88">
        <v>1</v>
      </c>
      <c r="N30" s="88">
        <v>1</v>
      </c>
      <c r="O30" s="88">
        <v>1</v>
      </c>
      <c r="P30" s="88">
        <v>1</v>
      </c>
      <c r="Q30" s="88">
        <v>1</v>
      </c>
      <c r="R30" s="35"/>
    </row>
    <row r="31" spans="2:18" x14ac:dyDescent="0.25">
      <c r="B31" s="86" t="s">
        <v>172</v>
      </c>
      <c r="C31" s="89"/>
      <c r="D31" s="77"/>
      <c r="E31" s="77"/>
      <c r="F31" s="77"/>
      <c r="G31" s="86"/>
      <c r="H31" s="88">
        <v>1</v>
      </c>
      <c r="I31" s="88">
        <v>1</v>
      </c>
      <c r="J31" s="88">
        <v>1</v>
      </c>
      <c r="K31" s="88">
        <v>1</v>
      </c>
      <c r="L31" s="88">
        <v>1</v>
      </c>
      <c r="M31" s="88">
        <v>1</v>
      </c>
      <c r="N31" s="88">
        <v>1</v>
      </c>
      <c r="O31" s="88">
        <v>1</v>
      </c>
      <c r="P31" s="88">
        <v>1</v>
      </c>
      <c r="Q31" s="88">
        <v>1</v>
      </c>
      <c r="R31" s="35"/>
    </row>
    <row r="32" spans="2:18" x14ac:dyDescent="0.25">
      <c r="B32" s="86" t="s">
        <v>167</v>
      </c>
      <c r="C32" s="89"/>
      <c r="D32" s="89"/>
      <c r="E32" s="89"/>
      <c r="F32" s="89"/>
      <c r="G32" s="86"/>
      <c r="H32" s="88">
        <v>1</v>
      </c>
      <c r="I32" s="88">
        <v>1</v>
      </c>
      <c r="J32" s="88">
        <v>1</v>
      </c>
      <c r="K32" s="88">
        <v>1</v>
      </c>
      <c r="L32" s="88">
        <v>1</v>
      </c>
      <c r="M32" s="88">
        <v>1</v>
      </c>
      <c r="N32" s="88">
        <v>1</v>
      </c>
      <c r="O32" s="88">
        <v>1</v>
      </c>
      <c r="P32" s="88">
        <v>1</v>
      </c>
      <c r="Q32" s="88">
        <v>1</v>
      </c>
      <c r="R32" s="35"/>
    </row>
    <row r="33" spans="2:18" x14ac:dyDescent="0.25">
      <c r="B33" s="86" t="s">
        <v>169</v>
      </c>
      <c r="C33" s="89"/>
      <c r="D33" s="89"/>
      <c r="E33" s="89"/>
      <c r="F33" s="89"/>
      <c r="G33" s="86"/>
      <c r="H33" s="88">
        <v>1</v>
      </c>
      <c r="I33" s="88">
        <v>1</v>
      </c>
      <c r="J33" s="88">
        <v>1</v>
      </c>
      <c r="K33" s="88">
        <v>1</v>
      </c>
      <c r="L33" s="88">
        <v>1</v>
      </c>
      <c r="M33" s="88">
        <v>1</v>
      </c>
      <c r="N33" s="88">
        <v>1</v>
      </c>
      <c r="O33" s="88">
        <v>1</v>
      </c>
      <c r="P33" s="88">
        <v>1</v>
      </c>
      <c r="Q33" s="88">
        <v>1</v>
      </c>
      <c r="R33" s="35"/>
    </row>
    <row r="34" spans="2:18" x14ac:dyDescent="0.25">
      <c r="B34" s="86" t="s">
        <v>168</v>
      </c>
      <c r="C34" s="89"/>
      <c r="D34" s="89"/>
      <c r="E34" s="89"/>
      <c r="F34" s="89"/>
      <c r="G34" s="86"/>
      <c r="H34" s="88">
        <v>1</v>
      </c>
      <c r="I34" s="88">
        <v>1</v>
      </c>
      <c r="J34" s="88">
        <v>1</v>
      </c>
      <c r="K34" s="88">
        <v>1</v>
      </c>
      <c r="L34" s="88">
        <v>1</v>
      </c>
      <c r="M34" s="88">
        <v>1</v>
      </c>
      <c r="N34" s="88">
        <v>1</v>
      </c>
      <c r="O34" s="88">
        <v>1</v>
      </c>
      <c r="P34" s="88">
        <v>1</v>
      </c>
      <c r="Q34" s="88">
        <v>1</v>
      </c>
      <c r="R34" s="35"/>
    </row>
    <row r="35" spans="2:18" x14ac:dyDescent="0.25">
      <c r="B35" s="86" t="s">
        <v>165</v>
      </c>
      <c r="C35" s="89"/>
      <c r="D35" s="89"/>
      <c r="E35" s="89"/>
      <c r="F35" s="89"/>
      <c r="G35" s="86"/>
      <c r="H35" s="88">
        <v>1</v>
      </c>
      <c r="I35" s="88">
        <v>1</v>
      </c>
      <c r="J35" s="88">
        <v>1</v>
      </c>
      <c r="K35" s="88">
        <v>1</v>
      </c>
      <c r="L35" s="88">
        <v>1</v>
      </c>
      <c r="M35" s="88">
        <v>1</v>
      </c>
      <c r="N35" s="88">
        <v>1</v>
      </c>
      <c r="O35" s="88">
        <v>1</v>
      </c>
      <c r="P35" s="88">
        <v>1</v>
      </c>
      <c r="Q35" s="88">
        <v>1</v>
      </c>
      <c r="R35" s="35"/>
    </row>
    <row r="36" spans="2:18" x14ac:dyDescent="0.25">
      <c r="B36" s="86"/>
      <c r="C36" s="89"/>
      <c r="D36" s="89"/>
      <c r="E36" s="89"/>
      <c r="F36" s="89"/>
      <c r="G36" s="86"/>
      <c r="H36" s="89"/>
      <c r="I36" s="87"/>
      <c r="J36" s="87"/>
      <c r="K36" s="87"/>
      <c r="L36" s="87"/>
      <c r="M36" s="87"/>
      <c r="N36" s="87"/>
      <c r="O36" s="87"/>
      <c r="P36" s="87"/>
      <c r="Q36" s="87"/>
      <c r="R36" s="35"/>
    </row>
    <row r="37" spans="2:18" x14ac:dyDescent="0.25">
      <c r="B37" s="85" t="s">
        <v>72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35"/>
    </row>
    <row r="38" spans="2:18" x14ac:dyDescent="0.25">
      <c r="B38" s="86" t="s">
        <v>166</v>
      </c>
      <c r="C38" s="89"/>
      <c r="D38" s="89"/>
      <c r="E38" s="89"/>
      <c r="F38" s="89"/>
      <c r="G38" s="86"/>
      <c r="H38" s="88">
        <v>0.98</v>
      </c>
      <c r="I38" s="88">
        <v>0.98</v>
      </c>
      <c r="J38" s="88">
        <v>0.98</v>
      </c>
      <c r="K38" s="88">
        <v>0.98</v>
      </c>
      <c r="L38" s="88">
        <v>0.98</v>
      </c>
      <c r="M38" s="88">
        <v>0.98</v>
      </c>
      <c r="N38" s="88">
        <v>0.98</v>
      </c>
      <c r="O38" s="88">
        <v>0.98</v>
      </c>
      <c r="P38" s="88">
        <v>0.98</v>
      </c>
      <c r="Q38" s="88">
        <v>0.98</v>
      </c>
      <c r="R38" s="35"/>
    </row>
    <row r="39" spans="2:18" x14ac:dyDescent="0.25">
      <c r="B39" s="86" t="s">
        <v>172</v>
      </c>
      <c r="C39" s="89"/>
      <c r="D39" s="77"/>
      <c r="E39" s="77"/>
      <c r="F39" s="77"/>
      <c r="G39" s="86"/>
      <c r="H39" s="88">
        <v>0.98</v>
      </c>
      <c r="I39" s="88">
        <v>0.98</v>
      </c>
      <c r="J39" s="88">
        <v>0.98</v>
      </c>
      <c r="K39" s="88">
        <v>0.98</v>
      </c>
      <c r="L39" s="88">
        <v>0.98</v>
      </c>
      <c r="M39" s="88">
        <v>0.98</v>
      </c>
      <c r="N39" s="88">
        <v>0.98</v>
      </c>
      <c r="O39" s="88">
        <v>0.98</v>
      </c>
      <c r="P39" s="88">
        <v>0.98</v>
      </c>
      <c r="Q39" s="88">
        <v>0.98</v>
      </c>
      <c r="R39" s="35"/>
    </row>
    <row r="40" spans="2:18" x14ac:dyDescent="0.25">
      <c r="B40" s="86" t="s">
        <v>167</v>
      </c>
      <c r="C40" s="89"/>
      <c r="D40" s="89"/>
      <c r="E40" s="89"/>
      <c r="F40" s="89"/>
      <c r="G40" s="86"/>
      <c r="H40" s="88">
        <v>0.98</v>
      </c>
      <c r="I40" s="88">
        <v>0.98</v>
      </c>
      <c r="J40" s="88">
        <v>0.98</v>
      </c>
      <c r="K40" s="88">
        <v>0.98</v>
      </c>
      <c r="L40" s="88">
        <v>0.98</v>
      </c>
      <c r="M40" s="88">
        <v>0.98</v>
      </c>
      <c r="N40" s="88">
        <v>0.98</v>
      </c>
      <c r="O40" s="88">
        <v>0.98</v>
      </c>
      <c r="P40" s="88">
        <v>0.98</v>
      </c>
      <c r="Q40" s="88">
        <v>0.98</v>
      </c>
      <c r="R40" s="35"/>
    </row>
    <row r="41" spans="2:18" x14ac:dyDescent="0.25">
      <c r="B41" s="86" t="s">
        <v>169</v>
      </c>
      <c r="C41" s="89"/>
      <c r="D41" s="89"/>
      <c r="E41" s="89"/>
      <c r="F41" s="89"/>
      <c r="G41" s="86"/>
      <c r="H41" s="88">
        <v>0.98</v>
      </c>
      <c r="I41" s="88">
        <v>0.98</v>
      </c>
      <c r="J41" s="88">
        <v>0.98</v>
      </c>
      <c r="K41" s="88">
        <v>0.98</v>
      </c>
      <c r="L41" s="88">
        <v>0.98</v>
      </c>
      <c r="M41" s="88">
        <v>0.98</v>
      </c>
      <c r="N41" s="88">
        <v>0.98</v>
      </c>
      <c r="O41" s="88">
        <v>0.98</v>
      </c>
      <c r="P41" s="88">
        <v>0.98</v>
      </c>
      <c r="Q41" s="88">
        <v>0.98</v>
      </c>
      <c r="R41" s="35"/>
    </row>
    <row r="42" spans="2:18" x14ac:dyDescent="0.25">
      <c r="B42" s="86" t="s">
        <v>168</v>
      </c>
      <c r="C42" s="89"/>
      <c r="D42" s="89"/>
      <c r="E42" s="89"/>
      <c r="F42" s="89"/>
      <c r="G42" s="86"/>
      <c r="H42" s="88">
        <v>0.98</v>
      </c>
      <c r="I42" s="88">
        <v>0.98</v>
      </c>
      <c r="J42" s="88">
        <v>0.98</v>
      </c>
      <c r="K42" s="88">
        <v>0.98</v>
      </c>
      <c r="L42" s="88">
        <v>0.98</v>
      </c>
      <c r="M42" s="88">
        <v>0.98</v>
      </c>
      <c r="N42" s="88">
        <v>0.98</v>
      </c>
      <c r="O42" s="88">
        <v>0.98</v>
      </c>
      <c r="P42" s="88">
        <v>0.98</v>
      </c>
      <c r="Q42" s="88">
        <v>0.98</v>
      </c>
      <c r="R42" s="35"/>
    </row>
    <row r="43" spans="2:18" x14ac:dyDescent="0.25">
      <c r="B43" s="86" t="s">
        <v>165</v>
      </c>
      <c r="C43" s="89"/>
      <c r="D43" s="89"/>
      <c r="E43" s="89"/>
      <c r="F43" s="89"/>
      <c r="G43" s="86"/>
      <c r="H43" s="88">
        <v>0.98</v>
      </c>
      <c r="I43" s="88">
        <v>0.98</v>
      </c>
      <c r="J43" s="88">
        <v>0.98</v>
      </c>
      <c r="K43" s="88">
        <v>0.98</v>
      </c>
      <c r="L43" s="88">
        <v>0.98</v>
      </c>
      <c r="M43" s="88">
        <v>0.98</v>
      </c>
      <c r="N43" s="88">
        <v>0.98</v>
      </c>
      <c r="O43" s="88">
        <v>0.98</v>
      </c>
      <c r="P43" s="88">
        <v>0.98</v>
      </c>
      <c r="Q43" s="88">
        <v>0.98</v>
      </c>
      <c r="R43" s="35"/>
    </row>
    <row r="44" spans="2:18" x14ac:dyDescent="0.25">
      <c r="B44" s="86"/>
      <c r="C44" s="89"/>
      <c r="D44" s="89"/>
      <c r="E44" s="89"/>
      <c r="F44" s="89"/>
      <c r="G44" s="86"/>
      <c r="H44" s="89"/>
      <c r="I44" s="87"/>
      <c r="J44" s="87"/>
      <c r="K44" s="87"/>
      <c r="L44" s="87"/>
      <c r="M44" s="87"/>
      <c r="N44" s="87"/>
      <c r="O44" s="87"/>
      <c r="P44" s="87"/>
      <c r="Q44" s="87"/>
      <c r="R44" s="35"/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I21"/>
  <sheetViews>
    <sheetView workbookViewId="0"/>
  </sheetViews>
  <sheetFormatPr defaultColWidth="9.109375" defaultRowHeight="11.4" x14ac:dyDescent="0.25"/>
  <cols>
    <col min="1" max="1" width="2" style="8" customWidth="1"/>
    <col min="2" max="2" width="17.6640625" style="8" customWidth="1"/>
    <col min="3" max="3" width="33.33203125" style="8" customWidth="1"/>
    <col min="4" max="5" width="9.109375" style="8"/>
    <col min="6" max="6" width="12" style="8" bestFit="1" customWidth="1"/>
    <col min="7" max="7" width="4.5546875" style="8" customWidth="1"/>
    <col min="8" max="16384" width="9.109375" style="8"/>
  </cols>
  <sheetData>
    <row r="1" spans="1:9" ht="15.6" x14ac:dyDescent="0.25">
      <c r="A1" s="1"/>
      <c r="B1" s="2" t="s">
        <v>195</v>
      </c>
    </row>
    <row r="2" spans="1:9" ht="15.6" x14ac:dyDescent="0.25">
      <c r="A2" s="1"/>
      <c r="B2" s="2"/>
    </row>
    <row r="3" spans="1:9" ht="13.2" x14ac:dyDescent="0.25">
      <c r="A3" s="1"/>
      <c r="B3" s="96" t="s">
        <v>381</v>
      </c>
    </row>
    <row r="5" spans="1:9" ht="24" x14ac:dyDescent="0.25">
      <c r="B5" s="36" t="s">
        <v>163</v>
      </c>
      <c r="C5" s="36" t="s">
        <v>187</v>
      </c>
      <c r="D5" s="62" t="s">
        <v>192</v>
      </c>
      <c r="E5" s="62" t="s">
        <v>193</v>
      </c>
      <c r="F5" s="62" t="s">
        <v>194</v>
      </c>
      <c r="G5" s="93"/>
      <c r="H5" s="62" t="s">
        <v>188</v>
      </c>
    </row>
    <row r="6" spans="1:9" x14ac:dyDescent="0.25">
      <c r="B6" s="8" t="s">
        <v>166</v>
      </c>
      <c r="C6" s="8" t="s">
        <v>196</v>
      </c>
      <c r="D6" s="17">
        <v>0.187</v>
      </c>
      <c r="E6" s="17">
        <f>(((155900-134693)/155900)+((160338-136269)/160338))/2</f>
        <v>0.14307181999290131</v>
      </c>
      <c r="F6" s="17">
        <f>(((108187-93164)/108187)+((110412-95011)/110412))/2</f>
        <v>0.13917403294178585</v>
      </c>
      <c r="G6" s="93"/>
      <c r="H6" s="206">
        <f>C16</f>
        <v>0.2234438823353104</v>
      </c>
      <c r="I6" s="8" t="s">
        <v>371</v>
      </c>
    </row>
    <row r="7" spans="1:9" x14ac:dyDescent="0.25">
      <c r="B7" s="8" t="s">
        <v>172</v>
      </c>
      <c r="C7" s="8" t="s">
        <v>197</v>
      </c>
      <c r="D7" s="98">
        <f>((13620/91682)+(13928/85846))/2</f>
        <v>0.15540049350548607</v>
      </c>
      <c r="E7" s="98">
        <f>((33067/167362)+(29165/172745))/2</f>
        <v>0.18320518912380251</v>
      </c>
      <c r="F7" s="98">
        <v>0.17199999999999999</v>
      </c>
      <c r="G7" s="93"/>
      <c r="H7" s="206">
        <f>C17</f>
        <v>0.2234438823353104</v>
      </c>
      <c r="I7" s="8" t="s">
        <v>371</v>
      </c>
    </row>
    <row r="8" spans="1:9" x14ac:dyDescent="0.25">
      <c r="B8" s="8" t="s">
        <v>167</v>
      </c>
      <c r="C8" s="8" t="s">
        <v>196</v>
      </c>
      <c r="D8" s="17">
        <v>0.187</v>
      </c>
      <c r="E8" s="17">
        <f>(((155900-134693)/155900)+((160338-136269)/160338))/2</f>
        <v>0.14307181999290131</v>
      </c>
      <c r="F8" s="17">
        <f>(((108187-93164)/108187)+((110412-95011)/110412))/2</f>
        <v>0.13917403294178585</v>
      </c>
      <c r="G8" s="93"/>
      <c r="H8" s="97">
        <f t="shared" ref="H8:H11" si="0">AVERAGE(D8:F8)</f>
        <v>0.15641528431156237</v>
      </c>
      <c r="I8" s="8" t="s">
        <v>189</v>
      </c>
    </row>
    <row r="9" spans="1:9" x14ac:dyDescent="0.25">
      <c r="B9" s="8" t="s">
        <v>169</v>
      </c>
      <c r="C9" s="8" t="s">
        <v>198</v>
      </c>
      <c r="D9" s="17">
        <f>(((24214-15670)/24214)+((25786-16328)/25786))/2</f>
        <v>0.35982095031010847</v>
      </c>
      <c r="E9" s="98">
        <v>0.44</v>
      </c>
      <c r="F9" s="17">
        <f>(((3766-1805)/3766)+((3420-1623)/3420))/2</f>
        <v>0.52307511343414292</v>
      </c>
      <c r="G9" s="93"/>
      <c r="H9" s="97">
        <f t="shared" si="0"/>
        <v>0.44096535458141711</v>
      </c>
      <c r="I9" s="8" t="s">
        <v>189</v>
      </c>
    </row>
    <row r="10" spans="1:9" x14ac:dyDescent="0.25">
      <c r="B10" s="8" t="s">
        <v>168</v>
      </c>
      <c r="C10" s="8" t="s">
        <v>196</v>
      </c>
      <c r="D10" s="17">
        <f>D6</f>
        <v>0.187</v>
      </c>
      <c r="E10" s="17">
        <f>E6</f>
        <v>0.14307181999290131</v>
      </c>
      <c r="F10" s="17">
        <f>F6</f>
        <v>0.13917403294178585</v>
      </c>
      <c r="G10" s="93"/>
      <c r="H10" s="97">
        <f t="shared" si="0"/>
        <v>0.15641528431156237</v>
      </c>
      <c r="I10" s="8" t="s">
        <v>189</v>
      </c>
    </row>
    <row r="11" spans="1:9" x14ac:dyDescent="0.25">
      <c r="B11" s="8" t="s">
        <v>165</v>
      </c>
      <c r="C11" s="8" t="s">
        <v>199</v>
      </c>
      <c r="D11" s="17">
        <v>0.23</v>
      </c>
      <c r="E11" s="17">
        <v>0.23</v>
      </c>
      <c r="F11" s="17">
        <f>(((24120-20556)/24120)+((22139-18925)/22139))/2</f>
        <v>0.14646743472213888</v>
      </c>
      <c r="G11" s="93"/>
      <c r="H11" s="97">
        <f t="shared" si="0"/>
        <v>0.2021558115740463</v>
      </c>
      <c r="I11" s="8" t="s">
        <v>189</v>
      </c>
    </row>
    <row r="13" spans="1:9" x14ac:dyDescent="0.25">
      <c r="B13" s="8" t="s">
        <v>190</v>
      </c>
    </row>
    <row r="14" spans="1:9" x14ac:dyDescent="0.25">
      <c r="F14" s="8" t="s">
        <v>191</v>
      </c>
    </row>
    <row r="15" spans="1:9" ht="12" x14ac:dyDescent="0.25">
      <c r="B15" s="36" t="s">
        <v>163</v>
      </c>
      <c r="C15" s="36" t="s">
        <v>379</v>
      </c>
    </row>
    <row r="16" spans="1:9" x14ac:dyDescent="0.25">
      <c r="B16" s="8" t="s">
        <v>166</v>
      </c>
      <c r="C16" s="105">
        <f>AVERAGE('P&amp;L Input'!F29:G29)</f>
        <v>0.2234438823353104</v>
      </c>
    </row>
    <row r="17" spans="2:3" x14ac:dyDescent="0.25">
      <c r="B17" s="8" t="s">
        <v>172</v>
      </c>
      <c r="C17" s="105">
        <f>AVERAGE('P&amp;L Input'!F29:G29)</f>
        <v>0.2234438823353104</v>
      </c>
    </row>
    <row r="18" spans="2:3" x14ac:dyDescent="0.25">
      <c r="B18" s="8" t="s">
        <v>167</v>
      </c>
      <c r="C18" s="93" t="s">
        <v>64</v>
      </c>
    </row>
    <row r="19" spans="2:3" x14ac:dyDescent="0.25">
      <c r="B19" s="8" t="s">
        <v>169</v>
      </c>
      <c r="C19" s="93" t="s">
        <v>64</v>
      </c>
    </row>
    <row r="20" spans="2:3" x14ac:dyDescent="0.25">
      <c r="B20" s="8" t="s">
        <v>168</v>
      </c>
      <c r="C20" s="93" t="s">
        <v>64</v>
      </c>
    </row>
    <row r="21" spans="2:3" x14ac:dyDescent="0.25">
      <c r="B21" s="8" t="s">
        <v>165</v>
      </c>
      <c r="C21" s="93" t="s">
        <v>64</v>
      </c>
    </row>
  </sheetData>
  <pageMargins left="0.7" right="0.7" top="0.75" bottom="0.75" header="0.3" footer="0.3"/>
  <pageSetup orientation="portrait" r:id="rId1"/>
  <ignoredErrors>
    <ignoredError sqref="E7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Q4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1.4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7" width="10.33203125" style="8" customWidth="1"/>
    <col min="8" max="8" width="10.33203125" style="8" bestFit="1" customWidth="1"/>
    <col min="9" max="12" width="10.44140625" style="8" bestFit="1" customWidth="1"/>
    <col min="13" max="16384" width="9.109375" style="8"/>
  </cols>
  <sheetData>
    <row r="1" spans="1:17" ht="15.6" x14ac:dyDescent="0.25">
      <c r="A1" s="1"/>
      <c r="B1" s="2" t="s">
        <v>76</v>
      </c>
    </row>
    <row r="2" spans="1:17" ht="15.6" x14ac:dyDescent="0.25">
      <c r="A2" s="1"/>
      <c r="B2" s="2"/>
    </row>
    <row r="3" spans="1:17" ht="12" x14ac:dyDescent="0.25">
      <c r="C3" s="236" t="s">
        <v>201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5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5">
      <c r="B5" s="8" t="s">
        <v>166</v>
      </c>
      <c r="C5" s="72" t="s">
        <v>64</v>
      </c>
      <c r="D5" s="72" t="s">
        <v>64</v>
      </c>
      <c r="E5" s="72" t="s">
        <v>64</v>
      </c>
      <c r="F5" s="72" t="s">
        <v>64</v>
      </c>
      <c r="G5" s="72" t="s">
        <v>64</v>
      </c>
      <c r="H5" s="84">
        <f>H14*'Revenue automotive'!H5</f>
        <v>5824.2480825969187</v>
      </c>
      <c r="I5" s="84">
        <f>I14*'Revenue automotive'!I5</f>
        <v>6406.672890856612</v>
      </c>
      <c r="J5" s="84">
        <f>J14*'Revenue automotive'!J5</f>
        <v>7047.3401799422736</v>
      </c>
      <c r="K5" s="84">
        <f>K14*'Revenue automotive'!K5</f>
        <v>7611.1273943376555</v>
      </c>
      <c r="L5" s="84">
        <f>L14*'Revenue automotive'!L5</f>
        <v>8220.0175858846687</v>
      </c>
      <c r="M5" s="84">
        <f>M14*'Revenue automotive'!M5</f>
        <v>8548.8182893200574</v>
      </c>
      <c r="N5" s="84">
        <f>N14*'Revenue automotive'!N5</f>
        <v>8890.7710208928584</v>
      </c>
      <c r="O5" s="84">
        <f>O14*'Revenue automotive'!O5</f>
        <v>9246.4018617285728</v>
      </c>
      <c r="P5" s="84">
        <f>P14*'Revenue automotive'!P5</f>
        <v>9616.2579361977168</v>
      </c>
      <c r="Q5" s="84">
        <f>Q14*'Revenue automotive'!Q5</f>
        <v>10000.908253645626</v>
      </c>
    </row>
    <row r="6" spans="1:17" x14ac:dyDescent="0.25">
      <c r="B6" s="8" t="s">
        <v>172</v>
      </c>
      <c r="C6" s="72" t="s">
        <v>64</v>
      </c>
      <c r="D6" s="72" t="s">
        <v>64</v>
      </c>
      <c r="E6" s="72" t="s">
        <v>64</v>
      </c>
      <c r="F6" s="72" t="s">
        <v>64</v>
      </c>
      <c r="G6" s="72" t="s">
        <v>64</v>
      </c>
      <c r="H6" s="84">
        <f>H15*'Revenue automotive'!H6</f>
        <v>1574.3287108144762</v>
      </c>
      <c r="I6" s="84">
        <f>I15*'Revenue automotive'!I6</f>
        <v>1637.3018592470555</v>
      </c>
      <c r="J6" s="84">
        <f>J15*'Revenue automotive'!J6</f>
        <v>1702.7939336169377</v>
      </c>
      <c r="K6" s="84">
        <f>K15*'Revenue automotive'!K6</f>
        <v>1770.9056909616154</v>
      </c>
      <c r="L6" s="84">
        <f>L15*'Revenue automotive'!L6</f>
        <v>1841.7419186000798</v>
      </c>
      <c r="M6" s="84">
        <f>M15*'Revenue automotive'!M6</f>
        <v>1915.4115953440833</v>
      </c>
      <c r="N6" s="84">
        <f>N15*'Revenue automotive'!N6</f>
        <v>1992.0280591578464</v>
      </c>
      <c r="O6" s="84">
        <f>O15*'Revenue automotive'!O6</f>
        <v>2071.7091815241611</v>
      </c>
      <c r="P6" s="84">
        <f>P15*'Revenue automotive'!P6</f>
        <v>2154.577548785127</v>
      </c>
      <c r="Q6" s="84">
        <f>Q15*'Revenue automotive'!Q6</f>
        <v>2240.7606507365322</v>
      </c>
    </row>
    <row r="7" spans="1:17" x14ac:dyDescent="0.25">
      <c r="B7" s="8" t="s">
        <v>167</v>
      </c>
      <c r="C7" s="72">
        <v>0</v>
      </c>
      <c r="D7" s="72">
        <v>0</v>
      </c>
      <c r="E7" s="72">
        <v>0</v>
      </c>
      <c r="F7" s="72">
        <v>0</v>
      </c>
      <c r="G7" s="83">
        <f>G16*'Revenue automotive'!G7</f>
        <v>0</v>
      </c>
      <c r="H7" s="84">
        <f>H16*'Revenue automotive'!H7</f>
        <v>16.830910253061358</v>
      </c>
      <c r="I7" s="84">
        <f>I16*'Revenue automotive'!I7</f>
        <v>1393.5592953576397</v>
      </c>
      <c r="J7" s="84">
        <f>J16*'Revenue automotive'!J7</f>
        <v>2870.1758887611409</v>
      </c>
      <c r="K7" s="84">
        <f>K16*'Revenue automotive'!K7</f>
        <v>4592.2814220178252</v>
      </c>
      <c r="L7" s="84">
        <f>L16*'Revenue automotive'!L7</f>
        <v>5051.5095642196075</v>
      </c>
      <c r="M7" s="84">
        <f>M16*'Revenue automotive'!M7</f>
        <v>5556.6605206415707</v>
      </c>
      <c r="N7" s="84">
        <f>N16*'Revenue automotive'!N7</f>
        <v>6001.1933622928955</v>
      </c>
      <c r="O7" s="84">
        <f>O16*'Revenue automotive'!O7</f>
        <v>6481.2888312763271</v>
      </c>
      <c r="P7" s="84">
        <f>P16*'Revenue automotive'!P7</f>
        <v>6740.5403845273813</v>
      </c>
      <c r="Q7" s="84">
        <f>Q16*'Revenue automotive'!Q7</f>
        <v>7010.1619999084769</v>
      </c>
    </row>
    <row r="8" spans="1:17" x14ac:dyDescent="0.25">
      <c r="B8" s="8" t="s">
        <v>169</v>
      </c>
      <c r="C8" s="72">
        <v>0</v>
      </c>
      <c r="D8" s="72">
        <v>0</v>
      </c>
      <c r="E8" s="72">
        <v>0</v>
      </c>
      <c r="F8" s="72">
        <v>0</v>
      </c>
      <c r="G8" s="83">
        <f>G17*'Revenue automotive'!G8</f>
        <v>0</v>
      </c>
      <c r="H8" s="84">
        <f>H17*'Revenue automotive'!H8</f>
        <v>0</v>
      </c>
      <c r="I8" s="84">
        <f>I17*'Revenue automotive'!I8</f>
        <v>0</v>
      </c>
      <c r="J8" s="84">
        <f>J17*'Revenue automotive'!J8</f>
        <v>49.608602390409423</v>
      </c>
      <c r="K8" s="84">
        <f>K17*'Revenue automotive'!K8</f>
        <v>99.217204780818847</v>
      </c>
      <c r="L8" s="84">
        <f>L17*'Revenue automotive'!L8</f>
        <v>148.82580717122826</v>
      </c>
      <c r="M8" s="84">
        <f>M17*'Revenue automotive'!M8</f>
        <v>163.70838788835113</v>
      </c>
      <c r="N8" s="84">
        <f>N17*'Revenue automotive'!N8</f>
        <v>180.07922667718626</v>
      </c>
      <c r="O8" s="84">
        <f>O17*'Revenue automotive'!O8</f>
        <v>194.4855648113612</v>
      </c>
      <c r="P8" s="84">
        <f>P17*'Revenue automotive'!P8</f>
        <v>210.0444099962701</v>
      </c>
      <c r="Q8" s="84">
        <f>Q17*'Revenue automotive'!Q8</f>
        <v>218.44618639612091</v>
      </c>
    </row>
    <row r="9" spans="1:17" x14ac:dyDescent="0.25">
      <c r="B9" s="8" t="s">
        <v>168</v>
      </c>
      <c r="C9" s="72">
        <v>0</v>
      </c>
      <c r="D9" s="72">
        <v>0</v>
      </c>
      <c r="E9" s="72">
        <v>0</v>
      </c>
      <c r="F9" s="72">
        <v>0</v>
      </c>
      <c r="G9" s="83">
        <f>G18*'Revenue automotive'!G9</f>
        <v>0</v>
      </c>
      <c r="H9" s="84">
        <f>H18*'Revenue automotive'!H9</f>
        <v>0</v>
      </c>
      <c r="I9" s="84">
        <f>I18*'Revenue automotive'!I9</f>
        <v>2.2836631509488106</v>
      </c>
      <c r="J9" s="84">
        <f>J18*'Revenue automotive'!J9</f>
        <v>189.08187160534501</v>
      </c>
      <c r="K9" s="84">
        <f>K18*'Revenue automotive'!K9</f>
        <v>389.43318069879064</v>
      </c>
      <c r="L9" s="84">
        <f>L18*'Revenue automotive'!L9</f>
        <v>623.093089118065</v>
      </c>
      <c r="M9" s="84">
        <f>M18*'Revenue automotive'!M9</f>
        <v>685.40239802987151</v>
      </c>
      <c r="N9" s="84">
        <f>N18*'Revenue automotive'!N9</f>
        <v>753.94263783285874</v>
      </c>
      <c r="O9" s="84">
        <f>O18*'Revenue automotive'!O9</f>
        <v>814.25804885948753</v>
      </c>
      <c r="P9" s="84">
        <f>P18*'Revenue automotive'!P9</f>
        <v>879.39869276824663</v>
      </c>
      <c r="Q9" s="84">
        <f>Q18*'Revenue automotive'!Q9</f>
        <v>914.57464047897656</v>
      </c>
    </row>
    <row r="10" spans="1:17" x14ac:dyDescent="0.25">
      <c r="B10" s="8" t="s">
        <v>165</v>
      </c>
      <c r="C10" s="72">
        <v>0</v>
      </c>
      <c r="D10" s="72">
        <v>0</v>
      </c>
      <c r="E10" s="72">
        <v>0</v>
      </c>
      <c r="F10" s="72">
        <v>0</v>
      </c>
      <c r="G10" s="83">
        <f>G19*'Revenue automotive'!G10</f>
        <v>0</v>
      </c>
      <c r="H10" s="84">
        <f>H19*'Revenue automotive'!H10</f>
        <v>0</v>
      </c>
      <c r="I10" s="84">
        <f>I19*'Revenue automotive'!I10</f>
        <v>8.8443167563645257</v>
      </c>
      <c r="J10" s="84">
        <f>J19*'Revenue automotive'!J10</f>
        <v>732.28836952994379</v>
      </c>
      <c r="K10" s="84">
        <f>K19*'Revenue automotive'!K10</f>
        <v>1508.2217375656437</v>
      </c>
      <c r="L10" s="84">
        <f>L19*'Revenue automotive'!L10</f>
        <v>2413.1547801050301</v>
      </c>
      <c r="M10" s="84">
        <f>M19*'Revenue automotive'!M10</f>
        <v>2654.4702581155329</v>
      </c>
      <c r="N10" s="84">
        <f>N19*'Revenue automotive'!N10</f>
        <v>2919.9172839270868</v>
      </c>
      <c r="O10" s="84">
        <f>O19*'Revenue automotive'!O10</f>
        <v>3153.5106666412539</v>
      </c>
      <c r="P10" s="84">
        <f>P19*'Revenue automotive'!P10</f>
        <v>3405.7915199725549</v>
      </c>
      <c r="Q10" s="84">
        <f>Q19*'Revenue automotive'!Q10</f>
        <v>3542.0231807714576</v>
      </c>
    </row>
    <row r="11" spans="1:17" ht="12.6" thickBot="1" x14ac:dyDescent="0.3">
      <c r="B11" s="108" t="s">
        <v>68</v>
      </c>
      <c r="C11" s="114">
        <f>('P&amp;L Input'!C4+'P&amp;L Input'!C8)/1000</f>
        <v>917.67100000000005</v>
      </c>
      <c r="D11" s="114">
        <f>('P&amp;L Input'!D4+'P&amp;L Input'!D8)/1000</f>
        <v>1600.6849999999999</v>
      </c>
      <c r="E11" s="114">
        <f>('P&amp;L Input'!E4+'P&amp;L Input'!E8)/1000</f>
        <v>2208.596</v>
      </c>
      <c r="F11" s="114">
        <f>('P&amp;L Input'!F4+'P&amp;L Input'!F8)/1000</f>
        <v>4340.9859999999999</v>
      </c>
      <c r="G11" s="114">
        <f>('P&amp;L Input'!G4+'P&amp;L Input'!G8)/1000</f>
        <v>4423</v>
      </c>
      <c r="H11" s="114">
        <f t="shared" ref="H11:L11" si="0">SUM(H5:H10)</f>
        <v>7415.4077036644558</v>
      </c>
      <c r="I11" s="114">
        <f t="shared" si="0"/>
        <v>9448.6620253686197</v>
      </c>
      <c r="J11" s="114">
        <f>SUM(J5:J10)</f>
        <v>12591.288845846053</v>
      </c>
      <c r="K11" s="114">
        <f t="shared" si="0"/>
        <v>15971.186630362348</v>
      </c>
      <c r="L11" s="114">
        <f t="shared" si="0"/>
        <v>18298.342745098678</v>
      </c>
      <c r="M11" s="114">
        <f>SUM(M5:M10)</f>
        <v>19524.471449339468</v>
      </c>
      <c r="N11" s="114">
        <f>SUM(N5:N10)</f>
        <v>20737.931590780732</v>
      </c>
      <c r="O11" s="114">
        <f>SUM(O5:O10)</f>
        <v>21961.654154841166</v>
      </c>
      <c r="P11" s="114">
        <f>SUM(P5:P10)</f>
        <v>23006.610492247291</v>
      </c>
      <c r="Q11" s="114">
        <f>SUM(Q5:Q10)</f>
        <v>23926.874911937193</v>
      </c>
    </row>
    <row r="12" spans="1:17" ht="3" customHeight="1" x14ac:dyDescent="0.25"/>
    <row r="13" spans="1:17" x14ac:dyDescent="0.25">
      <c r="B13" s="85" t="s">
        <v>74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</row>
    <row r="14" spans="1:17" x14ac:dyDescent="0.25">
      <c r="B14" s="86" t="s">
        <v>166</v>
      </c>
      <c r="C14" s="89"/>
      <c r="D14" s="89"/>
      <c r="E14" s="89"/>
      <c r="F14" s="89"/>
      <c r="G14" s="88">
        <f>CHOOSE(Drivers!$C$3,'GP automotive'!G22,'GP automotive'!G30,'GP automotive'!G38)</f>
        <v>0.2234438823353104</v>
      </c>
      <c r="H14" s="88">
        <f>CHOOSE(Drivers!$C$3,'GP automotive'!H22,'GP automotive'!H30,'GP automotive'!H38)</f>
        <v>0.2234438823353104</v>
      </c>
      <c r="I14" s="88">
        <f>CHOOSE(Drivers!$C$3,'GP automotive'!I22,'GP automotive'!I30,'GP automotive'!I38)</f>
        <v>0.2234438823353104</v>
      </c>
      <c r="J14" s="88">
        <f>CHOOSE(Drivers!$C$3,'GP automotive'!J22,'GP automotive'!J30,'GP automotive'!J38)</f>
        <v>0.2234438823353104</v>
      </c>
      <c r="K14" s="88">
        <f>CHOOSE(Drivers!$C$3,'GP automotive'!K22,'GP automotive'!K30,'GP automotive'!K38)</f>
        <v>0.2234438823353104</v>
      </c>
      <c r="L14" s="88">
        <f>CHOOSE(Drivers!$C$3,'GP automotive'!L22,'GP automotive'!L30,'GP automotive'!L38)</f>
        <v>0.2234438823353104</v>
      </c>
      <c r="M14" s="88">
        <f>CHOOSE(Drivers!$C$3,'GP automotive'!M22,'GP automotive'!M30,'GP automotive'!M38)</f>
        <v>0.2234438823353104</v>
      </c>
      <c r="N14" s="88">
        <f>CHOOSE(Drivers!$C$3,'GP automotive'!N22,'GP automotive'!N30,'GP automotive'!N38)</f>
        <v>0.2234438823353104</v>
      </c>
      <c r="O14" s="88">
        <f>CHOOSE(Drivers!$C$3,'GP automotive'!O22,'GP automotive'!O30,'GP automotive'!O38)</f>
        <v>0.2234438823353104</v>
      </c>
      <c r="P14" s="88">
        <f>CHOOSE(Drivers!$C$3,'GP automotive'!P22,'GP automotive'!P30,'GP automotive'!P38)</f>
        <v>0.2234438823353104</v>
      </c>
      <c r="Q14" s="88">
        <f>CHOOSE(Drivers!$C$3,'GP automotive'!Q22,'GP automotive'!Q30,'GP automotive'!Q38)</f>
        <v>0.2234438823353104</v>
      </c>
    </row>
    <row r="15" spans="1:17" x14ac:dyDescent="0.25">
      <c r="B15" s="86" t="s">
        <v>172</v>
      </c>
      <c r="C15" s="89"/>
      <c r="D15" s="77"/>
      <c r="E15" s="77"/>
      <c r="F15" s="77"/>
      <c r="G15" s="88">
        <f>CHOOSE(Drivers!$C$3,'GP automotive'!G23,'GP automotive'!G31,'GP automotive'!G39)</f>
        <v>0.2234438823353104</v>
      </c>
      <c r="H15" s="88">
        <f>CHOOSE(Drivers!$C$3,'GP automotive'!H23,'GP automotive'!H31,'GP automotive'!H39)</f>
        <v>0.2234438823353104</v>
      </c>
      <c r="I15" s="88">
        <f>CHOOSE(Drivers!$C$3,'GP automotive'!I23,'GP automotive'!I31,'GP automotive'!I39)</f>
        <v>0.2234438823353104</v>
      </c>
      <c r="J15" s="88">
        <f>CHOOSE(Drivers!$C$3,'GP automotive'!J23,'GP automotive'!J31,'GP automotive'!J39)</f>
        <v>0.2234438823353104</v>
      </c>
      <c r="K15" s="88">
        <f>CHOOSE(Drivers!$C$3,'GP automotive'!K23,'GP automotive'!K31,'GP automotive'!K39)</f>
        <v>0.2234438823353104</v>
      </c>
      <c r="L15" s="88">
        <f>CHOOSE(Drivers!$C$3,'GP automotive'!L23,'GP automotive'!L31,'GP automotive'!L39)</f>
        <v>0.2234438823353104</v>
      </c>
      <c r="M15" s="88">
        <f>CHOOSE(Drivers!$C$3,'GP automotive'!M23,'GP automotive'!M31,'GP automotive'!M39)</f>
        <v>0.2234438823353104</v>
      </c>
      <c r="N15" s="88">
        <f>CHOOSE(Drivers!$C$3,'GP automotive'!N23,'GP automotive'!N31,'GP automotive'!N39)</f>
        <v>0.2234438823353104</v>
      </c>
      <c r="O15" s="88">
        <f>CHOOSE(Drivers!$C$3,'GP automotive'!O23,'GP automotive'!O31,'GP automotive'!O39)</f>
        <v>0.2234438823353104</v>
      </c>
      <c r="P15" s="88">
        <f>CHOOSE(Drivers!$C$3,'GP automotive'!P23,'GP automotive'!P31,'GP automotive'!P39)</f>
        <v>0.2234438823353104</v>
      </c>
      <c r="Q15" s="88">
        <f>CHOOSE(Drivers!$C$3,'GP automotive'!Q23,'GP automotive'!Q31,'GP automotive'!Q39)</f>
        <v>0.2234438823353104</v>
      </c>
    </row>
    <row r="16" spans="1:17" x14ac:dyDescent="0.25">
      <c r="B16" s="86" t="s">
        <v>167</v>
      </c>
      <c r="C16" s="89"/>
      <c r="D16" s="89"/>
      <c r="E16" s="89"/>
      <c r="F16" s="89"/>
      <c r="G16" s="88">
        <f>CHOOSE(Drivers!$C$3,'GP automotive'!G24,'GP automotive'!G32,'GP automotive'!G40)</f>
        <v>0.15641528431156237</v>
      </c>
      <c r="H16" s="88">
        <f>CHOOSE(Drivers!$C$3,'GP automotive'!H24,'GP automotive'!H32,'GP automotive'!H40)</f>
        <v>0.15641528431156237</v>
      </c>
      <c r="I16" s="88">
        <f>CHOOSE(Drivers!$C$3,'GP automotive'!I24,'GP automotive'!I32,'GP automotive'!I40)</f>
        <v>0.15641528431156237</v>
      </c>
      <c r="J16" s="88">
        <f>CHOOSE(Drivers!$C$3,'GP automotive'!J24,'GP automotive'!J32,'GP automotive'!J40)</f>
        <v>0.15641528431156237</v>
      </c>
      <c r="K16" s="88">
        <f>CHOOSE(Drivers!$C$3,'GP automotive'!K24,'GP automotive'!K32,'GP automotive'!K40)</f>
        <v>0.15641528431156237</v>
      </c>
      <c r="L16" s="88">
        <f>CHOOSE(Drivers!$C$3,'GP automotive'!L24,'GP automotive'!L32,'GP automotive'!L40)</f>
        <v>0.15641528431156237</v>
      </c>
      <c r="M16" s="88">
        <f>CHOOSE(Drivers!$C$3,'GP automotive'!M24,'GP automotive'!M32,'GP automotive'!M40)</f>
        <v>0.15641528431156237</v>
      </c>
      <c r="N16" s="88">
        <f>CHOOSE(Drivers!$C$3,'GP automotive'!N24,'GP automotive'!N32,'GP automotive'!N40)</f>
        <v>0.15641528431156237</v>
      </c>
      <c r="O16" s="88">
        <f>CHOOSE(Drivers!$C$3,'GP automotive'!O24,'GP automotive'!O32,'GP automotive'!O40)</f>
        <v>0.15641528431156237</v>
      </c>
      <c r="P16" s="88">
        <f>CHOOSE(Drivers!$C$3,'GP automotive'!P24,'GP automotive'!P32,'GP automotive'!P40)</f>
        <v>0.15641528431156237</v>
      </c>
      <c r="Q16" s="88">
        <f>CHOOSE(Drivers!$C$3,'GP automotive'!Q24,'GP automotive'!Q32,'GP automotive'!Q40)</f>
        <v>0.15641528431156237</v>
      </c>
    </row>
    <row r="17" spans="2:17" x14ac:dyDescent="0.25">
      <c r="B17" s="86" t="s">
        <v>169</v>
      </c>
      <c r="C17" s="89"/>
      <c r="D17" s="89"/>
      <c r="E17" s="89"/>
      <c r="F17" s="89"/>
      <c r="G17" s="88">
        <f>CHOOSE(Drivers!$C$3,'GP automotive'!G25,'GP automotive'!G33,'GP automotive'!G41)</f>
        <v>0.44096535458141711</v>
      </c>
      <c r="H17" s="88">
        <f>CHOOSE(Drivers!$C$3,'GP automotive'!H25,'GP automotive'!H33,'GP automotive'!H41)</f>
        <v>0.44096535458141711</v>
      </c>
      <c r="I17" s="88">
        <f>CHOOSE(Drivers!$C$3,'GP automotive'!I25,'GP automotive'!I33,'GP automotive'!I41)</f>
        <v>0.44096535458141711</v>
      </c>
      <c r="J17" s="88">
        <f>CHOOSE(Drivers!$C$3,'GP automotive'!J25,'GP automotive'!J33,'GP automotive'!J41)</f>
        <v>0.44096535458141711</v>
      </c>
      <c r="K17" s="88">
        <f>CHOOSE(Drivers!$C$3,'GP automotive'!K25,'GP automotive'!K33,'GP automotive'!K41)</f>
        <v>0.44096535458141711</v>
      </c>
      <c r="L17" s="88">
        <f>CHOOSE(Drivers!$C$3,'GP automotive'!L25,'GP automotive'!L33,'GP automotive'!L41)</f>
        <v>0.44096535458141711</v>
      </c>
      <c r="M17" s="88">
        <f>CHOOSE(Drivers!$C$3,'GP automotive'!M25,'GP automotive'!M33,'GP automotive'!M41)</f>
        <v>0.44096535458141711</v>
      </c>
      <c r="N17" s="88">
        <f>CHOOSE(Drivers!$C$3,'GP automotive'!N25,'GP automotive'!N33,'GP automotive'!N41)</f>
        <v>0.44096535458141711</v>
      </c>
      <c r="O17" s="88">
        <f>CHOOSE(Drivers!$C$3,'GP automotive'!O25,'GP automotive'!O33,'GP automotive'!O41)</f>
        <v>0.44096535458141711</v>
      </c>
      <c r="P17" s="88">
        <f>CHOOSE(Drivers!$C$3,'GP automotive'!P25,'GP automotive'!P33,'GP automotive'!P41)</f>
        <v>0.44096535458141711</v>
      </c>
      <c r="Q17" s="88">
        <f>CHOOSE(Drivers!$C$3,'GP automotive'!Q25,'GP automotive'!Q33,'GP automotive'!Q41)</f>
        <v>0.44096535458141711</v>
      </c>
    </row>
    <row r="18" spans="2:17" x14ac:dyDescent="0.25">
      <c r="B18" s="86" t="s">
        <v>168</v>
      </c>
      <c r="C18" s="89"/>
      <c r="D18" s="89"/>
      <c r="E18" s="89"/>
      <c r="F18" s="89"/>
      <c r="G18" s="88">
        <f>CHOOSE(Drivers!$C$3,'GP automotive'!G26,'GP automotive'!G34,'GP automotive'!G42)</f>
        <v>0.15641528431156237</v>
      </c>
      <c r="H18" s="88">
        <f>CHOOSE(Drivers!$C$3,'GP automotive'!H26,'GP automotive'!H34,'GP automotive'!H42)</f>
        <v>0.15641528431156237</v>
      </c>
      <c r="I18" s="88">
        <f>CHOOSE(Drivers!$C$3,'GP automotive'!I26,'GP automotive'!I34,'GP automotive'!I42)</f>
        <v>0.15641528431156237</v>
      </c>
      <c r="J18" s="88">
        <f>CHOOSE(Drivers!$C$3,'GP automotive'!J26,'GP automotive'!J34,'GP automotive'!J42)</f>
        <v>0.15641528431156237</v>
      </c>
      <c r="K18" s="88">
        <f>CHOOSE(Drivers!$C$3,'GP automotive'!K26,'GP automotive'!K34,'GP automotive'!K42)</f>
        <v>0.15641528431156237</v>
      </c>
      <c r="L18" s="88">
        <f>CHOOSE(Drivers!$C$3,'GP automotive'!L26,'GP automotive'!L34,'GP automotive'!L42)</f>
        <v>0.15641528431156237</v>
      </c>
      <c r="M18" s="88">
        <f>CHOOSE(Drivers!$C$3,'GP automotive'!M26,'GP automotive'!M34,'GP automotive'!M42)</f>
        <v>0.15641528431156237</v>
      </c>
      <c r="N18" s="88">
        <f>CHOOSE(Drivers!$C$3,'GP automotive'!N26,'GP automotive'!N34,'GP automotive'!N42)</f>
        <v>0.15641528431156237</v>
      </c>
      <c r="O18" s="88">
        <f>CHOOSE(Drivers!$C$3,'GP automotive'!O26,'GP automotive'!O34,'GP automotive'!O42)</f>
        <v>0.15641528431156237</v>
      </c>
      <c r="P18" s="88">
        <f>CHOOSE(Drivers!$C$3,'GP automotive'!P26,'GP automotive'!P34,'GP automotive'!P42)</f>
        <v>0.15641528431156237</v>
      </c>
      <c r="Q18" s="88">
        <f>CHOOSE(Drivers!$C$3,'GP automotive'!Q26,'GP automotive'!Q34,'GP automotive'!Q42)</f>
        <v>0.15641528431156237</v>
      </c>
    </row>
    <row r="19" spans="2:17" x14ac:dyDescent="0.25">
      <c r="B19" s="86" t="s">
        <v>165</v>
      </c>
      <c r="C19" s="89"/>
      <c r="D19" s="89"/>
      <c r="E19" s="89"/>
      <c r="F19" s="89"/>
      <c r="G19" s="88">
        <f>CHOOSE(Drivers!$C$3,'GP automotive'!G27,'GP automotive'!G35,'GP automotive'!G43)</f>
        <v>0.2021558115740463</v>
      </c>
      <c r="H19" s="88">
        <f>CHOOSE(Drivers!$C$3,'GP automotive'!H27,'GP automotive'!H35,'GP automotive'!H43)</f>
        <v>0.2021558115740463</v>
      </c>
      <c r="I19" s="88">
        <f>CHOOSE(Drivers!$C$3,'GP automotive'!I27,'GP automotive'!I35,'GP automotive'!I43)</f>
        <v>0.2021558115740463</v>
      </c>
      <c r="J19" s="88">
        <f>CHOOSE(Drivers!$C$3,'GP automotive'!J27,'GP automotive'!J35,'GP automotive'!J43)</f>
        <v>0.2021558115740463</v>
      </c>
      <c r="K19" s="88">
        <f>CHOOSE(Drivers!$C$3,'GP automotive'!K27,'GP automotive'!K35,'GP automotive'!K43)</f>
        <v>0.2021558115740463</v>
      </c>
      <c r="L19" s="88">
        <f>CHOOSE(Drivers!$C$3,'GP automotive'!L27,'GP automotive'!L35,'GP automotive'!L43)</f>
        <v>0.2021558115740463</v>
      </c>
      <c r="M19" s="88">
        <f>CHOOSE(Drivers!$C$3,'GP automotive'!M27,'GP automotive'!M35,'GP automotive'!M43)</f>
        <v>0.2021558115740463</v>
      </c>
      <c r="N19" s="88">
        <f>CHOOSE(Drivers!$C$3,'GP automotive'!N27,'GP automotive'!N35,'GP automotive'!N43)</f>
        <v>0.2021558115740463</v>
      </c>
      <c r="O19" s="88">
        <f>CHOOSE(Drivers!$C$3,'GP automotive'!O27,'GP automotive'!O35,'GP automotive'!O43)</f>
        <v>0.2021558115740463</v>
      </c>
      <c r="P19" s="88">
        <f>CHOOSE(Drivers!$C$3,'GP automotive'!P27,'GP automotive'!P35,'GP automotive'!P43)</f>
        <v>0.2021558115740463</v>
      </c>
      <c r="Q19" s="88">
        <f>CHOOSE(Drivers!$C$3,'GP automotive'!Q27,'GP automotive'!Q35,'GP automotive'!Q43)</f>
        <v>0.2021558115740463</v>
      </c>
    </row>
    <row r="20" spans="2:17" x14ac:dyDescent="0.25">
      <c r="B20" s="86"/>
      <c r="C20" s="89"/>
      <c r="D20" s="89"/>
      <c r="E20" s="89"/>
      <c r="F20" s="89"/>
      <c r="G20" s="89"/>
      <c r="H20" s="89"/>
      <c r="I20" s="87"/>
      <c r="J20" s="87"/>
      <c r="K20" s="87"/>
      <c r="L20" s="87"/>
      <c r="M20" s="87"/>
      <c r="N20" s="87"/>
      <c r="O20" s="87"/>
      <c r="P20" s="87"/>
      <c r="Q20" s="87"/>
    </row>
    <row r="21" spans="2:17" x14ac:dyDescent="0.25">
      <c r="B21" s="85" t="s">
        <v>70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</row>
    <row r="22" spans="2:17" x14ac:dyDescent="0.25">
      <c r="B22" s="86" t="s">
        <v>166</v>
      </c>
      <c r="C22" s="89"/>
      <c r="D22" s="89"/>
      <c r="E22" s="89"/>
      <c r="F22" s="89"/>
      <c r="G22" s="88">
        <f>G30+1.5%</f>
        <v>0.23844388233531039</v>
      </c>
      <c r="H22" s="88">
        <f t="shared" ref="H22:Q22" si="1">H30+1.5%</f>
        <v>0.23844388233531039</v>
      </c>
      <c r="I22" s="88">
        <f t="shared" si="1"/>
        <v>0.23844388233531039</v>
      </c>
      <c r="J22" s="88">
        <f t="shared" si="1"/>
        <v>0.23844388233531039</v>
      </c>
      <c r="K22" s="88">
        <f t="shared" si="1"/>
        <v>0.23844388233531039</v>
      </c>
      <c r="L22" s="88">
        <f t="shared" si="1"/>
        <v>0.23844388233531039</v>
      </c>
      <c r="M22" s="88">
        <f t="shared" si="1"/>
        <v>0.23844388233531039</v>
      </c>
      <c r="N22" s="88">
        <f t="shared" si="1"/>
        <v>0.23844388233531039</v>
      </c>
      <c r="O22" s="88">
        <f t="shared" si="1"/>
        <v>0.23844388233531039</v>
      </c>
      <c r="P22" s="88">
        <f t="shared" si="1"/>
        <v>0.23844388233531039</v>
      </c>
      <c r="Q22" s="88">
        <f t="shared" si="1"/>
        <v>0.23844388233531039</v>
      </c>
    </row>
    <row r="23" spans="2:17" x14ac:dyDescent="0.25">
      <c r="B23" s="86" t="s">
        <v>172</v>
      </c>
      <c r="C23" s="89"/>
      <c r="D23" s="77"/>
      <c r="E23" s="77"/>
      <c r="F23" s="77"/>
      <c r="G23" s="88">
        <f t="shared" ref="G23:Q23" si="2">G31+1.5%</f>
        <v>0.23844388233531039</v>
      </c>
      <c r="H23" s="88">
        <f t="shared" si="2"/>
        <v>0.23844388233531039</v>
      </c>
      <c r="I23" s="88">
        <f t="shared" si="2"/>
        <v>0.23844388233531039</v>
      </c>
      <c r="J23" s="88">
        <f t="shared" si="2"/>
        <v>0.23844388233531039</v>
      </c>
      <c r="K23" s="88">
        <f t="shared" si="2"/>
        <v>0.23844388233531039</v>
      </c>
      <c r="L23" s="88">
        <f t="shared" si="2"/>
        <v>0.23844388233531039</v>
      </c>
      <c r="M23" s="88">
        <f t="shared" si="2"/>
        <v>0.23844388233531039</v>
      </c>
      <c r="N23" s="88">
        <f t="shared" si="2"/>
        <v>0.23844388233531039</v>
      </c>
      <c r="O23" s="88">
        <f t="shared" si="2"/>
        <v>0.23844388233531039</v>
      </c>
      <c r="P23" s="88">
        <f t="shared" si="2"/>
        <v>0.23844388233531039</v>
      </c>
      <c r="Q23" s="88">
        <f t="shared" si="2"/>
        <v>0.23844388233531039</v>
      </c>
    </row>
    <row r="24" spans="2:17" x14ac:dyDescent="0.25">
      <c r="B24" s="86" t="s">
        <v>167</v>
      </c>
      <c r="C24" s="89"/>
      <c r="D24" s="89"/>
      <c r="E24" s="89"/>
      <c r="F24" s="89"/>
      <c r="G24" s="88">
        <f t="shared" ref="G24:Q24" si="3">G32+1.5%</f>
        <v>0.17141528431156239</v>
      </c>
      <c r="H24" s="88">
        <f t="shared" si="3"/>
        <v>0.17141528431156239</v>
      </c>
      <c r="I24" s="88">
        <f t="shared" si="3"/>
        <v>0.17141528431156239</v>
      </c>
      <c r="J24" s="88">
        <f t="shared" si="3"/>
        <v>0.17141528431156239</v>
      </c>
      <c r="K24" s="88">
        <f t="shared" si="3"/>
        <v>0.17141528431156239</v>
      </c>
      <c r="L24" s="88">
        <f t="shared" si="3"/>
        <v>0.17141528431156239</v>
      </c>
      <c r="M24" s="88">
        <f t="shared" si="3"/>
        <v>0.17141528431156239</v>
      </c>
      <c r="N24" s="88">
        <f t="shared" si="3"/>
        <v>0.17141528431156239</v>
      </c>
      <c r="O24" s="88">
        <f t="shared" si="3"/>
        <v>0.17141528431156239</v>
      </c>
      <c r="P24" s="88">
        <f t="shared" si="3"/>
        <v>0.17141528431156239</v>
      </c>
      <c r="Q24" s="88">
        <f t="shared" si="3"/>
        <v>0.17141528431156239</v>
      </c>
    </row>
    <row r="25" spans="2:17" x14ac:dyDescent="0.25">
      <c r="B25" s="86" t="s">
        <v>169</v>
      </c>
      <c r="C25" s="89"/>
      <c r="D25" s="89"/>
      <c r="E25" s="89"/>
      <c r="F25" s="89"/>
      <c r="G25" s="88">
        <f t="shared" ref="G25:Q25" si="4">G33+1.5%</f>
        <v>0.45596535458141713</v>
      </c>
      <c r="H25" s="88">
        <f t="shared" si="4"/>
        <v>0.45596535458141713</v>
      </c>
      <c r="I25" s="88">
        <f t="shared" si="4"/>
        <v>0.45596535458141713</v>
      </c>
      <c r="J25" s="88">
        <f t="shared" si="4"/>
        <v>0.45596535458141713</v>
      </c>
      <c r="K25" s="88">
        <f t="shared" si="4"/>
        <v>0.45596535458141713</v>
      </c>
      <c r="L25" s="88">
        <f t="shared" si="4"/>
        <v>0.45596535458141713</v>
      </c>
      <c r="M25" s="88">
        <f t="shared" si="4"/>
        <v>0.45596535458141713</v>
      </c>
      <c r="N25" s="88">
        <f t="shared" si="4"/>
        <v>0.45596535458141713</v>
      </c>
      <c r="O25" s="88">
        <f t="shared" si="4"/>
        <v>0.45596535458141713</v>
      </c>
      <c r="P25" s="88">
        <f t="shared" si="4"/>
        <v>0.45596535458141713</v>
      </c>
      <c r="Q25" s="88">
        <f t="shared" si="4"/>
        <v>0.45596535458141713</v>
      </c>
    </row>
    <row r="26" spans="2:17" x14ac:dyDescent="0.25">
      <c r="B26" s="86" t="s">
        <v>168</v>
      </c>
      <c r="C26" s="89"/>
      <c r="D26" s="89"/>
      <c r="E26" s="89"/>
      <c r="F26" s="89"/>
      <c r="G26" s="88">
        <f t="shared" ref="G26:Q26" si="5">G34+1.5%</f>
        <v>0.17141528431156239</v>
      </c>
      <c r="H26" s="88">
        <f t="shared" si="5"/>
        <v>0.17141528431156239</v>
      </c>
      <c r="I26" s="88">
        <f t="shared" si="5"/>
        <v>0.17141528431156239</v>
      </c>
      <c r="J26" s="88">
        <f t="shared" si="5"/>
        <v>0.17141528431156239</v>
      </c>
      <c r="K26" s="88">
        <f t="shared" si="5"/>
        <v>0.17141528431156239</v>
      </c>
      <c r="L26" s="88">
        <f t="shared" si="5"/>
        <v>0.17141528431156239</v>
      </c>
      <c r="M26" s="88">
        <f t="shared" si="5"/>
        <v>0.17141528431156239</v>
      </c>
      <c r="N26" s="88">
        <f t="shared" si="5"/>
        <v>0.17141528431156239</v>
      </c>
      <c r="O26" s="88">
        <f t="shared" si="5"/>
        <v>0.17141528431156239</v>
      </c>
      <c r="P26" s="88">
        <f t="shared" si="5"/>
        <v>0.17141528431156239</v>
      </c>
      <c r="Q26" s="88">
        <f t="shared" si="5"/>
        <v>0.17141528431156239</v>
      </c>
    </row>
    <row r="27" spans="2:17" x14ac:dyDescent="0.25">
      <c r="B27" s="86" t="s">
        <v>165</v>
      </c>
      <c r="C27" s="89"/>
      <c r="D27" s="89"/>
      <c r="E27" s="89"/>
      <c r="F27" s="89"/>
      <c r="G27" s="88">
        <f t="shared" ref="G27:Q27" si="6">G35+1.5%</f>
        <v>0.21715581157404629</v>
      </c>
      <c r="H27" s="88">
        <f t="shared" si="6"/>
        <v>0.21715581157404629</v>
      </c>
      <c r="I27" s="88">
        <f t="shared" si="6"/>
        <v>0.21715581157404629</v>
      </c>
      <c r="J27" s="88">
        <f t="shared" si="6"/>
        <v>0.21715581157404629</v>
      </c>
      <c r="K27" s="88">
        <f t="shared" si="6"/>
        <v>0.21715581157404629</v>
      </c>
      <c r="L27" s="88">
        <f t="shared" si="6"/>
        <v>0.21715581157404629</v>
      </c>
      <c r="M27" s="88">
        <f t="shared" si="6"/>
        <v>0.21715581157404629</v>
      </c>
      <c r="N27" s="88">
        <f t="shared" si="6"/>
        <v>0.21715581157404629</v>
      </c>
      <c r="O27" s="88">
        <f t="shared" si="6"/>
        <v>0.21715581157404629</v>
      </c>
      <c r="P27" s="88">
        <f t="shared" si="6"/>
        <v>0.21715581157404629</v>
      </c>
      <c r="Q27" s="88">
        <f t="shared" si="6"/>
        <v>0.21715581157404629</v>
      </c>
    </row>
    <row r="28" spans="2:17" x14ac:dyDescent="0.25">
      <c r="B28" s="86"/>
      <c r="C28" s="89"/>
      <c r="D28" s="89"/>
      <c r="E28" s="89"/>
      <c r="F28" s="89"/>
      <c r="G28" s="89"/>
      <c r="H28" s="89"/>
      <c r="I28" s="87"/>
      <c r="J28" s="87"/>
      <c r="K28" s="87"/>
      <c r="L28" s="87"/>
      <c r="M28" s="87"/>
      <c r="N28" s="87"/>
      <c r="O28" s="87"/>
      <c r="P28" s="87"/>
      <c r="Q28" s="87"/>
    </row>
    <row r="29" spans="2:17" x14ac:dyDescent="0.25">
      <c r="B29" s="85" t="s">
        <v>71</v>
      </c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</row>
    <row r="30" spans="2:17" x14ac:dyDescent="0.25">
      <c r="B30" s="86" t="s">
        <v>166</v>
      </c>
      <c r="C30" s="89"/>
      <c r="D30" s="89"/>
      <c r="E30" s="89"/>
      <c r="F30" s="89"/>
      <c r="G30" s="88">
        <f>'GP% automotive'!$H6</f>
        <v>0.2234438823353104</v>
      </c>
      <c r="H30" s="88">
        <f>'GP% automotive'!$H6</f>
        <v>0.2234438823353104</v>
      </c>
      <c r="I30" s="88">
        <f>'GP% automotive'!$H6</f>
        <v>0.2234438823353104</v>
      </c>
      <c r="J30" s="88">
        <f>'GP% automotive'!$H6</f>
        <v>0.2234438823353104</v>
      </c>
      <c r="K30" s="88">
        <f>'GP% automotive'!$H6</f>
        <v>0.2234438823353104</v>
      </c>
      <c r="L30" s="88">
        <f>'GP% automotive'!$H6</f>
        <v>0.2234438823353104</v>
      </c>
      <c r="M30" s="88">
        <f>'GP% automotive'!$H6</f>
        <v>0.2234438823353104</v>
      </c>
      <c r="N30" s="88">
        <f>'GP% automotive'!$H6</f>
        <v>0.2234438823353104</v>
      </c>
      <c r="O30" s="88">
        <f>'GP% automotive'!$H6</f>
        <v>0.2234438823353104</v>
      </c>
      <c r="P30" s="88">
        <f>'GP% automotive'!$H6</f>
        <v>0.2234438823353104</v>
      </c>
      <c r="Q30" s="88">
        <f>'GP% automotive'!$H6</f>
        <v>0.2234438823353104</v>
      </c>
    </row>
    <row r="31" spans="2:17" x14ac:dyDescent="0.25">
      <c r="B31" s="86" t="s">
        <v>172</v>
      </c>
      <c r="C31" s="89"/>
      <c r="D31" s="77"/>
      <c r="E31" s="77"/>
      <c r="F31" s="77"/>
      <c r="G31" s="88">
        <f>'GP% automotive'!$H7</f>
        <v>0.2234438823353104</v>
      </c>
      <c r="H31" s="88">
        <f>'GP% automotive'!$H7</f>
        <v>0.2234438823353104</v>
      </c>
      <c r="I31" s="88">
        <f>'GP% automotive'!$H7</f>
        <v>0.2234438823353104</v>
      </c>
      <c r="J31" s="88">
        <f>'GP% automotive'!$H7</f>
        <v>0.2234438823353104</v>
      </c>
      <c r="K31" s="88">
        <f>'GP% automotive'!$H7</f>
        <v>0.2234438823353104</v>
      </c>
      <c r="L31" s="88">
        <f>'GP% automotive'!$H7</f>
        <v>0.2234438823353104</v>
      </c>
      <c r="M31" s="88">
        <f>'GP% automotive'!$H7</f>
        <v>0.2234438823353104</v>
      </c>
      <c r="N31" s="88">
        <f>'GP% automotive'!$H7</f>
        <v>0.2234438823353104</v>
      </c>
      <c r="O31" s="88">
        <f>'GP% automotive'!$H7</f>
        <v>0.2234438823353104</v>
      </c>
      <c r="P31" s="88">
        <f>'GP% automotive'!$H7</f>
        <v>0.2234438823353104</v>
      </c>
      <c r="Q31" s="88">
        <f>'GP% automotive'!$H7</f>
        <v>0.2234438823353104</v>
      </c>
    </row>
    <row r="32" spans="2:17" x14ac:dyDescent="0.25">
      <c r="B32" s="86" t="s">
        <v>167</v>
      </c>
      <c r="C32" s="89"/>
      <c r="D32" s="89"/>
      <c r="E32" s="89"/>
      <c r="F32" s="89"/>
      <c r="G32" s="88">
        <f>'GP% automotive'!$H8</f>
        <v>0.15641528431156237</v>
      </c>
      <c r="H32" s="88">
        <f>'GP% automotive'!$H8</f>
        <v>0.15641528431156237</v>
      </c>
      <c r="I32" s="88">
        <f>'GP% automotive'!$H8</f>
        <v>0.15641528431156237</v>
      </c>
      <c r="J32" s="88">
        <f>'GP% automotive'!$H8</f>
        <v>0.15641528431156237</v>
      </c>
      <c r="K32" s="88">
        <f>'GP% automotive'!$H8</f>
        <v>0.15641528431156237</v>
      </c>
      <c r="L32" s="88">
        <f>'GP% automotive'!$H8</f>
        <v>0.15641528431156237</v>
      </c>
      <c r="M32" s="88">
        <f>'GP% automotive'!$H8</f>
        <v>0.15641528431156237</v>
      </c>
      <c r="N32" s="88">
        <f>'GP% automotive'!$H8</f>
        <v>0.15641528431156237</v>
      </c>
      <c r="O32" s="88">
        <f>'GP% automotive'!$H8</f>
        <v>0.15641528431156237</v>
      </c>
      <c r="P32" s="88">
        <f>'GP% automotive'!$H8</f>
        <v>0.15641528431156237</v>
      </c>
      <c r="Q32" s="88">
        <f>'GP% automotive'!$H8</f>
        <v>0.15641528431156237</v>
      </c>
    </row>
    <row r="33" spans="2:17" x14ac:dyDescent="0.25">
      <c r="B33" s="86" t="s">
        <v>169</v>
      </c>
      <c r="C33" s="89"/>
      <c r="D33" s="89"/>
      <c r="E33" s="89"/>
      <c r="F33" s="89"/>
      <c r="G33" s="88">
        <f>'GP% automotive'!$H9</f>
        <v>0.44096535458141711</v>
      </c>
      <c r="H33" s="88">
        <f>'GP% automotive'!$H9</f>
        <v>0.44096535458141711</v>
      </c>
      <c r="I33" s="88">
        <f>'GP% automotive'!$H9</f>
        <v>0.44096535458141711</v>
      </c>
      <c r="J33" s="88">
        <f>'GP% automotive'!$H9</f>
        <v>0.44096535458141711</v>
      </c>
      <c r="K33" s="88">
        <f>'GP% automotive'!$H9</f>
        <v>0.44096535458141711</v>
      </c>
      <c r="L33" s="88">
        <f>'GP% automotive'!$H9</f>
        <v>0.44096535458141711</v>
      </c>
      <c r="M33" s="88">
        <f>'GP% automotive'!$H9</f>
        <v>0.44096535458141711</v>
      </c>
      <c r="N33" s="88">
        <f>'GP% automotive'!$H9</f>
        <v>0.44096535458141711</v>
      </c>
      <c r="O33" s="88">
        <f>'GP% automotive'!$H9</f>
        <v>0.44096535458141711</v>
      </c>
      <c r="P33" s="88">
        <f>'GP% automotive'!$H9</f>
        <v>0.44096535458141711</v>
      </c>
      <c r="Q33" s="88">
        <f>'GP% automotive'!$H9</f>
        <v>0.44096535458141711</v>
      </c>
    </row>
    <row r="34" spans="2:17" x14ac:dyDescent="0.25">
      <c r="B34" s="86" t="s">
        <v>168</v>
      </c>
      <c r="C34" s="89"/>
      <c r="D34" s="89"/>
      <c r="E34" s="89"/>
      <c r="F34" s="89"/>
      <c r="G34" s="88">
        <f>'GP% automotive'!$H10</f>
        <v>0.15641528431156237</v>
      </c>
      <c r="H34" s="88">
        <f>'GP% automotive'!$H10</f>
        <v>0.15641528431156237</v>
      </c>
      <c r="I34" s="88">
        <f>'GP% automotive'!$H10</f>
        <v>0.15641528431156237</v>
      </c>
      <c r="J34" s="88">
        <f>'GP% automotive'!$H10</f>
        <v>0.15641528431156237</v>
      </c>
      <c r="K34" s="88">
        <f>'GP% automotive'!$H10</f>
        <v>0.15641528431156237</v>
      </c>
      <c r="L34" s="88">
        <f>'GP% automotive'!$H10</f>
        <v>0.15641528431156237</v>
      </c>
      <c r="M34" s="88">
        <f>'GP% automotive'!$H10</f>
        <v>0.15641528431156237</v>
      </c>
      <c r="N34" s="88">
        <f>'GP% automotive'!$H10</f>
        <v>0.15641528431156237</v>
      </c>
      <c r="O34" s="88">
        <f>'GP% automotive'!$H10</f>
        <v>0.15641528431156237</v>
      </c>
      <c r="P34" s="88">
        <f>'GP% automotive'!$H10</f>
        <v>0.15641528431156237</v>
      </c>
      <c r="Q34" s="88">
        <f>'GP% automotive'!$H10</f>
        <v>0.15641528431156237</v>
      </c>
    </row>
    <row r="35" spans="2:17" x14ac:dyDescent="0.25">
      <c r="B35" s="86" t="s">
        <v>165</v>
      </c>
      <c r="C35" s="89"/>
      <c r="D35" s="89"/>
      <c r="E35" s="89"/>
      <c r="F35" s="89"/>
      <c r="G35" s="88">
        <f>'GP% automotive'!$H11</f>
        <v>0.2021558115740463</v>
      </c>
      <c r="H35" s="88">
        <f>'GP% automotive'!$H11</f>
        <v>0.2021558115740463</v>
      </c>
      <c r="I35" s="88">
        <f>'GP% automotive'!$H11</f>
        <v>0.2021558115740463</v>
      </c>
      <c r="J35" s="88">
        <f>'GP% automotive'!$H11</f>
        <v>0.2021558115740463</v>
      </c>
      <c r="K35" s="88">
        <f>'GP% automotive'!$H11</f>
        <v>0.2021558115740463</v>
      </c>
      <c r="L35" s="88">
        <f>'GP% automotive'!$H11</f>
        <v>0.2021558115740463</v>
      </c>
      <c r="M35" s="88">
        <f>'GP% automotive'!$H11</f>
        <v>0.2021558115740463</v>
      </c>
      <c r="N35" s="88">
        <f>'GP% automotive'!$H11</f>
        <v>0.2021558115740463</v>
      </c>
      <c r="O35" s="88">
        <f>'GP% automotive'!$H11</f>
        <v>0.2021558115740463</v>
      </c>
      <c r="P35" s="88">
        <f>'GP% automotive'!$H11</f>
        <v>0.2021558115740463</v>
      </c>
      <c r="Q35" s="88">
        <f>'GP% automotive'!$H11</f>
        <v>0.2021558115740463</v>
      </c>
    </row>
    <row r="36" spans="2:17" x14ac:dyDescent="0.25">
      <c r="B36" s="86"/>
      <c r="C36" s="89"/>
      <c r="D36" s="89"/>
      <c r="E36" s="89"/>
      <c r="F36" s="89"/>
      <c r="G36" s="89"/>
      <c r="H36" s="89"/>
      <c r="I36" s="87"/>
      <c r="J36" s="87"/>
      <c r="K36" s="87"/>
      <c r="L36" s="87"/>
      <c r="M36" s="87"/>
      <c r="N36" s="87"/>
      <c r="O36" s="87"/>
      <c r="P36" s="87"/>
      <c r="Q36" s="87"/>
    </row>
    <row r="37" spans="2:17" x14ac:dyDescent="0.25">
      <c r="B37" s="85" t="s">
        <v>72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</row>
    <row r="38" spans="2:17" x14ac:dyDescent="0.25">
      <c r="B38" s="86" t="s">
        <v>166</v>
      </c>
      <c r="C38" s="89"/>
      <c r="D38" s="89"/>
      <c r="E38" s="89"/>
      <c r="F38" s="89"/>
      <c r="G38" s="88">
        <f>G30-1.5%</f>
        <v>0.20844388233531042</v>
      </c>
      <c r="H38" s="88">
        <f t="shared" ref="H38:Q38" si="7">H30-1.5%</f>
        <v>0.20844388233531042</v>
      </c>
      <c r="I38" s="88">
        <f t="shared" si="7"/>
        <v>0.20844388233531042</v>
      </c>
      <c r="J38" s="88">
        <f t="shared" si="7"/>
        <v>0.20844388233531042</v>
      </c>
      <c r="K38" s="88">
        <f t="shared" si="7"/>
        <v>0.20844388233531042</v>
      </c>
      <c r="L38" s="88">
        <f t="shared" si="7"/>
        <v>0.20844388233531042</v>
      </c>
      <c r="M38" s="88">
        <f t="shared" si="7"/>
        <v>0.20844388233531042</v>
      </c>
      <c r="N38" s="88">
        <f t="shared" si="7"/>
        <v>0.20844388233531042</v>
      </c>
      <c r="O38" s="88">
        <f t="shared" si="7"/>
        <v>0.20844388233531042</v>
      </c>
      <c r="P38" s="88">
        <f t="shared" si="7"/>
        <v>0.20844388233531042</v>
      </c>
      <c r="Q38" s="88">
        <f t="shared" si="7"/>
        <v>0.20844388233531042</v>
      </c>
    </row>
    <row r="39" spans="2:17" x14ac:dyDescent="0.25">
      <c r="B39" s="86" t="s">
        <v>172</v>
      </c>
      <c r="C39" s="89"/>
      <c r="D39" s="77"/>
      <c r="E39" s="77"/>
      <c r="F39" s="77"/>
      <c r="G39" s="88">
        <f t="shared" ref="G39:Q39" si="8">G31-1.5%</f>
        <v>0.20844388233531042</v>
      </c>
      <c r="H39" s="88">
        <f t="shared" si="8"/>
        <v>0.20844388233531042</v>
      </c>
      <c r="I39" s="88">
        <f t="shared" si="8"/>
        <v>0.20844388233531042</v>
      </c>
      <c r="J39" s="88">
        <f t="shared" si="8"/>
        <v>0.20844388233531042</v>
      </c>
      <c r="K39" s="88">
        <f t="shared" si="8"/>
        <v>0.20844388233531042</v>
      </c>
      <c r="L39" s="88">
        <f t="shared" si="8"/>
        <v>0.20844388233531042</v>
      </c>
      <c r="M39" s="88">
        <f t="shared" si="8"/>
        <v>0.20844388233531042</v>
      </c>
      <c r="N39" s="88">
        <f t="shared" si="8"/>
        <v>0.20844388233531042</v>
      </c>
      <c r="O39" s="88">
        <f t="shared" si="8"/>
        <v>0.20844388233531042</v>
      </c>
      <c r="P39" s="88">
        <f t="shared" si="8"/>
        <v>0.20844388233531042</v>
      </c>
      <c r="Q39" s="88">
        <f t="shared" si="8"/>
        <v>0.20844388233531042</v>
      </c>
    </row>
    <row r="40" spans="2:17" x14ac:dyDescent="0.25">
      <c r="B40" s="86" t="s">
        <v>167</v>
      </c>
      <c r="C40" s="89"/>
      <c r="D40" s="89"/>
      <c r="E40" s="89"/>
      <c r="F40" s="89"/>
      <c r="G40" s="88">
        <f t="shared" ref="G40:Q40" si="9">G32-1.5%</f>
        <v>0.14141528431156236</v>
      </c>
      <c r="H40" s="88">
        <f t="shared" si="9"/>
        <v>0.14141528431156236</v>
      </c>
      <c r="I40" s="88">
        <f t="shared" si="9"/>
        <v>0.14141528431156236</v>
      </c>
      <c r="J40" s="88">
        <f t="shared" si="9"/>
        <v>0.14141528431156236</v>
      </c>
      <c r="K40" s="88">
        <f t="shared" si="9"/>
        <v>0.14141528431156236</v>
      </c>
      <c r="L40" s="88">
        <f t="shared" si="9"/>
        <v>0.14141528431156236</v>
      </c>
      <c r="M40" s="88">
        <f t="shared" si="9"/>
        <v>0.14141528431156236</v>
      </c>
      <c r="N40" s="88">
        <f t="shared" si="9"/>
        <v>0.14141528431156236</v>
      </c>
      <c r="O40" s="88">
        <f t="shared" si="9"/>
        <v>0.14141528431156236</v>
      </c>
      <c r="P40" s="88">
        <f t="shared" si="9"/>
        <v>0.14141528431156236</v>
      </c>
      <c r="Q40" s="88">
        <f t="shared" si="9"/>
        <v>0.14141528431156236</v>
      </c>
    </row>
    <row r="41" spans="2:17" x14ac:dyDescent="0.25">
      <c r="B41" s="86" t="s">
        <v>169</v>
      </c>
      <c r="C41" s="89"/>
      <c r="D41" s="89"/>
      <c r="E41" s="89"/>
      <c r="F41" s="89"/>
      <c r="G41" s="88">
        <f t="shared" ref="G41:Q41" si="10">G33-1.5%</f>
        <v>0.4259653545814171</v>
      </c>
      <c r="H41" s="88">
        <f t="shared" si="10"/>
        <v>0.4259653545814171</v>
      </c>
      <c r="I41" s="88">
        <f t="shared" si="10"/>
        <v>0.4259653545814171</v>
      </c>
      <c r="J41" s="88">
        <f t="shared" si="10"/>
        <v>0.4259653545814171</v>
      </c>
      <c r="K41" s="88">
        <f t="shared" si="10"/>
        <v>0.4259653545814171</v>
      </c>
      <c r="L41" s="88">
        <f t="shared" si="10"/>
        <v>0.4259653545814171</v>
      </c>
      <c r="M41" s="88">
        <f t="shared" si="10"/>
        <v>0.4259653545814171</v>
      </c>
      <c r="N41" s="88">
        <f t="shared" si="10"/>
        <v>0.4259653545814171</v>
      </c>
      <c r="O41" s="88">
        <f t="shared" si="10"/>
        <v>0.4259653545814171</v>
      </c>
      <c r="P41" s="88">
        <f t="shared" si="10"/>
        <v>0.4259653545814171</v>
      </c>
      <c r="Q41" s="88">
        <f t="shared" si="10"/>
        <v>0.4259653545814171</v>
      </c>
    </row>
    <row r="42" spans="2:17" x14ac:dyDescent="0.25">
      <c r="B42" s="86" t="s">
        <v>168</v>
      </c>
      <c r="C42" s="89"/>
      <c r="D42" s="89"/>
      <c r="E42" s="89"/>
      <c r="F42" s="89"/>
      <c r="G42" s="88">
        <f t="shared" ref="G42:Q42" si="11">G34-1.5%</f>
        <v>0.14141528431156236</v>
      </c>
      <c r="H42" s="88">
        <f t="shared" si="11"/>
        <v>0.14141528431156236</v>
      </c>
      <c r="I42" s="88">
        <f t="shared" si="11"/>
        <v>0.14141528431156236</v>
      </c>
      <c r="J42" s="88">
        <f t="shared" si="11"/>
        <v>0.14141528431156236</v>
      </c>
      <c r="K42" s="88">
        <f t="shared" si="11"/>
        <v>0.14141528431156236</v>
      </c>
      <c r="L42" s="88">
        <f t="shared" si="11"/>
        <v>0.14141528431156236</v>
      </c>
      <c r="M42" s="88">
        <f t="shared" si="11"/>
        <v>0.14141528431156236</v>
      </c>
      <c r="N42" s="88">
        <f t="shared" si="11"/>
        <v>0.14141528431156236</v>
      </c>
      <c r="O42" s="88">
        <f t="shared" si="11"/>
        <v>0.14141528431156236</v>
      </c>
      <c r="P42" s="88">
        <f t="shared" si="11"/>
        <v>0.14141528431156236</v>
      </c>
      <c r="Q42" s="88">
        <f t="shared" si="11"/>
        <v>0.14141528431156236</v>
      </c>
    </row>
    <row r="43" spans="2:17" x14ac:dyDescent="0.25">
      <c r="B43" s="86" t="s">
        <v>165</v>
      </c>
      <c r="C43" s="89"/>
      <c r="D43" s="89"/>
      <c r="E43" s="89"/>
      <c r="F43" s="89"/>
      <c r="G43" s="88">
        <f t="shared" ref="G43:Q43" si="12">G35-1.5%</f>
        <v>0.18715581157404632</v>
      </c>
      <c r="H43" s="88">
        <f t="shared" si="12"/>
        <v>0.18715581157404632</v>
      </c>
      <c r="I43" s="88">
        <f t="shared" si="12"/>
        <v>0.18715581157404632</v>
      </c>
      <c r="J43" s="88">
        <f t="shared" si="12"/>
        <v>0.18715581157404632</v>
      </c>
      <c r="K43" s="88">
        <f t="shared" si="12"/>
        <v>0.18715581157404632</v>
      </c>
      <c r="L43" s="88">
        <f t="shared" si="12"/>
        <v>0.18715581157404632</v>
      </c>
      <c r="M43" s="88">
        <f t="shared" si="12"/>
        <v>0.18715581157404632</v>
      </c>
      <c r="N43" s="88">
        <f t="shared" si="12"/>
        <v>0.18715581157404632</v>
      </c>
      <c r="O43" s="88">
        <f t="shared" si="12"/>
        <v>0.18715581157404632</v>
      </c>
      <c r="P43" s="88">
        <f t="shared" si="12"/>
        <v>0.18715581157404632</v>
      </c>
      <c r="Q43" s="88">
        <f t="shared" si="12"/>
        <v>0.18715581157404632</v>
      </c>
    </row>
    <row r="44" spans="2:17" x14ac:dyDescent="0.25">
      <c r="B44" s="86"/>
      <c r="C44" s="89"/>
      <c r="D44" s="89"/>
      <c r="E44" s="89"/>
      <c r="F44" s="89"/>
      <c r="G44" s="86"/>
      <c r="H44" s="89"/>
      <c r="I44" s="87"/>
      <c r="J44" s="87"/>
      <c r="K44" s="87"/>
      <c r="L44" s="87"/>
      <c r="M44" s="87"/>
      <c r="N44" s="87"/>
      <c r="O44" s="87"/>
      <c r="P44" s="87"/>
      <c r="Q44" s="87"/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Q1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1.4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7" width="10.33203125" style="8" customWidth="1"/>
    <col min="8" max="8" width="10.33203125" style="8" bestFit="1" customWidth="1"/>
    <col min="9" max="12" width="10.44140625" style="8" bestFit="1" customWidth="1"/>
    <col min="13" max="16384" width="9.109375" style="8"/>
  </cols>
  <sheetData>
    <row r="1" spans="1:17" ht="15.6" x14ac:dyDescent="0.25">
      <c r="A1" s="1"/>
      <c r="B1" s="2" t="s">
        <v>209</v>
      </c>
    </row>
    <row r="2" spans="1:17" ht="15.6" x14ac:dyDescent="0.25">
      <c r="A2" s="1"/>
      <c r="B2" s="2"/>
    </row>
    <row r="3" spans="1:17" ht="12" x14ac:dyDescent="0.25">
      <c r="C3" s="236" t="s">
        <v>327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5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5">
      <c r="B5" s="8" t="s">
        <v>166</v>
      </c>
      <c r="C5" s="72" t="s">
        <v>64</v>
      </c>
      <c r="D5" s="72" t="s">
        <v>64</v>
      </c>
      <c r="E5" s="72" t="s">
        <v>64</v>
      </c>
      <c r="F5" s="72" t="s">
        <v>64</v>
      </c>
      <c r="G5" s="72" t="s">
        <v>64</v>
      </c>
      <c r="H5" s="84">
        <f>-('Revenue automotive'!H5-'GP automotive'!H5)</f>
        <v>-20241.572210736413</v>
      </c>
      <c r="I5" s="84">
        <f>-('Revenue automotive'!I5-'GP automotive'!I5)</f>
        <v>-22265.729431810058</v>
      </c>
      <c r="J5" s="84">
        <f>-('Revenue automotive'!J5-'GP automotive'!J5)</f>
        <v>-24492.302374991064</v>
      </c>
      <c r="K5" s="84">
        <f>-('Revenue automotive'!K5-'GP automotive'!K5)</f>
        <v>-26451.686564990352</v>
      </c>
      <c r="L5" s="84">
        <f>-('Revenue automotive'!L5-'GP automotive'!L5)</f>
        <v>-28567.821490189577</v>
      </c>
      <c r="M5" s="84">
        <f>-('Revenue automotive'!M5-'GP automotive'!M5)</f>
        <v>-29710.53434979717</v>
      </c>
      <c r="N5" s="84">
        <f>-('Revenue automotive'!N5-'GP automotive'!N5)</f>
        <v>-30898.955723789051</v>
      </c>
      <c r="O5" s="84">
        <f>-('Revenue automotive'!O5-'GP automotive'!O5)</f>
        <v>-32134.913952740619</v>
      </c>
      <c r="P5" s="84">
        <f>-('Revenue automotive'!P5-'GP automotive'!P5)</f>
        <v>-33420.310510850242</v>
      </c>
      <c r="Q5" s="84">
        <f>-('Revenue automotive'!Q5-'GP automotive'!Q5)</f>
        <v>-34757.122931284255</v>
      </c>
    </row>
    <row r="6" spans="1:17" x14ac:dyDescent="0.25">
      <c r="B6" s="8" t="s">
        <v>172</v>
      </c>
      <c r="C6" s="72" t="s">
        <v>64</v>
      </c>
      <c r="D6" s="72" t="s">
        <v>64</v>
      </c>
      <c r="E6" s="72" t="s">
        <v>64</v>
      </c>
      <c r="F6" s="72" t="s">
        <v>64</v>
      </c>
      <c r="G6" s="72" t="s">
        <v>64</v>
      </c>
      <c r="H6" s="84">
        <f>-('Revenue automotive'!H6-'GP automotive'!H6)</f>
        <v>-5471.4167101855246</v>
      </c>
      <c r="I6" s="84">
        <f>-('Revenue automotive'!I6-'GP automotive'!I6)</f>
        <v>-5690.2733785929468</v>
      </c>
      <c r="J6" s="84">
        <f>-('Revenue automotive'!J6-'GP automotive'!J6)</f>
        <v>-5917.8843137366639</v>
      </c>
      <c r="K6" s="84">
        <f>-('Revenue automotive'!K6-'GP automotive'!K6)</f>
        <v>-6154.5996862861311</v>
      </c>
      <c r="L6" s="84">
        <f>-('Revenue automotive'!L6-'GP automotive'!L6)</f>
        <v>-6400.7836737375756</v>
      </c>
      <c r="M6" s="84">
        <f>-('Revenue automotive'!M6-'GP automotive'!M6)</f>
        <v>-6656.8150206870796</v>
      </c>
      <c r="N6" s="84">
        <f>-('Revenue automotive'!N6-'GP automotive'!N6)</f>
        <v>-6923.0876215145618</v>
      </c>
      <c r="O6" s="84">
        <f>-('Revenue automotive'!O6-'GP automotive'!O6)</f>
        <v>-7200.0111263751469</v>
      </c>
      <c r="P6" s="84">
        <f>-('Revenue automotive'!P6-'GP automotive'!P6)</f>
        <v>-7488.011571430151</v>
      </c>
      <c r="Q6" s="84">
        <f>-('Revenue automotive'!Q6-'GP automotive'!Q6)</f>
        <v>-7787.5320342873583</v>
      </c>
    </row>
    <row r="7" spans="1:17" x14ac:dyDescent="0.25">
      <c r="B7" s="8" t="s">
        <v>167</v>
      </c>
      <c r="C7" s="72">
        <v>0</v>
      </c>
      <c r="D7" s="72">
        <v>0</v>
      </c>
      <c r="E7" s="72">
        <v>0</v>
      </c>
      <c r="F7" s="72">
        <v>0</v>
      </c>
      <c r="G7" s="83">
        <f>-('Revenue automotive'!G7-'GP automotive'!G7)</f>
        <v>0</v>
      </c>
      <c r="H7" s="84">
        <f>-('Revenue automotive'!H7-'GP automotive'!H7)</f>
        <v>-90.773089746938638</v>
      </c>
      <c r="I7" s="84">
        <f>-('Revenue automotive'!I7-'GP automotive'!I7)</f>
        <v>-7515.7957046423599</v>
      </c>
      <c r="J7" s="84">
        <f>-('Revenue automotive'!J7-'GP automotive'!J7)</f>
        <v>-15479.539111238859</v>
      </c>
      <c r="K7" s="84">
        <f>-('Revenue automotive'!K7-'GP automotive'!K7)</f>
        <v>-24767.262577982176</v>
      </c>
      <c r="L7" s="84">
        <f>-('Revenue automotive'!L7-'GP automotive'!L7)</f>
        <v>-27243.988835780394</v>
      </c>
      <c r="M7" s="84">
        <f>-('Revenue automotive'!M7-'GP automotive'!M7)</f>
        <v>-29968.387719358441</v>
      </c>
      <c r="N7" s="84">
        <f>-('Revenue automotive'!N7-'GP automotive'!N7)</f>
        <v>-32365.858736907114</v>
      </c>
      <c r="O7" s="84">
        <f>-('Revenue automotive'!O7-'GP automotive'!O7)</f>
        <v>-34955.127435859686</v>
      </c>
      <c r="P7" s="84">
        <f>-('Revenue automotive'!P7-'GP automotive'!P7)</f>
        <v>-36353.332533294073</v>
      </c>
      <c r="Q7" s="84">
        <f>-('Revenue automotive'!Q7-'GP automotive'!Q7)</f>
        <v>-37807.465834625837</v>
      </c>
    </row>
    <row r="8" spans="1:17" x14ac:dyDescent="0.25">
      <c r="B8" s="8" t="s">
        <v>169</v>
      </c>
      <c r="C8" s="72">
        <v>0</v>
      </c>
      <c r="D8" s="72">
        <v>0</v>
      </c>
      <c r="E8" s="72">
        <v>0</v>
      </c>
      <c r="F8" s="72">
        <v>0</v>
      </c>
      <c r="G8" s="83">
        <f>-('Revenue automotive'!G8-'GP automotive'!G8)</f>
        <v>0</v>
      </c>
      <c r="H8" s="84">
        <f>-('Revenue automotive'!H8-'GP automotive'!H8)</f>
        <v>0</v>
      </c>
      <c r="I8" s="84">
        <f>-('Revenue automotive'!I8-'GP automotive'!I8)</f>
        <v>0</v>
      </c>
      <c r="J8" s="84">
        <f>-('Revenue automotive'!J8-'GP automotive'!J8)</f>
        <v>-62.891397609590577</v>
      </c>
      <c r="K8" s="84">
        <f>-('Revenue automotive'!K8-'GP automotive'!K8)</f>
        <v>-125.78279521918115</v>
      </c>
      <c r="L8" s="84">
        <f>-('Revenue automotive'!L8-'GP automotive'!L8)</f>
        <v>-188.67419282877174</v>
      </c>
      <c r="M8" s="84">
        <f>-('Revenue automotive'!M8-'GP automotive'!M8)</f>
        <v>-207.54161211164893</v>
      </c>
      <c r="N8" s="84">
        <f>-('Revenue automotive'!N8-'GP automotive'!N8)</f>
        <v>-228.29577332281386</v>
      </c>
      <c r="O8" s="84">
        <f>-('Revenue automotive'!O8-'GP automotive'!O8)</f>
        <v>-246.55943518863899</v>
      </c>
      <c r="P8" s="84">
        <f>-('Revenue automotive'!P8-'GP automotive'!P8)</f>
        <v>-266.28419000373015</v>
      </c>
      <c r="Q8" s="84">
        <f>-('Revenue automotive'!Q8-'GP automotive'!Q8)</f>
        <v>-276.93555760387937</v>
      </c>
    </row>
    <row r="9" spans="1:17" x14ac:dyDescent="0.25">
      <c r="B9" s="8" t="s">
        <v>168</v>
      </c>
      <c r="C9" s="72">
        <v>0</v>
      </c>
      <c r="D9" s="72">
        <v>0</v>
      </c>
      <c r="E9" s="72">
        <v>0</v>
      </c>
      <c r="F9" s="72">
        <v>0</v>
      </c>
      <c r="G9" s="83">
        <f>-('Revenue automotive'!G9-'GP automotive'!G9)</f>
        <v>0</v>
      </c>
      <c r="H9" s="84">
        <f>-('Revenue automotive'!H9-'GP automotive'!H9)</f>
        <v>0</v>
      </c>
      <c r="I9" s="84">
        <f>-('Revenue automotive'!I9-'GP automotive'!I9)</f>
        <v>-12.31633684905119</v>
      </c>
      <c r="J9" s="84">
        <f>-('Revenue automotive'!J9-'GP automotive'!J9)</f>
        <v>-1019.7633664898933</v>
      </c>
      <c r="K9" s="84">
        <f>-('Revenue automotive'!K9-'GP automotive'!K9)</f>
        <v>-2100.3054814327293</v>
      </c>
      <c r="L9" s="84">
        <f>-('Revenue automotive'!L9-'GP automotive'!L9)</f>
        <v>-3360.4887702923666</v>
      </c>
      <c r="M9" s="84">
        <f>-('Revenue automotive'!M9-'GP automotive'!M9)</f>
        <v>-3696.5376473216038</v>
      </c>
      <c r="N9" s="84">
        <f>-('Revenue automotive'!N9-'GP automotive'!N9)</f>
        <v>-4066.191412053764</v>
      </c>
      <c r="O9" s="84">
        <f>-('Revenue automotive'!O9-'GP automotive'!O9)</f>
        <v>-4391.486725018066</v>
      </c>
      <c r="P9" s="84">
        <f>-('Revenue automotive'!P9-'GP automotive'!P9)</f>
        <v>-4742.8056630195124</v>
      </c>
      <c r="Q9" s="84">
        <f>-('Revenue automotive'!Q9-'GP automotive'!Q9)</f>
        <v>-4932.5178895402933</v>
      </c>
    </row>
    <row r="10" spans="1:17" x14ac:dyDescent="0.25">
      <c r="B10" s="8" t="s">
        <v>165</v>
      </c>
      <c r="C10" s="72">
        <v>0</v>
      </c>
      <c r="D10" s="72">
        <v>0</v>
      </c>
      <c r="E10" s="72">
        <v>0</v>
      </c>
      <c r="F10" s="72">
        <v>0</v>
      </c>
      <c r="G10" s="83">
        <f>-('Revenue automotive'!G10-'GP automotive'!G10)</f>
        <v>0</v>
      </c>
      <c r="H10" s="84">
        <f>-('Revenue automotive'!H10-'GP automotive'!H10)</f>
        <v>0</v>
      </c>
      <c r="I10" s="84">
        <f>-('Revenue automotive'!I10-'GP automotive'!I10)</f>
        <v>-34.905683243635472</v>
      </c>
      <c r="J10" s="84">
        <f>-('Revenue automotive'!J10-'GP automotive'!J10)</f>
        <v>-2890.1074638033897</v>
      </c>
      <c r="K10" s="84">
        <f>-('Revenue automotive'!K10-'GP automotive'!K10)</f>
        <v>-5952.4677465613422</v>
      </c>
      <c r="L10" s="84">
        <f>-('Revenue automotive'!L10-'GP automotive'!L10)</f>
        <v>-9523.9483944981475</v>
      </c>
      <c r="M10" s="84">
        <f>-('Revenue automotive'!M10-'GP automotive'!M10)</f>
        <v>-10476.343233947962</v>
      </c>
      <c r="N10" s="84">
        <f>-('Revenue automotive'!N10-'GP automotive'!N10)</f>
        <v>-11523.977557342761</v>
      </c>
      <c r="O10" s="84">
        <f>-('Revenue automotive'!O10-'GP automotive'!O10)</f>
        <v>-12445.895761930182</v>
      </c>
      <c r="P10" s="84">
        <f>-('Revenue automotive'!P10-'GP automotive'!P10)</f>
        <v>-13441.5674228846</v>
      </c>
      <c r="Q10" s="84">
        <f>-('Revenue automotive'!Q10-'GP automotive'!Q10)</f>
        <v>-13979.230119799986</v>
      </c>
    </row>
    <row r="11" spans="1:17" ht="12.6" thickBot="1" x14ac:dyDescent="0.3">
      <c r="B11" s="108" t="s">
        <v>68</v>
      </c>
      <c r="C11" s="114">
        <f>'P&amp;L Input'!C8/1000</f>
        <v>-2823.3020000000001</v>
      </c>
      <c r="D11" s="114">
        <f>'P&amp;L Input'!D8/1000</f>
        <v>-4750.0810000000001</v>
      </c>
      <c r="E11" s="114">
        <f>'P&amp;L Input'!E8/1000</f>
        <v>-7432.7039999999997</v>
      </c>
      <c r="F11" s="114">
        <f>'P&amp;L Input'!F8/1000</f>
        <v>-14173.996999999999</v>
      </c>
      <c r="G11" s="114">
        <f>-('Revenue automotive'!G11-'GP automotive'!G11)</f>
        <v>-16398</v>
      </c>
      <c r="H11" s="114">
        <f t="shared" ref="H11:L11" si="0">SUM(H5:H10)</f>
        <v>-25803.762010668874</v>
      </c>
      <c r="I11" s="114">
        <f t="shared" si="0"/>
        <v>-35519.02053513805</v>
      </c>
      <c r="J11" s="114">
        <f t="shared" si="0"/>
        <v>-49862.488027869469</v>
      </c>
      <c r="K11" s="114">
        <f t="shared" si="0"/>
        <v>-65552.104852471908</v>
      </c>
      <c r="L11" s="114">
        <f t="shared" si="0"/>
        <v>-75285.705357326835</v>
      </c>
      <c r="M11" s="114">
        <f>SUM(M5:M10)</f>
        <v>-80716.159583223896</v>
      </c>
      <c r="N11" s="114">
        <f>SUM(N5:N10)</f>
        <v>-86006.366824930068</v>
      </c>
      <c r="O11" s="114">
        <f>SUM(O5:O10)</f>
        <v>-91373.994437112342</v>
      </c>
      <c r="P11" s="114">
        <f>SUM(P5:P10)</f>
        <v>-95712.311891482299</v>
      </c>
      <c r="Q11" s="114">
        <f>SUM(Q5:Q10)</f>
        <v>-99540.804367141609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P9"/>
  <sheetViews>
    <sheetView workbookViewId="0">
      <selection activeCell="C4" sqref="C4"/>
    </sheetView>
  </sheetViews>
  <sheetFormatPr defaultColWidth="9.109375" defaultRowHeight="11.4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7" width="10.33203125" style="8" bestFit="1" customWidth="1"/>
    <col min="8" max="11" width="10.44140625" style="8" bestFit="1" customWidth="1"/>
    <col min="12" max="16384" width="9.109375" style="8"/>
  </cols>
  <sheetData>
    <row r="1" spans="1:16" ht="15.6" x14ac:dyDescent="0.25">
      <c r="A1" s="1"/>
      <c r="B1" s="2" t="s">
        <v>279</v>
      </c>
    </row>
    <row r="2" spans="1:16" ht="15.6" x14ac:dyDescent="0.25">
      <c r="A2" s="1"/>
      <c r="B2" s="2"/>
    </row>
    <row r="3" spans="1:16" ht="24" x14ac:dyDescent="0.25">
      <c r="A3" s="1"/>
      <c r="B3" s="36" t="s">
        <v>163</v>
      </c>
      <c r="C3" s="6" t="s">
        <v>47</v>
      </c>
      <c r="D3" s="6" t="s">
        <v>157</v>
      </c>
      <c r="E3" s="6" t="s">
        <v>329</v>
      </c>
      <c r="F3" s="6" t="s">
        <v>328</v>
      </c>
      <c r="G3" s="92" t="s">
        <v>175</v>
      </c>
      <c r="H3" s="92" t="s">
        <v>176</v>
      </c>
      <c r="I3" s="92" t="s">
        <v>177</v>
      </c>
      <c r="J3" s="92" t="s">
        <v>178</v>
      </c>
      <c r="K3" s="92" t="s">
        <v>253</v>
      </c>
      <c r="L3" s="92" t="s">
        <v>254</v>
      </c>
      <c r="M3" s="92" t="s">
        <v>255</v>
      </c>
      <c r="N3" s="92" t="s">
        <v>256</v>
      </c>
      <c r="O3" s="92" t="s">
        <v>257</v>
      </c>
      <c r="P3" s="92" t="s">
        <v>333</v>
      </c>
    </row>
    <row r="4" spans="1:16" x14ac:dyDescent="0.25">
      <c r="B4" s="8" t="s">
        <v>280</v>
      </c>
      <c r="C4" s="83">
        <f>'Revenue automotive'!C11</f>
        <v>3740.973</v>
      </c>
      <c r="D4" s="83">
        <f>'Revenue automotive'!D11</f>
        <v>6350.7659999999996</v>
      </c>
      <c r="E4" s="83">
        <f>'Revenue automotive'!E11</f>
        <v>9641.3000000000011</v>
      </c>
      <c r="F4" s="150">
        <f>'Revenue automotive'!F11</f>
        <v>18514.983</v>
      </c>
      <c r="G4" s="84">
        <f>'Revenue automotive'!H11</f>
        <v>33219.169714333329</v>
      </c>
      <c r="H4" s="84">
        <f>'Revenue automotive'!I11</f>
        <v>44967.682560506662</v>
      </c>
      <c r="I4" s="84">
        <f>'Revenue automotive'!J11</f>
        <v>62453.77687371552</v>
      </c>
      <c r="J4" s="84">
        <f>'Revenue automotive'!K11</f>
        <v>81523.291482834262</v>
      </c>
      <c r="K4" s="84">
        <f>'Revenue automotive'!L11</f>
        <v>93584.048102425513</v>
      </c>
      <c r="L4" s="84">
        <f>'Revenue automotive'!M11</f>
        <v>100240.63103256337</v>
      </c>
      <c r="M4" s="84">
        <f>'Revenue automotive'!N11</f>
        <v>106744.2984157108</v>
      </c>
      <c r="N4" s="84">
        <f>'Revenue automotive'!O11</f>
        <v>113335.6485919535</v>
      </c>
      <c r="O4" s="84">
        <f>'Revenue automotive'!P11</f>
        <v>118718.9223837296</v>
      </c>
      <c r="P4" s="84">
        <f>'Revenue automotive'!Q11</f>
        <v>123467.67927907882</v>
      </c>
    </row>
    <row r="5" spans="1:16" x14ac:dyDescent="0.25">
      <c r="B5" s="8" t="s">
        <v>281</v>
      </c>
      <c r="C5" s="83">
        <f>'GP automotive'!C11</f>
        <v>917.67100000000005</v>
      </c>
      <c r="D5" s="83">
        <f>'GP automotive'!D11</f>
        <v>1600.6849999999999</v>
      </c>
      <c r="E5" s="83">
        <f>'GP automotive'!E11</f>
        <v>2208.596</v>
      </c>
      <c r="F5" s="150">
        <f>'GP automotive'!F11</f>
        <v>4340.9859999999999</v>
      </c>
      <c r="G5" s="84">
        <f>'GP automotive'!H11</f>
        <v>7415.4077036644558</v>
      </c>
      <c r="H5" s="84">
        <f>'GP automotive'!I11</f>
        <v>9448.6620253686197</v>
      </c>
      <c r="I5" s="84">
        <f>'GP automotive'!J11</f>
        <v>12591.288845846053</v>
      </c>
      <c r="J5" s="84">
        <f>'GP automotive'!K11</f>
        <v>15971.186630362348</v>
      </c>
      <c r="K5" s="84">
        <f>'GP automotive'!L11</f>
        <v>18298.342745098678</v>
      </c>
      <c r="L5" s="84">
        <f>'GP automotive'!M11</f>
        <v>19524.471449339468</v>
      </c>
      <c r="M5" s="84">
        <f>'GP automotive'!N11</f>
        <v>20737.931590780732</v>
      </c>
      <c r="N5" s="84">
        <f>'GP automotive'!O11</f>
        <v>21961.654154841166</v>
      </c>
      <c r="O5" s="84">
        <f>'GP automotive'!P11</f>
        <v>23006.610492247291</v>
      </c>
      <c r="P5" s="84">
        <f>'GP automotive'!Q11</f>
        <v>23926.874911937193</v>
      </c>
    </row>
    <row r="6" spans="1:16" x14ac:dyDescent="0.25">
      <c r="B6" s="8" t="s">
        <v>207</v>
      </c>
      <c r="C6" s="192">
        <f>C5/C4</f>
        <v>0.24530275946926108</v>
      </c>
      <c r="D6" s="192">
        <f>D5/D4</f>
        <v>0.25204597366679865</v>
      </c>
      <c r="E6" s="192">
        <f>E5/E4</f>
        <v>0.22907657681018118</v>
      </c>
      <c r="F6" s="192">
        <f>F5/F4</f>
        <v>0.23445800625363791</v>
      </c>
      <c r="G6" s="199">
        <f t="shared" ref="G6:P6" si="0">G5/G4</f>
        <v>0.2232267623613986</v>
      </c>
      <c r="H6" s="199">
        <f t="shared" si="0"/>
        <v>0.21012116896739985</v>
      </c>
      <c r="I6" s="199">
        <f t="shared" si="0"/>
        <v>0.20160972604276972</v>
      </c>
      <c r="J6" s="199">
        <f t="shared" si="0"/>
        <v>0.19590949212011735</v>
      </c>
      <c r="K6" s="199">
        <f t="shared" si="0"/>
        <v>0.1955284379777158</v>
      </c>
      <c r="L6" s="199">
        <f t="shared" si="0"/>
        <v>0.19477602293821258</v>
      </c>
      <c r="M6" s="199">
        <f t="shared" si="0"/>
        <v>0.19427671452781303</v>
      </c>
      <c r="N6" s="199">
        <f t="shared" si="0"/>
        <v>0.19377534277772138</v>
      </c>
      <c r="O6" s="199">
        <f t="shared" si="0"/>
        <v>0.1937905940376051</v>
      </c>
      <c r="P6" s="199">
        <f t="shared" si="0"/>
        <v>0.19379059403760512</v>
      </c>
    </row>
    <row r="7" spans="1:16" x14ac:dyDescent="0.25">
      <c r="J7" s="34"/>
      <c r="K7" s="34"/>
      <c r="L7" s="34"/>
      <c r="M7" s="34"/>
      <c r="N7" s="34"/>
      <c r="O7" s="34"/>
      <c r="P7" s="34"/>
    </row>
    <row r="8" spans="1:16" x14ac:dyDescent="0.25">
      <c r="J8" s="34"/>
      <c r="K8" s="34"/>
      <c r="L8" s="34"/>
      <c r="M8" s="34"/>
      <c r="N8" s="34"/>
      <c r="O8" s="34"/>
      <c r="P8" s="34"/>
    </row>
    <row r="9" spans="1:16" x14ac:dyDescent="0.25">
      <c r="J9" s="34"/>
      <c r="K9" s="34"/>
      <c r="L9" s="34"/>
      <c r="M9" s="34"/>
      <c r="N9" s="34"/>
      <c r="O9" s="34"/>
      <c r="P9" s="34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Q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1.4" x14ac:dyDescent="0.25"/>
  <cols>
    <col min="1" max="1" width="2" style="8" customWidth="1"/>
    <col min="2" max="2" width="28" style="8" customWidth="1"/>
    <col min="3" max="12" width="9.6640625" style="8" customWidth="1"/>
    <col min="13" max="16384" width="9.109375" style="8"/>
  </cols>
  <sheetData>
    <row r="1" spans="1:17" ht="15.6" x14ac:dyDescent="0.25">
      <c r="A1" s="1"/>
      <c r="B1" s="2" t="s">
        <v>236</v>
      </c>
    </row>
    <row r="2" spans="1:17" ht="15.6" x14ac:dyDescent="0.25">
      <c r="A2" s="1"/>
      <c r="B2" s="2"/>
    </row>
    <row r="3" spans="1:17" ht="12" x14ac:dyDescent="0.25">
      <c r="C3" s="236" t="s">
        <v>312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5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5">
      <c r="B5" s="8" t="s">
        <v>3</v>
      </c>
      <c r="C5" s="83">
        <f>'P&amp;L Input'!C5/1000</f>
        <v>14.477</v>
      </c>
      <c r="D5" s="83">
        <f>'P&amp;L Input'!D5/1000</f>
        <v>181.39400000000001</v>
      </c>
      <c r="E5" s="83">
        <f>'P&amp;L Input'!E5/1000</f>
        <v>1116.2660000000001</v>
      </c>
      <c r="F5" s="83">
        <f>'P&amp;L Input'!F5/1000</f>
        <v>1555.2439999999999</v>
      </c>
      <c r="G5" s="83">
        <f>'P&amp;L Input'!G5/1000</f>
        <v>1531</v>
      </c>
      <c r="H5" s="73" t="s">
        <v>64</v>
      </c>
      <c r="I5" s="73" t="s">
        <v>64</v>
      </c>
      <c r="J5" s="73" t="s">
        <v>64</v>
      </c>
      <c r="K5" s="73" t="s">
        <v>64</v>
      </c>
      <c r="L5" s="73" t="s">
        <v>64</v>
      </c>
      <c r="M5" s="73" t="s">
        <v>64</v>
      </c>
      <c r="N5" s="73" t="s">
        <v>64</v>
      </c>
      <c r="O5" s="73" t="s">
        <v>64</v>
      </c>
      <c r="P5" s="73" t="s">
        <v>64</v>
      </c>
      <c r="Q5" s="73" t="s">
        <v>64</v>
      </c>
    </row>
    <row r="6" spans="1:17" x14ac:dyDescent="0.25">
      <c r="B6" s="8" t="s">
        <v>2</v>
      </c>
      <c r="C6" s="83">
        <f>'P&amp;L Input'!C6/1000</f>
        <v>290.57499999999999</v>
      </c>
      <c r="D6" s="83">
        <f>'P&amp;L Input'!D6/1000</f>
        <v>467.97199999999998</v>
      </c>
      <c r="E6" s="83">
        <f>'P&amp;L Input'!E6/1000</f>
        <v>1001.1849999999999</v>
      </c>
      <c r="F6" s="83">
        <f>'P&amp;L Input'!F6/1000</f>
        <v>1391.0409999999999</v>
      </c>
      <c r="G6" s="83">
        <f>'P&amp;L Input'!G6/1000</f>
        <v>2226</v>
      </c>
      <c r="H6" s="73" t="s">
        <v>64</v>
      </c>
      <c r="I6" s="73" t="s">
        <v>64</v>
      </c>
      <c r="J6" s="73" t="s">
        <v>64</v>
      </c>
      <c r="K6" s="73" t="s">
        <v>64</v>
      </c>
      <c r="L6" s="73" t="s">
        <v>64</v>
      </c>
      <c r="M6" s="73" t="s">
        <v>64</v>
      </c>
      <c r="N6" s="73" t="s">
        <v>64</v>
      </c>
      <c r="O6" s="73" t="s">
        <v>64</v>
      </c>
      <c r="P6" s="73" t="s">
        <v>64</v>
      </c>
      <c r="Q6" s="73" t="s">
        <v>64</v>
      </c>
    </row>
    <row r="7" spans="1:17" ht="12" x14ac:dyDescent="0.25">
      <c r="B7" s="9" t="s">
        <v>203</v>
      </c>
      <c r="C7" s="99">
        <f t="shared" ref="C7:G7" si="0">SUM(C5:C6)</f>
        <v>305.05199999999996</v>
      </c>
      <c r="D7" s="99">
        <f t="shared" si="0"/>
        <v>649.36599999999999</v>
      </c>
      <c r="E7" s="99">
        <f t="shared" si="0"/>
        <v>2117.451</v>
      </c>
      <c r="F7" s="99">
        <f t="shared" si="0"/>
        <v>2946.2849999999999</v>
      </c>
      <c r="G7" s="99">
        <f t="shared" si="0"/>
        <v>3757</v>
      </c>
      <c r="H7" s="100">
        <f t="shared" ref="H7:Q7" si="1">G7*(1+H10)</f>
        <v>4433.26</v>
      </c>
      <c r="I7" s="100">
        <f t="shared" si="1"/>
        <v>4965.2512000000006</v>
      </c>
      <c r="J7" s="100">
        <f t="shared" si="1"/>
        <v>5362.4712960000006</v>
      </c>
      <c r="K7" s="100">
        <f t="shared" si="1"/>
        <v>5684.2195737600014</v>
      </c>
      <c r="L7" s="100">
        <f t="shared" si="1"/>
        <v>6025.2727481856018</v>
      </c>
      <c r="M7" s="100">
        <f t="shared" si="1"/>
        <v>6386.7891130767384</v>
      </c>
      <c r="N7" s="100">
        <f t="shared" si="1"/>
        <v>6769.9964598613433</v>
      </c>
      <c r="O7" s="100">
        <f t="shared" si="1"/>
        <v>7176.1962474530246</v>
      </c>
      <c r="P7" s="100">
        <f t="shared" si="1"/>
        <v>7606.7680223002062</v>
      </c>
      <c r="Q7" s="100">
        <f t="shared" si="1"/>
        <v>8063.1741036382191</v>
      </c>
    </row>
    <row r="8" spans="1:17" ht="3" customHeight="1" x14ac:dyDescent="0.25"/>
    <row r="9" spans="1:17" x14ac:dyDescent="0.25">
      <c r="B9" s="85" t="s">
        <v>74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</row>
    <row r="10" spans="1:17" x14ac:dyDescent="0.25">
      <c r="B10" s="86" t="s">
        <v>203</v>
      </c>
      <c r="C10" s="89"/>
      <c r="D10" s="89"/>
      <c r="E10" s="89"/>
      <c r="F10" s="89"/>
      <c r="G10" s="86"/>
      <c r="H10" s="88">
        <f>CHOOSE(Drivers!$C$3,'Revenue Energy &amp; Other'!H14,'Revenue Energy &amp; Other'!H17,'Revenue Energy &amp; Other'!H20)</f>
        <v>0.18</v>
      </c>
      <c r="I10" s="88">
        <f>CHOOSE(Drivers!$C$3,'Revenue Energy &amp; Other'!I14,'Revenue Energy &amp; Other'!I17,'Revenue Energy &amp; Other'!I20)</f>
        <v>0.12</v>
      </c>
      <c r="J10" s="88">
        <f>CHOOSE(Drivers!$C$3,'Revenue Energy &amp; Other'!J14,'Revenue Energy &amp; Other'!J17,'Revenue Energy &amp; Other'!J20)</f>
        <v>0.08</v>
      </c>
      <c r="K10" s="88">
        <f>CHOOSE(Drivers!$C$3,'Revenue Energy &amp; Other'!K14,'Revenue Energy &amp; Other'!K17,'Revenue Energy &amp; Other'!K20)</f>
        <v>0.06</v>
      </c>
      <c r="L10" s="88">
        <f>CHOOSE(Drivers!$C$3,'Revenue Energy &amp; Other'!L14,'Revenue Energy &amp; Other'!L17,'Revenue Energy &amp; Other'!L20)</f>
        <v>0.06</v>
      </c>
      <c r="M10" s="88">
        <f>CHOOSE(Drivers!$C$3,'Revenue Energy &amp; Other'!M14,'Revenue Energy &amp; Other'!M17,'Revenue Energy &amp; Other'!M20)</f>
        <v>0.06</v>
      </c>
      <c r="N10" s="88">
        <f>CHOOSE(Drivers!$C$3,'Revenue Energy &amp; Other'!N14,'Revenue Energy &amp; Other'!N17,'Revenue Energy &amp; Other'!N20)</f>
        <v>0.06</v>
      </c>
      <c r="O10" s="88">
        <f>CHOOSE(Drivers!$C$3,'Revenue Energy &amp; Other'!O14,'Revenue Energy &amp; Other'!O17,'Revenue Energy &amp; Other'!O20)</f>
        <v>0.06</v>
      </c>
      <c r="P10" s="88">
        <f>CHOOSE(Drivers!$C$3,'Revenue Energy &amp; Other'!P14,'Revenue Energy &amp; Other'!P17,'Revenue Energy &amp; Other'!P20)</f>
        <v>0.06</v>
      </c>
      <c r="Q10" s="88">
        <f>CHOOSE(Drivers!$C$3,'Revenue Energy &amp; Other'!Q14,'Revenue Energy &amp; Other'!Q17,'Revenue Energy &amp; Other'!Q20)</f>
        <v>0.06</v>
      </c>
    </row>
    <row r="11" spans="1:17" x14ac:dyDescent="0.25">
      <c r="B11" s="86"/>
      <c r="C11" s="89"/>
      <c r="D11" s="89"/>
      <c r="E11" s="89"/>
      <c r="F11" s="89"/>
      <c r="G11" s="86"/>
      <c r="H11" s="89"/>
      <c r="I11" s="87"/>
      <c r="J11" s="87"/>
      <c r="K11" s="87"/>
      <c r="L11" s="87"/>
      <c r="M11" s="87"/>
      <c r="N11" s="87"/>
      <c r="O11" s="87"/>
      <c r="P11" s="87"/>
      <c r="Q11" s="87"/>
    </row>
    <row r="12" spans="1:17" x14ac:dyDescent="0.25">
      <c r="B12" s="101" t="s">
        <v>204</v>
      </c>
      <c r="C12" s="89"/>
      <c r="D12" s="89"/>
      <c r="E12" s="89"/>
      <c r="F12" s="89"/>
      <c r="G12" s="86"/>
      <c r="H12" s="89"/>
      <c r="I12" s="87"/>
      <c r="J12" s="87"/>
      <c r="K12" s="87"/>
      <c r="L12" s="87"/>
      <c r="M12" s="87"/>
      <c r="N12" s="87"/>
      <c r="O12" s="87"/>
      <c r="P12" s="87"/>
      <c r="Q12" s="87"/>
    </row>
    <row r="13" spans="1:17" x14ac:dyDescent="0.25">
      <c r="B13" s="85" t="s">
        <v>70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</row>
    <row r="14" spans="1:17" x14ac:dyDescent="0.25">
      <c r="B14" s="86" t="s">
        <v>203</v>
      </c>
      <c r="C14" s="89"/>
      <c r="D14" s="77"/>
      <c r="E14" s="77"/>
      <c r="F14" s="77"/>
      <c r="G14" s="86"/>
      <c r="H14" s="77">
        <f>H17+Drivers!$C$13</f>
        <v>0.19999999999999998</v>
      </c>
      <c r="I14" s="77">
        <f>I17+Drivers!$C$13</f>
        <v>0.13999999999999999</v>
      </c>
      <c r="J14" s="77">
        <f>J17+Drivers!$C$13</f>
        <v>0.1</v>
      </c>
      <c r="K14" s="77">
        <f>K17+Drivers!$C$13</f>
        <v>0.08</v>
      </c>
      <c r="L14" s="77">
        <f>L17+Drivers!$C$13</f>
        <v>0.08</v>
      </c>
      <c r="M14" s="77">
        <f>M17+Drivers!$C$13</f>
        <v>0.08</v>
      </c>
      <c r="N14" s="77">
        <f>N17+Drivers!$C$13</f>
        <v>0.08</v>
      </c>
      <c r="O14" s="77">
        <f>O17+Drivers!$C$13</f>
        <v>0.08</v>
      </c>
      <c r="P14" s="77">
        <f>P17+Drivers!$C$13</f>
        <v>0.08</v>
      </c>
      <c r="Q14" s="77">
        <f>Q17+Drivers!$C$13</f>
        <v>0.08</v>
      </c>
    </row>
    <row r="15" spans="1:17" x14ac:dyDescent="0.25">
      <c r="B15" s="86"/>
      <c r="C15" s="89"/>
      <c r="D15" s="89"/>
      <c r="E15" s="89"/>
      <c r="F15" s="89"/>
      <c r="G15" s="86"/>
      <c r="H15" s="89"/>
      <c r="I15" s="87"/>
      <c r="J15" s="87"/>
      <c r="K15" s="87"/>
      <c r="L15" s="87"/>
      <c r="M15" s="87"/>
      <c r="N15" s="87"/>
      <c r="O15" s="87"/>
      <c r="P15" s="87"/>
      <c r="Q15" s="87"/>
    </row>
    <row r="16" spans="1:17" x14ac:dyDescent="0.25">
      <c r="B16" s="85" t="s">
        <v>71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</row>
    <row r="17" spans="2:17" x14ac:dyDescent="0.25">
      <c r="B17" s="86" t="s">
        <v>203</v>
      </c>
      <c r="C17" s="89"/>
      <c r="D17" s="77">
        <f>D7/C7-1</f>
        <v>1.1287059255471199</v>
      </c>
      <c r="E17" s="77">
        <f t="shared" ref="E17:F17" si="2">E7/D7-1</f>
        <v>2.26079745474817</v>
      </c>
      <c r="F17" s="77">
        <f t="shared" si="2"/>
        <v>0.39143007323428014</v>
      </c>
      <c r="G17" s="77">
        <f>G7/F7-1</f>
        <v>0.27516516562382809</v>
      </c>
      <c r="H17" s="88">
        <v>0.18</v>
      </c>
      <c r="I17" s="88">
        <v>0.12</v>
      </c>
      <c r="J17" s="88">
        <v>0.08</v>
      </c>
      <c r="K17" s="88">
        <v>0.06</v>
      </c>
      <c r="L17" s="88">
        <v>0.06</v>
      </c>
      <c r="M17" s="88">
        <v>0.06</v>
      </c>
      <c r="N17" s="88">
        <v>0.06</v>
      </c>
      <c r="O17" s="88">
        <v>0.06</v>
      </c>
      <c r="P17" s="88">
        <v>0.06</v>
      </c>
      <c r="Q17" s="88">
        <v>0.06</v>
      </c>
    </row>
    <row r="18" spans="2:17" x14ac:dyDescent="0.25">
      <c r="B18" s="86"/>
      <c r="C18" s="89"/>
      <c r="D18" s="89"/>
      <c r="E18" s="89"/>
      <c r="F18" s="89"/>
      <c r="G18" s="86"/>
      <c r="H18" s="89"/>
      <c r="I18" s="87"/>
      <c r="J18" s="87"/>
      <c r="K18" s="87"/>
      <c r="L18" s="87"/>
      <c r="M18" s="87"/>
      <c r="N18" s="87"/>
      <c r="O18" s="87"/>
      <c r="P18" s="87"/>
      <c r="Q18" s="87"/>
    </row>
    <row r="19" spans="2:17" x14ac:dyDescent="0.25">
      <c r="B19" s="85" t="s">
        <v>72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</row>
    <row r="20" spans="2:17" x14ac:dyDescent="0.25">
      <c r="B20" s="86" t="s">
        <v>203</v>
      </c>
      <c r="C20" s="89"/>
      <c r="D20" s="77"/>
      <c r="E20" s="77"/>
      <c r="F20" s="77"/>
      <c r="G20" s="86"/>
      <c r="H20" s="77">
        <f>H17-Drivers!$C$13</f>
        <v>0.16</v>
      </c>
      <c r="I20" s="77">
        <f>I17-Drivers!$C$13</f>
        <v>9.9999999999999992E-2</v>
      </c>
      <c r="J20" s="77">
        <f>J17-Drivers!$C$13</f>
        <v>0.06</v>
      </c>
      <c r="K20" s="77">
        <f>K17-Drivers!$C$13</f>
        <v>3.9999999999999994E-2</v>
      </c>
      <c r="L20" s="77">
        <f>L17-Drivers!$C$13</f>
        <v>3.9999999999999994E-2</v>
      </c>
      <c r="M20" s="77">
        <f>M17-Drivers!$C$13</f>
        <v>3.9999999999999994E-2</v>
      </c>
      <c r="N20" s="77">
        <f>N17-Drivers!$C$13</f>
        <v>3.9999999999999994E-2</v>
      </c>
      <c r="O20" s="77">
        <f>O17-Drivers!$C$13</f>
        <v>3.9999999999999994E-2</v>
      </c>
      <c r="P20" s="77">
        <f>P17-Drivers!$C$13</f>
        <v>3.9999999999999994E-2</v>
      </c>
      <c r="Q20" s="77">
        <f>Q17-Drivers!$C$13</f>
        <v>3.9999999999999994E-2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opLeftCell="F1" zoomScale="85" zoomScaleNormal="85"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3320312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73</v>
      </c>
    </row>
    <row r="3" spans="1:6" ht="13.2" x14ac:dyDescent="0.25">
      <c r="B3" s="8" t="s">
        <v>74</v>
      </c>
      <c r="C3" s="13">
        <v>2</v>
      </c>
      <c r="E3" s="4"/>
      <c r="F3" s="4"/>
    </row>
    <row r="4" spans="1:6" ht="13.2" x14ac:dyDescent="0.25">
      <c r="B4" s="8" t="s">
        <v>324</v>
      </c>
      <c r="C4" s="105" t="s">
        <v>185</v>
      </c>
      <c r="E4" s="4"/>
      <c r="F4" s="4"/>
    </row>
    <row r="5" spans="1:6" x14ac:dyDescent="0.25">
      <c r="B5" s="8" t="s">
        <v>180</v>
      </c>
      <c r="C5" s="93" t="s">
        <v>181</v>
      </c>
    </row>
    <row r="6" spans="1:6" x14ac:dyDescent="0.25">
      <c r="B6" s="8" t="s">
        <v>182</v>
      </c>
      <c r="C6" s="93" t="s">
        <v>183</v>
      </c>
    </row>
    <row r="7" spans="1:6" x14ac:dyDescent="0.25">
      <c r="B7" s="8" t="s">
        <v>374</v>
      </c>
      <c r="C7" s="94">
        <v>6.9699999999999996E-3</v>
      </c>
    </row>
    <row r="8" spans="1:6" x14ac:dyDescent="0.25">
      <c r="B8" s="8" t="s">
        <v>184</v>
      </c>
      <c r="C8" s="34">
        <v>0.05</v>
      </c>
    </row>
    <row r="9" spans="1:6" x14ac:dyDescent="0.25">
      <c r="B9" s="8" t="s">
        <v>389</v>
      </c>
      <c r="C9" s="8">
        <v>2.15</v>
      </c>
    </row>
    <row r="10" spans="1:6" x14ac:dyDescent="0.25">
      <c r="B10" s="8" t="s">
        <v>390</v>
      </c>
      <c r="C10" s="8">
        <v>639.83000000000004</v>
      </c>
    </row>
    <row r="11" spans="1:6" x14ac:dyDescent="0.2">
      <c r="B11" s="20" t="s">
        <v>375</v>
      </c>
      <c r="C11" s="29">
        <v>4.3240000000000001E-2</v>
      </c>
    </row>
    <row r="12" spans="1:6" x14ac:dyDescent="0.25">
      <c r="B12" s="8" t="s">
        <v>102</v>
      </c>
      <c r="C12" s="34">
        <v>0.21</v>
      </c>
    </row>
    <row r="13" spans="1:6" x14ac:dyDescent="0.25">
      <c r="B13" s="8" t="s">
        <v>154</v>
      </c>
      <c r="C13" s="34">
        <v>0.02</v>
      </c>
    </row>
    <row r="26" spans="5:5" ht="13.2" x14ac:dyDescent="0.25">
      <c r="E26" s="201"/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Q2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1.4" x14ac:dyDescent="0.25"/>
  <cols>
    <col min="1" max="1" width="2" style="8" customWidth="1"/>
    <col min="2" max="2" width="28.88671875" style="8" customWidth="1"/>
    <col min="3" max="12" width="9.6640625" style="8" customWidth="1"/>
    <col min="13" max="16384" width="9.109375" style="8"/>
  </cols>
  <sheetData>
    <row r="1" spans="1:17" ht="15.6" x14ac:dyDescent="0.25">
      <c r="A1" s="1"/>
      <c r="B1" s="2" t="s">
        <v>205</v>
      </c>
    </row>
    <row r="2" spans="1:17" ht="15.6" x14ac:dyDescent="0.25">
      <c r="A2" s="1"/>
      <c r="B2" s="2"/>
    </row>
    <row r="3" spans="1:17" ht="12" x14ac:dyDescent="0.25">
      <c r="C3" s="236" t="s">
        <v>208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5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174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254</v>
      </c>
      <c r="O4" s="92" t="s">
        <v>256</v>
      </c>
      <c r="P4" s="92" t="s">
        <v>257</v>
      </c>
      <c r="Q4" s="92" t="s">
        <v>333</v>
      </c>
    </row>
    <row r="5" spans="1:17" x14ac:dyDescent="0.25">
      <c r="B5" s="8" t="s">
        <v>3</v>
      </c>
      <c r="C5" s="14">
        <f>('P&amp;L Input'!C5+'P&amp;L Input'!C9)/1000</f>
        <v>2.19</v>
      </c>
      <c r="D5" s="14">
        <f>('P&amp;L Input'!D5+'P&amp;L Input'!D9)/1000</f>
        <v>3.0619999999999998</v>
      </c>
      <c r="E5" s="14">
        <f>('P&amp;L Input'!E5+'P&amp;L Input'!E9)/1000</f>
        <v>241.72800000000001</v>
      </c>
      <c r="F5" s="14">
        <f>('P&amp;L Input'!F5+'P&amp;L Input'!F9)/1000</f>
        <v>190.34800000000001</v>
      </c>
      <c r="G5" s="72">
        <f>('P&amp;L Input'!G5+'P&amp;L Input'!G9)/1000</f>
        <v>190</v>
      </c>
      <c r="H5" s="73" t="s">
        <v>64</v>
      </c>
      <c r="I5" s="73" t="s">
        <v>64</v>
      </c>
      <c r="J5" s="73" t="s">
        <v>64</v>
      </c>
      <c r="K5" s="73" t="s">
        <v>64</v>
      </c>
      <c r="L5" s="73" t="s">
        <v>64</v>
      </c>
      <c r="M5" s="73" t="s">
        <v>64</v>
      </c>
      <c r="N5" s="73" t="s">
        <v>64</v>
      </c>
      <c r="O5" s="73" t="s">
        <v>64</v>
      </c>
      <c r="P5" s="73" t="s">
        <v>64</v>
      </c>
      <c r="Q5" s="73" t="s">
        <v>64</v>
      </c>
    </row>
    <row r="6" spans="1:17" x14ac:dyDescent="0.25">
      <c r="B6" s="8" t="s">
        <v>2</v>
      </c>
      <c r="C6" s="14">
        <f>('P&amp;L Input'!C6+'P&amp;L Input'!C10)/1000</f>
        <v>3.6419999999999999</v>
      </c>
      <c r="D6" s="14">
        <f>('P&amp;L Input'!D6+'P&amp;L Input'!D10)/1000</f>
        <v>-4.49</v>
      </c>
      <c r="E6" s="14">
        <f>('P&amp;L Input'!E6+'P&amp;L Input'!E10)/1000</f>
        <v>-227.83699999999999</v>
      </c>
      <c r="F6" s="14">
        <f>('P&amp;L Input'!F6+'P&amp;L Input'!F10)/1000</f>
        <v>-489.31299999999999</v>
      </c>
      <c r="G6" s="83">
        <f>('P&amp;L Input'!G6+'P&amp;L Input'!G10)/1000</f>
        <v>-544</v>
      </c>
      <c r="H6" s="73" t="s">
        <v>64</v>
      </c>
      <c r="I6" s="73" t="s">
        <v>64</v>
      </c>
      <c r="J6" s="73" t="s">
        <v>64</v>
      </c>
      <c r="K6" s="73" t="s">
        <v>64</v>
      </c>
      <c r="L6" s="73" t="s">
        <v>64</v>
      </c>
      <c r="M6" s="73" t="s">
        <v>64</v>
      </c>
      <c r="N6" s="73" t="s">
        <v>64</v>
      </c>
      <c r="O6" s="73" t="s">
        <v>64</v>
      </c>
      <c r="P6" s="73" t="s">
        <v>64</v>
      </c>
      <c r="Q6" s="73" t="s">
        <v>64</v>
      </c>
    </row>
    <row r="7" spans="1:17" ht="12.6" thickBot="1" x14ac:dyDescent="0.3">
      <c r="B7" s="10" t="s">
        <v>203</v>
      </c>
      <c r="C7" s="114">
        <f>SUM(C5:C6)</f>
        <v>5.8319999999999999</v>
      </c>
      <c r="D7" s="114">
        <f t="shared" ref="D7:G7" si="0">SUM(D5:D6)</f>
        <v>-1.4280000000000004</v>
      </c>
      <c r="E7" s="114">
        <f t="shared" si="0"/>
        <v>13.89100000000002</v>
      </c>
      <c r="F7" s="114">
        <f t="shared" si="0"/>
        <v>-298.96499999999997</v>
      </c>
      <c r="G7" s="114">
        <f t="shared" si="0"/>
        <v>-354</v>
      </c>
      <c r="H7" s="114">
        <f>H11*'Revenue Energy &amp; Other'!H7</f>
        <v>0</v>
      </c>
      <c r="I7" s="114">
        <f>I11*'Revenue Energy &amp; Other'!I7</f>
        <v>0</v>
      </c>
      <c r="J7" s="114">
        <f>J11*'Revenue Energy &amp; Other'!J7</f>
        <v>0</v>
      </c>
      <c r="K7" s="114">
        <f>K11*'Revenue Energy &amp; Other'!K7</f>
        <v>0</v>
      </c>
      <c r="L7" s="114">
        <f>L11*'Revenue Energy &amp; Other'!L7</f>
        <v>0</v>
      </c>
      <c r="M7" s="114">
        <f>M11*'Revenue Energy &amp; Other'!M7</f>
        <v>0</v>
      </c>
      <c r="N7" s="114">
        <f>N11*'Revenue Energy &amp; Other'!N7</f>
        <v>0</v>
      </c>
      <c r="O7" s="114">
        <f>O11*'Revenue Energy &amp; Other'!O7</f>
        <v>0</v>
      </c>
      <c r="P7" s="114">
        <f>P11*'Revenue Energy &amp; Other'!P7</f>
        <v>0</v>
      </c>
      <c r="Q7" s="114">
        <f>Q11*'Revenue Energy &amp; Other'!Q7</f>
        <v>0</v>
      </c>
    </row>
    <row r="9" spans="1:17" ht="3" customHeight="1" x14ac:dyDescent="0.25"/>
    <row r="10" spans="1:17" x14ac:dyDescent="0.25">
      <c r="B10" s="85" t="s">
        <v>74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</row>
    <row r="11" spans="1:17" x14ac:dyDescent="0.25">
      <c r="B11" s="86" t="s">
        <v>203</v>
      </c>
      <c r="C11" s="102">
        <f>C7/'Revenue Energy &amp; Other'!C7</f>
        <v>1.9118052004248459E-2</v>
      </c>
      <c r="D11" s="102">
        <f>D7/'Revenue Energy &amp; Other'!D7</f>
        <v>-2.1990680140321489E-3</v>
      </c>
      <c r="E11" s="102">
        <f>E7/'Revenue Energy &amp; Other'!E7</f>
        <v>6.5602462583549837E-3</v>
      </c>
      <c r="F11" s="102">
        <f>F7/'Revenue Energy &amp; Other'!F7</f>
        <v>-0.10147185353759056</v>
      </c>
      <c r="G11" s="102">
        <f>G7/'Revenue Energy &amp; Other'!G7</f>
        <v>-9.4224114985360666E-2</v>
      </c>
      <c r="H11" s="88">
        <f>CHOOSE(Drivers!$C$3,'GP Energy &amp; Other'!H14,'GP Energy &amp; Other'!H17,'GP Energy &amp; Other'!H21)</f>
        <v>0</v>
      </c>
      <c r="I11" s="88">
        <f>CHOOSE(Drivers!$C$3,'GP Energy &amp; Other'!I14,'GP Energy &amp; Other'!I17,'GP Energy &amp; Other'!I21)</f>
        <v>0</v>
      </c>
      <c r="J11" s="88">
        <f>CHOOSE(Drivers!$C$3,'GP Energy &amp; Other'!J14,'GP Energy &amp; Other'!J17,'GP Energy &amp; Other'!J21)</f>
        <v>0</v>
      </c>
      <c r="K11" s="88">
        <f>CHOOSE(Drivers!$C$3,'GP Energy &amp; Other'!K14,'GP Energy &amp; Other'!K17,'GP Energy &amp; Other'!K21)</f>
        <v>0</v>
      </c>
      <c r="L11" s="88">
        <f>CHOOSE(Drivers!$C$3,'GP Energy &amp; Other'!L14,'GP Energy &amp; Other'!L17,'GP Energy &amp; Other'!L21)</f>
        <v>0</v>
      </c>
      <c r="M11" s="88">
        <f>CHOOSE(Drivers!$C$3,'GP Energy &amp; Other'!M14,'GP Energy &amp; Other'!M17,'GP Energy &amp; Other'!M21)</f>
        <v>0</v>
      </c>
      <c r="N11" s="88">
        <f>CHOOSE(Drivers!$C$3,'GP Energy &amp; Other'!N14,'GP Energy &amp; Other'!N17,'GP Energy &amp; Other'!N21)</f>
        <v>0</v>
      </c>
      <c r="O11" s="88">
        <f>CHOOSE(Drivers!$C$3,'GP Energy &amp; Other'!O14,'GP Energy &amp; Other'!O17,'GP Energy &amp; Other'!O21)</f>
        <v>0</v>
      </c>
      <c r="P11" s="88">
        <f>CHOOSE(Drivers!$C$3,'GP Energy &amp; Other'!P14,'GP Energy &amp; Other'!P17,'GP Energy &amp; Other'!P21)</f>
        <v>0</v>
      </c>
      <c r="Q11" s="88">
        <f>CHOOSE(Drivers!$C$3,'GP Energy &amp; Other'!Q14,'GP Energy &amp; Other'!Q17,'GP Energy &amp; Other'!Q21)</f>
        <v>0</v>
      </c>
    </row>
    <row r="12" spans="1:17" x14ac:dyDescent="0.25">
      <c r="B12" s="86"/>
      <c r="C12" s="89"/>
      <c r="D12" s="89"/>
      <c r="E12" s="89"/>
      <c r="F12" s="89"/>
      <c r="G12" s="86"/>
      <c r="H12" s="89"/>
      <c r="I12" s="87"/>
      <c r="J12" s="87"/>
      <c r="K12" s="87"/>
      <c r="L12" s="87"/>
      <c r="M12" s="87"/>
      <c r="N12" s="87"/>
      <c r="O12" s="87"/>
      <c r="P12" s="87"/>
      <c r="Q12" s="87"/>
    </row>
    <row r="13" spans="1:17" x14ac:dyDescent="0.25">
      <c r="B13" s="101" t="s">
        <v>207</v>
      </c>
      <c r="C13" s="89"/>
      <c r="D13" s="89"/>
      <c r="E13" s="89"/>
      <c r="F13" s="89"/>
      <c r="G13" s="86"/>
      <c r="H13" s="89"/>
      <c r="I13" s="87"/>
      <c r="J13" s="87"/>
      <c r="K13" s="87"/>
      <c r="L13" s="87"/>
      <c r="M13" s="87"/>
      <c r="N13" s="87"/>
      <c r="O13" s="87"/>
      <c r="P13" s="87"/>
      <c r="Q13" s="87"/>
    </row>
    <row r="14" spans="1:17" x14ac:dyDescent="0.25">
      <c r="B14" s="85" t="s">
        <v>70</v>
      </c>
      <c r="C14" s="86"/>
      <c r="D14" s="86"/>
      <c r="E14" s="86"/>
      <c r="F14" s="86"/>
      <c r="G14" s="86"/>
      <c r="H14" s="77">
        <f>H17+Drivers!$C$13</f>
        <v>0.02</v>
      </c>
      <c r="I14" s="77">
        <f>I17+Drivers!$C$13</f>
        <v>0.02</v>
      </c>
      <c r="J14" s="77">
        <f>J17+Drivers!$C$13</f>
        <v>0.02</v>
      </c>
      <c r="K14" s="77">
        <f>K17+Drivers!$C$13</f>
        <v>0.02</v>
      </c>
      <c r="L14" s="77">
        <f>L17+Drivers!$C$13</f>
        <v>0.02</v>
      </c>
      <c r="M14" s="77">
        <f>M17+Drivers!$C$13</f>
        <v>0.02</v>
      </c>
      <c r="N14" s="77">
        <f>N17+Drivers!$C$13</f>
        <v>0.02</v>
      </c>
      <c r="O14" s="77">
        <f>O17+Drivers!$C$13</f>
        <v>0.02</v>
      </c>
      <c r="P14" s="77">
        <f>P17+Drivers!$C$13</f>
        <v>0.02</v>
      </c>
      <c r="Q14" s="77">
        <f>Q17+Drivers!$C$13</f>
        <v>0.02</v>
      </c>
    </row>
    <row r="15" spans="1:17" x14ac:dyDescent="0.25">
      <c r="B15" s="86" t="s">
        <v>203</v>
      </c>
      <c r="C15" s="89"/>
      <c r="D15" s="77"/>
      <c r="E15" s="77"/>
      <c r="F15" s="77"/>
      <c r="G15" s="86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1:17" x14ac:dyDescent="0.25">
      <c r="B16" s="86"/>
      <c r="C16" s="89"/>
      <c r="D16" s="89"/>
      <c r="E16" s="89"/>
      <c r="F16" s="89"/>
      <c r="G16" s="86"/>
      <c r="H16" s="89"/>
      <c r="I16" s="87"/>
      <c r="J16" s="87"/>
      <c r="K16" s="87"/>
      <c r="L16" s="87"/>
      <c r="M16" s="87"/>
      <c r="N16" s="87"/>
      <c r="O16" s="87"/>
      <c r="P16" s="87"/>
      <c r="Q16" s="87"/>
    </row>
    <row r="17" spans="2:17" x14ac:dyDescent="0.25">
      <c r="B17" s="85" t="s">
        <v>71</v>
      </c>
      <c r="C17" s="86"/>
      <c r="D17" s="86"/>
      <c r="E17" s="86"/>
      <c r="F17" s="86"/>
      <c r="G17" s="86"/>
      <c r="H17" s="87">
        <v>0</v>
      </c>
      <c r="I17" s="87">
        <f>$H$17</f>
        <v>0</v>
      </c>
      <c r="J17" s="87">
        <f t="shared" ref="J17:Q17" si="1">$H$17</f>
        <v>0</v>
      </c>
      <c r="K17" s="87">
        <f t="shared" si="1"/>
        <v>0</v>
      </c>
      <c r="L17" s="87">
        <f t="shared" si="1"/>
        <v>0</v>
      </c>
      <c r="M17" s="87">
        <f t="shared" si="1"/>
        <v>0</v>
      </c>
      <c r="N17" s="87">
        <f t="shared" si="1"/>
        <v>0</v>
      </c>
      <c r="O17" s="87">
        <f t="shared" si="1"/>
        <v>0</v>
      </c>
      <c r="P17" s="87">
        <f t="shared" si="1"/>
        <v>0</v>
      </c>
      <c r="Q17" s="87">
        <f t="shared" si="1"/>
        <v>0</v>
      </c>
    </row>
    <row r="18" spans="2:17" x14ac:dyDescent="0.25">
      <c r="B18" s="86" t="s">
        <v>203</v>
      </c>
      <c r="C18" s="89"/>
      <c r="D18" s="77"/>
      <c r="E18" s="77"/>
      <c r="F18" s="77"/>
      <c r="G18" s="86"/>
      <c r="H18" s="88"/>
      <c r="I18" s="88"/>
      <c r="J18" s="88"/>
      <c r="K18" s="88"/>
      <c r="L18" s="88"/>
      <c r="M18" s="88"/>
      <c r="N18" s="88"/>
      <c r="O18" s="88"/>
      <c r="P18" s="88"/>
      <c r="Q18" s="88"/>
    </row>
    <row r="19" spans="2:17" x14ac:dyDescent="0.25">
      <c r="B19" s="86"/>
      <c r="C19" s="89"/>
      <c r="D19" s="89"/>
      <c r="E19" s="89"/>
      <c r="F19" s="89"/>
      <c r="G19" s="86"/>
      <c r="H19" s="89"/>
      <c r="I19" s="87"/>
      <c r="J19" s="87"/>
      <c r="K19" s="87"/>
      <c r="L19" s="87"/>
      <c r="M19" s="87"/>
      <c r="N19" s="87"/>
      <c r="O19" s="87"/>
      <c r="P19" s="87"/>
      <c r="Q19" s="87"/>
    </row>
    <row r="20" spans="2:17" x14ac:dyDescent="0.25">
      <c r="B20" s="85" t="s">
        <v>72</v>
      </c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</row>
    <row r="21" spans="2:17" x14ac:dyDescent="0.25">
      <c r="B21" s="86" t="s">
        <v>203</v>
      </c>
      <c r="C21" s="89"/>
      <c r="D21" s="77"/>
      <c r="E21" s="77"/>
      <c r="F21" s="77"/>
      <c r="G21" s="86"/>
      <c r="H21" s="77">
        <f>H18-Drivers!$C$13</f>
        <v>-0.02</v>
      </c>
      <c r="I21" s="77">
        <f>I18-Drivers!$C$13</f>
        <v>-0.02</v>
      </c>
      <c r="J21" s="77">
        <f>J18-Drivers!$C$13</f>
        <v>-0.02</v>
      </c>
      <c r="K21" s="77">
        <f>K18-Drivers!$C$13</f>
        <v>-0.02</v>
      </c>
      <c r="L21" s="77">
        <f>L18-Drivers!$C$13</f>
        <v>-0.02</v>
      </c>
      <c r="M21" s="77">
        <f>M18-Drivers!$C$13</f>
        <v>-0.02</v>
      </c>
      <c r="N21" s="77">
        <f>N18-Drivers!$C$13</f>
        <v>-0.02</v>
      </c>
      <c r="O21" s="77">
        <f>O18-Drivers!$C$13</f>
        <v>-0.02</v>
      </c>
      <c r="P21" s="77">
        <f>P18-Drivers!$C$13</f>
        <v>-0.02</v>
      </c>
      <c r="Q21" s="77">
        <f>Q18-Drivers!$C$13</f>
        <v>-0.02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Q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1.4" x14ac:dyDescent="0.25"/>
  <cols>
    <col min="1" max="1" width="2" style="8" customWidth="1"/>
    <col min="2" max="2" width="28.6640625" style="8" customWidth="1"/>
    <col min="3" max="17" width="9.6640625" style="8" customWidth="1"/>
    <col min="18" max="16384" width="9.109375" style="8"/>
  </cols>
  <sheetData>
    <row r="1" spans="1:17" ht="15.6" x14ac:dyDescent="0.25">
      <c r="A1" s="1"/>
      <c r="B1" s="2" t="s">
        <v>235</v>
      </c>
    </row>
    <row r="2" spans="1:17" ht="15.6" x14ac:dyDescent="0.25">
      <c r="A2" s="1"/>
      <c r="B2" s="2"/>
    </row>
    <row r="3" spans="1:17" ht="12" x14ac:dyDescent="0.25">
      <c r="C3" s="236" t="s">
        <v>313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5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174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5">
      <c r="B5" s="8" t="s">
        <v>3</v>
      </c>
      <c r="C5" s="14">
        <f>-('Revenue Energy &amp; Other'!C5-'GP Energy &amp; Other'!C5)</f>
        <v>-12.287000000000001</v>
      </c>
      <c r="D5" s="14">
        <f>-('Revenue Energy &amp; Other'!D5-'GP Energy &amp; Other'!D5)</f>
        <v>-178.33199999999999</v>
      </c>
      <c r="E5" s="14">
        <f>-('Revenue Energy &amp; Other'!E5-'GP Energy &amp; Other'!E5)</f>
        <v>-874.53800000000001</v>
      </c>
      <c r="F5" s="14">
        <f>-('Revenue Energy &amp; Other'!F5-'GP Energy &amp; Other'!F5)</f>
        <v>-1364.896</v>
      </c>
      <c r="G5" s="72">
        <f>-('Revenue Energy &amp; Other'!G5-'GP Energy &amp; Other'!G5)</f>
        <v>-1341</v>
      </c>
      <c r="H5" s="73" t="s">
        <v>64</v>
      </c>
      <c r="I5" s="73" t="s">
        <v>64</v>
      </c>
      <c r="J5" s="73" t="s">
        <v>64</v>
      </c>
      <c r="K5" s="73" t="s">
        <v>64</v>
      </c>
      <c r="L5" s="73" t="s">
        <v>64</v>
      </c>
      <c r="M5" s="73" t="s">
        <v>64</v>
      </c>
      <c r="N5" s="73" t="s">
        <v>64</v>
      </c>
      <c r="O5" s="73" t="s">
        <v>64</v>
      </c>
      <c r="P5" s="73" t="s">
        <v>64</v>
      </c>
      <c r="Q5" s="73" t="s">
        <v>64</v>
      </c>
    </row>
    <row r="6" spans="1:17" x14ac:dyDescent="0.25">
      <c r="B6" s="8" t="s">
        <v>2</v>
      </c>
      <c r="C6" s="14">
        <f>-('Revenue Energy &amp; Other'!C6-'GP Energy &amp; Other'!C6)</f>
        <v>-286.93299999999999</v>
      </c>
      <c r="D6" s="14">
        <f>-('Revenue Energy &amp; Other'!D6-'GP Energy &amp; Other'!D6)</f>
        <v>-472.46199999999999</v>
      </c>
      <c r="E6" s="14">
        <f>-('Revenue Energy &amp; Other'!E6-'GP Energy &amp; Other'!E6)</f>
        <v>-1229.0219999999999</v>
      </c>
      <c r="F6" s="14">
        <f>-('Revenue Energy &amp; Other'!F6-'GP Energy &amp; Other'!F6)</f>
        <v>-1880.3539999999998</v>
      </c>
      <c r="G6" s="83">
        <f>-('Revenue Energy &amp; Other'!G6-'GP Energy &amp; Other'!G6)</f>
        <v>-2770</v>
      </c>
      <c r="H6" s="73" t="s">
        <v>64</v>
      </c>
      <c r="I6" s="73" t="s">
        <v>64</v>
      </c>
      <c r="J6" s="73" t="s">
        <v>64</v>
      </c>
      <c r="K6" s="73" t="s">
        <v>64</v>
      </c>
      <c r="L6" s="73" t="s">
        <v>64</v>
      </c>
      <c r="M6" s="73" t="s">
        <v>64</v>
      </c>
      <c r="N6" s="73" t="s">
        <v>64</v>
      </c>
      <c r="O6" s="73" t="s">
        <v>64</v>
      </c>
      <c r="P6" s="73" t="s">
        <v>64</v>
      </c>
      <c r="Q6" s="73" t="s">
        <v>64</v>
      </c>
    </row>
    <row r="7" spans="1:17" ht="12.6" thickBot="1" x14ac:dyDescent="0.3">
      <c r="B7" s="10" t="s">
        <v>203</v>
      </c>
      <c r="C7" s="114">
        <f>SUM(C5:C6)</f>
        <v>-299.21999999999997</v>
      </c>
      <c r="D7" s="114">
        <f t="shared" ref="D7:G7" si="0">SUM(D5:D6)</f>
        <v>-650.79399999999998</v>
      </c>
      <c r="E7" s="114">
        <f t="shared" si="0"/>
        <v>-2103.56</v>
      </c>
      <c r="F7" s="114">
        <f t="shared" si="0"/>
        <v>-3245.25</v>
      </c>
      <c r="G7" s="114">
        <f t="shared" si="0"/>
        <v>-4111</v>
      </c>
      <c r="H7" s="114">
        <f>-('Revenue Energy &amp; Other'!H7-'GP Energy &amp; Other'!H7)</f>
        <v>-4433.26</v>
      </c>
      <c r="I7" s="114">
        <f>-('Revenue Energy &amp; Other'!I7-'GP Energy &amp; Other'!I7)</f>
        <v>-4965.2512000000006</v>
      </c>
      <c r="J7" s="114">
        <f>-('Revenue Energy &amp; Other'!J7-'GP Energy &amp; Other'!J7)</f>
        <v>-5362.4712960000006</v>
      </c>
      <c r="K7" s="114">
        <f>-('Revenue Energy &amp; Other'!K7-'GP Energy &amp; Other'!K7)</f>
        <v>-5684.2195737600014</v>
      </c>
      <c r="L7" s="114">
        <f>-('Revenue Energy &amp; Other'!L7-'GP Energy &amp; Other'!L7)</f>
        <v>-6025.2727481856018</v>
      </c>
      <c r="M7" s="114">
        <f>-('Revenue Energy &amp; Other'!M7-'GP Energy &amp; Other'!M7)</f>
        <v>-6386.7891130767384</v>
      </c>
      <c r="N7" s="114">
        <f>-('Revenue Energy &amp; Other'!N7-'GP Energy &amp; Other'!N7)</f>
        <v>-6769.9964598613433</v>
      </c>
      <c r="O7" s="114">
        <f>-('Revenue Energy &amp; Other'!O7-'GP Energy &amp; Other'!O7)</f>
        <v>-7176.1962474530246</v>
      </c>
      <c r="P7" s="114">
        <f>-('Revenue Energy &amp; Other'!P7-'GP Energy &amp; Other'!P7)</f>
        <v>-7606.7680223002062</v>
      </c>
      <c r="Q7" s="114">
        <f>-('Revenue Energy &amp; Other'!Q7-'GP Energy &amp; Other'!Q7)</f>
        <v>-8063.1741036382191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B3" sqref="B3"/>
    </sheetView>
  </sheetViews>
  <sheetFormatPr defaultColWidth="9.109375" defaultRowHeight="11.4" x14ac:dyDescent="0.25"/>
  <cols>
    <col min="1" max="1" width="2" style="8" customWidth="1"/>
    <col min="2" max="2" width="17.664062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231</v>
      </c>
    </row>
    <row r="2" spans="1:6" ht="15.6" x14ac:dyDescent="0.25">
      <c r="A2" s="1"/>
      <c r="B2" s="2"/>
    </row>
    <row r="3" spans="1:6" ht="13.2" x14ac:dyDescent="0.25">
      <c r="A3" s="1"/>
      <c r="B3" s="96" t="s">
        <v>373</v>
      </c>
    </row>
    <row r="5" spans="1:6" x14ac:dyDescent="0.25">
      <c r="F5" s="8" t="s">
        <v>191</v>
      </c>
    </row>
    <row r="6" spans="1:6" ht="12" x14ac:dyDescent="0.25">
      <c r="B6" s="36" t="s">
        <v>324</v>
      </c>
      <c r="C6" s="62" t="s">
        <v>188</v>
      </c>
      <c r="D6" s="62" t="s">
        <v>222</v>
      </c>
    </row>
    <row r="7" spans="1:6" x14ac:dyDescent="0.25">
      <c r="B7" s="8" t="s">
        <v>211</v>
      </c>
      <c r="C7" s="103">
        <v>0.152</v>
      </c>
      <c r="D7" s="105">
        <f>C7</f>
        <v>0.152</v>
      </c>
    </row>
    <row r="8" spans="1:6" x14ac:dyDescent="0.25">
      <c r="B8" s="8" t="s">
        <v>212</v>
      </c>
      <c r="C8" s="105">
        <v>0.13234765875561258</v>
      </c>
      <c r="D8" s="105">
        <f>C8</f>
        <v>0.13234765875561258</v>
      </c>
    </row>
    <row r="9" spans="1:6" x14ac:dyDescent="0.25">
      <c r="B9" s="8" t="s">
        <v>213</v>
      </c>
      <c r="C9" s="105">
        <v>9.3051845415807813E-2</v>
      </c>
      <c r="D9" s="105">
        <f>C9</f>
        <v>9.3051845415807813E-2</v>
      </c>
    </row>
    <row r="10" spans="1:6" x14ac:dyDescent="0.25">
      <c r="B10" s="8" t="s">
        <v>214</v>
      </c>
      <c r="C10" s="105">
        <v>9.9485177024934007E-2</v>
      </c>
      <c r="D10" s="105">
        <f>C10</f>
        <v>9.9485177024934007E-2</v>
      </c>
    </row>
    <row r="11" spans="1:6" x14ac:dyDescent="0.25">
      <c r="B11" s="8" t="s">
        <v>215</v>
      </c>
      <c r="C11" s="34">
        <v>0.11</v>
      </c>
      <c r="D11" s="105">
        <f>C11</f>
        <v>0.11</v>
      </c>
    </row>
    <row r="12" spans="1:6" x14ac:dyDescent="0.25">
      <c r="B12" s="116" t="s">
        <v>216</v>
      </c>
      <c r="C12" s="106">
        <v>0.37065334104237219</v>
      </c>
      <c r="D12" s="106"/>
    </row>
    <row r="13" spans="1:6" x14ac:dyDescent="0.25">
      <c r="B13" s="8" t="s">
        <v>217</v>
      </c>
      <c r="C13" s="34">
        <v>0.30660065131342956</v>
      </c>
      <c r="D13" s="105">
        <f>C13</f>
        <v>0.30660065131342956</v>
      </c>
    </row>
    <row r="14" spans="1:6" x14ac:dyDescent="0.25">
      <c r="B14" s="116" t="s">
        <v>218</v>
      </c>
      <c r="C14" s="106">
        <v>0.27674450401753298</v>
      </c>
      <c r="D14" s="106"/>
    </row>
    <row r="15" spans="1:6" x14ac:dyDescent="0.25">
      <c r="B15" s="8" t="s">
        <v>219</v>
      </c>
      <c r="C15" s="105">
        <v>0.15</v>
      </c>
      <c r="D15" s="105">
        <f>C15</f>
        <v>0.15</v>
      </c>
    </row>
    <row r="16" spans="1:6" x14ac:dyDescent="0.25">
      <c r="B16" s="8" t="s">
        <v>220</v>
      </c>
      <c r="C16" s="105">
        <v>0.15</v>
      </c>
      <c r="D16" s="105">
        <f>C16</f>
        <v>0.15</v>
      </c>
    </row>
    <row r="17" spans="2:4" x14ac:dyDescent="0.25">
      <c r="B17" s="116" t="s">
        <v>221</v>
      </c>
      <c r="C17" s="106">
        <v>3.6857379767827526E-2</v>
      </c>
      <c r="D17" s="106">
        <f>C17</f>
        <v>3.6857379767827526E-2</v>
      </c>
    </row>
    <row r="18" spans="2:4" ht="12" x14ac:dyDescent="0.25">
      <c r="B18" s="9" t="s">
        <v>188</v>
      </c>
      <c r="C18" s="107">
        <f>AVERAGE(C7:C17)</f>
        <v>0.17070368703068331</v>
      </c>
      <c r="D18" s="107">
        <f>AVERAGE(D7:D17)</f>
        <v>0.13670474580862349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1.4" x14ac:dyDescent="0.25"/>
  <cols>
    <col min="1" max="1" width="2" style="8" customWidth="1"/>
    <col min="2" max="2" width="25.6640625" style="8" bestFit="1" customWidth="1"/>
    <col min="3" max="12" width="9.6640625" style="8" customWidth="1"/>
    <col min="13" max="13" width="10.44140625" style="8" bestFit="1" customWidth="1"/>
    <col min="14" max="16384" width="9.109375" style="8"/>
  </cols>
  <sheetData>
    <row r="1" spans="1:17" ht="15.6" x14ac:dyDescent="0.25">
      <c r="A1" s="1"/>
      <c r="B1" s="2" t="s">
        <v>77</v>
      </c>
    </row>
    <row r="3" spans="1:17" ht="12" x14ac:dyDescent="0.25">
      <c r="C3" s="236" t="s">
        <v>224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5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5">
      <c r="B5" s="7" t="s">
        <v>99</v>
      </c>
      <c r="C5" s="14">
        <f>'Revenue Energy &amp; Other'!C7+'Revenue automotive'!C11</f>
        <v>4046.0250000000001</v>
      </c>
      <c r="D5" s="14">
        <f>'Revenue Energy &amp; Other'!D7+'Revenue automotive'!D11</f>
        <v>7000.1319999999996</v>
      </c>
      <c r="E5" s="14">
        <f>'Revenue Energy &amp; Other'!E7+'Revenue automotive'!E11</f>
        <v>11758.751</v>
      </c>
      <c r="F5" s="14">
        <f>'Revenue Energy &amp; Other'!F7+'Revenue automotive'!F11</f>
        <v>21461.268</v>
      </c>
      <c r="G5" s="72">
        <f>'Revenue Energy &amp; Other'!G7+'Revenue automotive'!G11</f>
        <v>24578</v>
      </c>
      <c r="H5" s="73">
        <f>'Revenue Energy &amp; Other'!H7+'Revenue automotive'!H11</f>
        <v>37652.429714333332</v>
      </c>
      <c r="I5" s="73">
        <f>'Revenue Energy &amp; Other'!I7+'Revenue automotive'!I11</f>
        <v>49932.933760506661</v>
      </c>
      <c r="J5" s="73">
        <f>'Revenue Energy &amp; Other'!J7+'Revenue automotive'!J11</f>
        <v>67816.248169715516</v>
      </c>
      <c r="K5" s="73">
        <f>'Revenue Energy &amp; Other'!K7+'Revenue automotive'!K11</f>
        <v>87207.51105659426</v>
      </c>
      <c r="L5" s="73">
        <f>'Revenue Energy &amp; Other'!L7+'Revenue automotive'!L11</f>
        <v>99609.320850611111</v>
      </c>
      <c r="M5" s="73">
        <f>'Revenue Energy &amp; Other'!M7+'Revenue automotive'!M11</f>
        <v>106627.42014564011</v>
      </c>
      <c r="N5" s="73">
        <f>'Revenue Energy &amp; Other'!N7+'Revenue automotive'!N11</f>
        <v>113514.29487557214</v>
      </c>
      <c r="O5" s="73">
        <f>'Revenue Energy &amp; Other'!O7+'Revenue automotive'!O11</f>
        <v>120511.84483940653</v>
      </c>
      <c r="P5" s="73">
        <f>'Revenue Energy &amp; Other'!P7+'Revenue automotive'!P11</f>
        <v>126325.69040602981</v>
      </c>
      <c r="Q5" s="73">
        <f>'Revenue Energy &amp; Other'!Q7+'Revenue automotive'!Q11</f>
        <v>131530.85338271703</v>
      </c>
    </row>
    <row r="6" spans="1:17" x14ac:dyDescent="0.25">
      <c r="B6" s="8" t="s">
        <v>78</v>
      </c>
      <c r="C6" s="17">
        <f>C7/C5</f>
        <v>-0.40536872609536523</v>
      </c>
      <c r="D6" s="17">
        <f>D7/D5</f>
        <v>-0.32379346560893429</v>
      </c>
      <c r="E6" s="17">
        <f>E7/E5</f>
        <v>-0.32780462822964784</v>
      </c>
      <c r="F6" s="17">
        <f>F7/F5</f>
        <v>-0.20642275190822834</v>
      </c>
      <c r="G6" s="17">
        <f>G7/G5</f>
        <v>-0.16836194971112378</v>
      </c>
      <c r="H6" s="104">
        <f>H10</f>
        <v>-0.13670474580862349</v>
      </c>
      <c r="I6" s="104">
        <f t="shared" ref="I6:Q6" si="0">I10</f>
        <v>-0.13670474580862349</v>
      </c>
      <c r="J6" s="104">
        <f t="shared" si="0"/>
        <v>-0.13670474580862349</v>
      </c>
      <c r="K6" s="104">
        <f t="shared" si="0"/>
        <v>-0.13670474580862349</v>
      </c>
      <c r="L6" s="104">
        <f t="shared" si="0"/>
        <v>-0.13670474580862349</v>
      </c>
      <c r="M6" s="104">
        <f t="shared" si="0"/>
        <v>-0.13670474580862349</v>
      </c>
      <c r="N6" s="104">
        <f t="shared" si="0"/>
        <v>-0.13670474580862349</v>
      </c>
      <c r="O6" s="104">
        <f t="shared" si="0"/>
        <v>-0.13670474580862349</v>
      </c>
      <c r="P6" s="104">
        <f t="shared" si="0"/>
        <v>-0.13670474580862349</v>
      </c>
      <c r="Q6" s="104">
        <f t="shared" si="0"/>
        <v>-0.13670474580862349</v>
      </c>
    </row>
    <row r="7" spans="1:17" ht="12" x14ac:dyDescent="0.25">
      <c r="B7" s="99" t="s">
        <v>77</v>
      </c>
      <c r="C7" s="99">
        <f>('P&amp;L Input'!C12+'P&amp;L Input'!C13+'P&amp;L Input'!C14)/1000</f>
        <v>-1640.1320000000001</v>
      </c>
      <c r="D7" s="99">
        <f>('P&amp;L Input'!D12+'P&amp;L Input'!D13+'P&amp;L Input'!D14)/1000</f>
        <v>-2266.5970000000002</v>
      </c>
      <c r="E7" s="99">
        <f>('P&amp;L Input'!E12+'P&amp;L Input'!E13+'P&amp;L Input'!E14)/1000</f>
        <v>-3854.5729999999999</v>
      </c>
      <c r="F7" s="99">
        <f>('P&amp;L Input'!F12+'P&amp;L Input'!F13+'P&amp;L Input'!F14)/1000</f>
        <v>-4430.0940000000001</v>
      </c>
      <c r="G7" s="99">
        <f>('P&amp;L Input'!G12+'P&amp;L Input'!G13+'P&amp;L Input'!G14)/1000</f>
        <v>-4138</v>
      </c>
      <c r="H7" s="75">
        <f>H5*H6</f>
        <v>-5147.2658331749999</v>
      </c>
      <c r="I7" s="75">
        <f t="shared" ref="I7:Q7" si="1">I5*I6</f>
        <v>-6826.0690172088971</v>
      </c>
      <c r="J7" s="75">
        <f t="shared" si="1"/>
        <v>-9270.802967735488</v>
      </c>
      <c r="K7" s="75">
        <f t="shared" si="1"/>
        <v>-11921.680631594441</v>
      </c>
      <c r="L7" s="75">
        <f t="shared" si="1"/>
        <v>-13617.066887052411</v>
      </c>
      <c r="M7" s="75">
        <f t="shared" si="1"/>
        <v>-14576.47436723903</v>
      </c>
      <c r="N7" s="75">
        <f t="shared" si="1"/>
        <v>-15517.942826610222</v>
      </c>
      <c r="O7" s="75">
        <f t="shared" si="1"/>
        <v>-16474.541115699343</v>
      </c>
      <c r="P7" s="75">
        <f t="shared" si="1"/>
        <v>-17269.321396055173</v>
      </c>
      <c r="Q7" s="75">
        <f t="shared" si="1"/>
        <v>-17980.891877675658</v>
      </c>
    </row>
    <row r="8" spans="1:17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25">
      <c r="B9" s="85" t="s">
        <v>74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</row>
    <row r="10" spans="1:17" x14ac:dyDescent="0.25">
      <c r="B10" s="86" t="s">
        <v>223</v>
      </c>
      <c r="C10" s="102"/>
      <c r="D10" s="102"/>
      <c r="E10" s="102"/>
      <c r="F10" s="102"/>
      <c r="G10" s="86"/>
      <c r="H10" s="88">
        <f>CHOOSE(Drivers!$C$3,Opex!H14,Opex!H17,Opex!H20)</f>
        <v>-0.13670474580862349</v>
      </c>
      <c r="I10" s="88">
        <f>CHOOSE(Drivers!$C$3,Opex!I14,Opex!I17,Opex!I20)</f>
        <v>-0.13670474580862349</v>
      </c>
      <c r="J10" s="88">
        <f>CHOOSE(Drivers!$C$3,Opex!J14,Opex!J17,Opex!J20)</f>
        <v>-0.13670474580862349</v>
      </c>
      <c r="K10" s="88">
        <f>CHOOSE(Drivers!$C$3,Opex!K14,Opex!K17,Opex!K20)</f>
        <v>-0.13670474580862349</v>
      </c>
      <c r="L10" s="88">
        <f>CHOOSE(Drivers!$C$3,Opex!L14,Opex!L17,Opex!L20)</f>
        <v>-0.13670474580862349</v>
      </c>
      <c r="M10" s="88">
        <f>CHOOSE(Drivers!$C$3,Opex!M14,Opex!M17,Opex!M20)</f>
        <v>-0.13670474580862349</v>
      </c>
      <c r="N10" s="88">
        <f>CHOOSE(Drivers!$C$3,Opex!N14,Opex!N17,Opex!N20)</f>
        <v>-0.13670474580862349</v>
      </c>
      <c r="O10" s="88">
        <f>CHOOSE(Drivers!$C$3,Opex!O14,Opex!O17,Opex!O20)</f>
        <v>-0.13670474580862349</v>
      </c>
      <c r="P10" s="88">
        <f>CHOOSE(Drivers!$C$3,Opex!P14,Opex!P17,Opex!P20)</f>
        <v>-0.13670474580862349</v>
      </c>
      <c r="Q10" s="88">
        <f>CHOOSE(Drivers!$C$3,Opex!Q14,Opex!Q17,Opex!Q20)</f>
        <v>-0.13670474580862349</v>
      </c>
    </row>
    <row r="11" spans="1:17" x14ac:dyDescent="0.25">
      <c r="B11" s="86"/>
      <c r="C11" s="89"/>
      <c r="D11" s="89"/>
      <c r="E11" s="89"/>
      <c r="F11" s="89"/>
      <c r="G11" s="86"/>
      <c r="H11" s="89"/>
      <c r="I11" s="87"/>
      <c r="J11" s="87"/>
      <c r="K11" s="87"/>
      <c r="L11" s="87"/>
      <c r="M11" s="87"/>
      <c r="N11" s="87"/>
      <c r="O11" s="87"/>
      <c r="P11" s="87"/>
      <c r="Q11" s="87"/>
    </row>
    <row r="12" spans="1:17" x14ac:dyDescent="0.25">
      <c r="B12" s="101" t="s">
        <v>210</v>
      </c>
      <c r="C12" s="89"/>
      <c r="D12" s="89"/>
      <c r="E12" s="89"/>
      <c r="F12" s="89"/>
      <c r="G12" s="86"/>
      <c r="H12" s="89"/>
      <c r="I12" s="87"/>
      <c r="J12" s="87"/>
      <c r="K12" s="87"/>
      <c r="L12" s="87"/>
      <c r="M12" s="87"/>
      <c r="N12" s="87"/>
      <c r="O12" s="87"/>
      <c r="P12" s="87"/>
      <c r="Q12" s="87"/>
    </row>
    <row r="13" spans="1:17" x14ac:dyDescent="0.25">
      <c r="B13" s="85" t="s">
        <v>70</v>
      </c>
      <c r="C13" s="86"/>
      <c r="D13" s="86"/>
      <c r="E13" s="86"/>
      <c r="F13" s="86"/>
      <c r="G13" s="86"/>
      <c r="H13" s="87"/>
      <c r="I13" s="87"/>
      <c r="J13" s="87"/>
      <c r="K13" s="87"/>
      <c r="L13" s="87"/>
      <c r="M13" s="87"/>
      <c r="N13" s="87"/>
      <c r="O13" s="87"/>
      <c r="P13" s="87"/>
      <c r="Q13" s="87"/>
    </row>
    <row r="14" spans="1:17" x14ac:dyDescent="0.25">
      <c r="B14" s="86" t="s">
        <v>223</v>
      </c>
      <c r="C14" s="89"/>
      <c r="D14" s="77"/>
      <c r="E14" s="77"/>
      <c r="F14" s="77"/>
      <c r="G14" s="86"/>
      <c r="H14" s="88">
        <f>H17+2%</f>
        <v>-0.11670474580862349</v>
      </c>
      <c r="I14" s="88">
        <f t="shared" ref="I14:Q14" si="2">I17+2%</f>
        <v>-0.11670474580862349</v>
      </c>
      <c r="J14" s="88">
        <f t="shared" si="2"/>
        <v>-0.11670474580862349</v>
      </c>
      <c r="K14" s="88">
        <f t="shared" si="2"/>
        <v>-0.11670474580862349</v>
      </c>
      <c r="L14" s="88">
        <f t="shared" si="2"/>
        <v>-0.11670474580862349</v>
      </c>
      <c r="M14" s="88">
        <f t="shared" si="2"/>
        <v>-0.11670474580862349</v>
      </c>
      <c r="N14" s="88">
        <f t="shared" si="2"/>
        <v>-0.11670474580862349</v>
      </c>
      <c r="O14" s="88">
        <f t="shared" si="2"/>
        <v>-0.11670474580862349</v>
      </c>
      <c r="P14" s="88">
        <f t="shared" si="2"/>
        <v>-0.11670474580862349</v>
      </c>
      <c r="Q14" s="88">
        <f t="shared" si="2"/>
        <v>-0.11670474580862349</v>
      </c>
    </row>
    <row r="15" spans="1:17" x14ac:dyDescent="0.25">
      <c r="B15" s="86"/>
      <c r="C15" s="89"/>
      <c r="D15" s="89"/>
      <c r="E15" s="89"/>
      <c r="F15" s="89"/>
      <c r="G15" s="86"/>
      <c r="H15" s="89"/>
      <c r="I15" s="87"/>
      <c r="J15" s="87"/>
      <c r="K15" s="87"/>
      <c r="L15" s="87"/>
      <c r="M15" s="87"/>
      <c r="N15" s="87"/>
      <c r="O15" s="87"/>
      <c r="P15" s="87"/>
      <c r="Q15" s="87"/>
    </row>
    <row r="16" spans="1:17" x14ac:dyDescent="0.25">
      <c r="B16" s="85" t="s">
        <v>71</v>
      </c>
      <c r="C16" s="86"/>
      <c r="D16" s="86"/>
      <c r="E16" s="86"/>
      <c r="F16" s="86"/>
      <c r="G16" s="86"/>
      <c r="H16" s="87"/>
      <c r="I16" s="87"/>
      <c r="J16" s="87"/>
      <c r="K16" s="87"/>
      <c r="L16" s="87"/>
      <c r="M16" s="87"/>
      <c r="N16" s="87"/>
      <c r="O16" s="87"/>
      <c r="P16" s="87"/>
      <c r="Q16" s="87"/>
    </row>
    <row r="17" spans="2:17" x14ac:dyDescent="0.25">
      <c r="B17" s="86" t="s">
        <v>223</v>
      </c>
      <c r="C17" s="89"/>
      <c r="D17" s="77"/>
      <c r="E17" s="77"/>
      <c r="F17" s="77"/>
      <c r="G17" s="86"/>
      <c r="H17" s="88">
        <f>-'Opex comparables'!$D$18</f>
        <v>-0.13670474580862349</v>
      </c>
      <c r="I17" s="88">
        <f>-'Opex comparables'!$D$18</f>
        <v>-0.13670474580862349</v>
      </c>
      <c r="J17" s="88">
        <f>-'Opex comparables'!$D$18</f>
        <v>-0.13670474580862349</v>
      </c>
      <c r="K17" s="88">
        <f>-'Opex comparables'!$D$18</f>
        <v>-0.13670474580862349</v>
      </c>
      <c r="L17" s="88">
        <f>-'Opex comparables'!$D$18</f>
        <v>-0.13670474580862349</v>
      </c>
      <c r="M17" s="88">
        <f>-'Opex comparables'!$D$18</f>
        <v>-0.13670474580862349</v>
      </c>
      <c r="N17" s="88">
        <f>-'Opex comparables'!$D$18</f>
        <v>-0.13670474580862349</v>
      </c>
      <c r="O17" s="88">
        <f>-'Opex comparables'!$D$18</f>
        <v>-0.13670474580862349</v>
      </c>
      <c r="P17" s="88">
        <f>-'Opex comparables'!$D$18</f>
        <v>-0.13670474580862349</v>
      </c>
      <c r="Q17" s="88">
        <f>-'Opex comparables'!$D$18</f>
        <v>-0.13670474580862349</v>
      </c>
    </row>
    <row r="18" spans="2:17" x14ac:dyDescent="0.25">
      <c r="B18" s="86"/>
      <c r="C18" s="89"/>
      <c r="D18" s="89"/>
      <c r="E18" s="89"/>
      <c r="F18" s="89"/>
      <c r="G18" s="86"/>
      <c r="H18" s="89"/>
      <c r="I18" s="87"/>
      <c r="J18" s="87"/>
      <c r="K18" s="87"/>
      <c r="L18" s="87"/>
      <c r="M18" s="87"/>
      <c r="N18" s="87"/>
      <c r="O18" s="87"/>
      <c r="P18" s="87"/>
      <c r="Q18" s="87"/>
    </row>
    <row r="19" spans="2:17" x14ac:dyDescent="0.25">
      <c r="B19" s="85" t="s">
        <v>72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</row>
    <row r="20" spans="2:17" x14ac:dyDescent="0.25">
      <c r="B20" s="86" t="s">
        <v>223</v>
      </c>
      <c r="C20" s="89"/>
      <c r="D20" s="77"/>
      <c r="E20" s="77"/>
      <c r="F20" s="77"/>
      <c r="G20" s="86"/>
      <c r="H20" s="88">
        <f>H17-2%</f>
        <v>-0.15670474580862348</v>
      </c>
      <c r="I20" s="88">
        <f t="shared" ref="I20:Q20" si="3">I17-2%</f>
        <v>-0.15670474580862348</v>
      </c>
      <c r="J20" s="88">
        <f t="shared" si="3"/>
        <v>-0.15670474580862348</v>
      </c>
      <c r="K20" s="88">
        <f t="shared" si="3"/>
        <v>-0.15670474580862348</v>
      </c>
      <c r="L20" s="88">
        <f t="shared" si="3"/>
        <v>-0.15670474580862348</v>
      </c>
      <c r="M20" s="88">
        <f t="shared" si="3"/>
        <v>-0.15670474580862348</v>
      </c>
      <c r="N20" s="88">
        <f t="shared" si="3"/>
        <v>-0.15670474580862348</v>
      </c>
      <c r="O20" s="88">
        <f t="shared" si="3"/>
        <v>-0.15670474580862348</v>
      </c>
      <c r="P20" s="88">
        <f t="shared" si="3"/>
        <v>-0.15670474580862348</v>
      </c>
      <c r="Q20" s="88">
        <f t="shared" si="3"/>
        <v>-0.15670474580862348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3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" sqref="B1"/>
    </sheetView>
  </sheetViews>
  <sheetFormatPr defaultColWidth="9.109375" defaultRowHeight="13.2" x14ac:dyDescent="0.25"/>
  <cols>
    <col min="1" max="1" width="2" style="19" customWidth="1"/>
    <col min="2" max="2" width="29.33203125" style="19" bestFit="1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2" width="10.33203125" style="19" customWidth="1"/>
    <col min="13" max="13" width="10.44140625" style="19" customWidth="1"/>
    <col min="14" max="14" width="11" style="19" customWidth="1"/>
    <col min="15" max="15" width="10.5546875" style="19" customWidth="1"/>
    <col min="16" max="16" width="10.109375" style="19" customWidth="1"/>
    <col min="17" max="17" width="10.6640625" style="19" customWidth="1"/>
    <col min="18" max="16384" width="9.109375" style="19"/>
  </cols>
  <sheetData>
    <row r="1" spans="1:17" ht="15.6" x14ac:dyDescent="0.3">
      <c r="B1" s="18" t="s">
        <v>155</v>
      </c>
    </row>
    <row r="3" spans="1:17" x14ac:dyDescent="0.25">
      <c r="B3" s="110" t="str">
        <f>"Selected case:"&amp;CHOOSE(C3," as a % of PPE"," as a % of revenue")</f>
        <v>Selected case: as a % of PPE</v>
      </c>
      <c r="C3" s="109">
        <v>1</v>
      </c>
    </row>
    <row r="4" spans="1:17" ht="5.4" customHeight="1" x14ac:dyDescent="0.25">
      <c r="B4" s="110"/>
      <c r="C4" s="111"/>
    </row>
    <row r="5" spans="1:17" x14ac:dyDescent="0.25">
      <c r="C5" s="236" t="s">
        <v>225</v>
      </c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</row>
    <row r="6" spans="1:17" ht="26.4" customHeight="1" x14ac:dyDescent="0.25">
      <c r="A6" s="19" t="s">
        <v>75</v>
      </c>
      <c r="B6" s="5" t="s">
        <v>244</v>
      </c>
      <c r="C6" s="6" t="s">
        <v>226</v>
      </c>
      <c r="D6" s="6" t="s">
        <v>227</v>
      </c>
      <c r="E6" s="6" t="s">
        <v>228</v>
      </c>
      <c r="F6" s="6" t="s">
        <v>330</v>
      </c>
      <c r="G6" s="6" t="s">
        <v>359</v>
      </c>
      <c r="H6" s="92" t="s">
        <v>270</v>
      </c>
      <c r="I6" s="92" t="s">
        <v>271</v>
      </c>
      <c r="J6" s="92" t="s">
        <v>272</v>
      </c>
      <c r="K6" s="92" t="s">
        <v>273</v>
      </c>
      <c r="L6" s="92" t="s">
        <v>274</v>
      </c>
      <c r="M6" s="92" t="s">
        <v>275</v>
      </c>
      <c r="N6" s="92" t="s">
        <v>276</v>
      </c>
      <c r="O6" s="92" t="s">
        <v>277</v>
      </c>
      <c r="P6" s="92" t="s">
        <v>278</v>
      </c>
      <c r="Q6" s="92" t="s">
        <v>334</v>
      </c>
    </row>
    <row r="7" spans="1:17" x14ac:dyDescent="0.25">
      <c r="B7" s="20" t="s">
        <v>80</v>
      </c>
      <c r="C7" s="208">
        <f>738494/1000</f>
        <v>738.49400000000003</v>
      </c>
      <c r="D7" s="112">
        <f t="shared" ref="D7:Q7" si="0">C10</f>
        <v>3403.3339999999998</v>
      </c>
      <c r="E7" s="112">
        <f t="shared" si="0"/>
        <v>5982.9570000000003</v>
      </c>
      <c r="F7" s="112">
        <f t="shared" si="0"/>
        <v>10027.522000000001</v>
      </c>
      <c r="G7" s="154">
        <f t="shared" si="0"/>
        <v>11330.076999999999</v>
      </c>
      <c r="H7" s="113">
        <f t="shared" si="0"/>
        <v>10396</v>
      </c>
      <c r="I7" s="113">
        <f t="shared" si="0"/>
        <v>11620.915202632239</v>
      </c>
      <c r="J7" s="113">
        <f t="shared" si="0"/>
        <v>12861.035525162086</v>
      </c>
      <c r="K7" s="113">
        <f t="shared" si="0"/>
        <v>14090.026596765269</v>
      </c>
      <c r="L7" s="113">
        <f t="shared" si="0"/>
        <v>15275.449738626023</v>
      </c>
      <c r="M7" s="113">
        <f t="shared" si="0"/>
        <v>16378.069655985839</v>
      </c>
      <c r="N7" s="113">
        <f t="shared" si="0"/>
        <v>17351.159069413741</v>
      </c>
      <c r="O7" s="113">
        <f t="shared" si="0"/>
        <v>18139.816374405727</v>
      </c>
      <c r="P7" s="113">
        <f t="shared" si="0"/>
        <v>18680.315997120495</v>
      </c>
      <c r="Q7" s="113">
        <f t="shared" si="0"/>
        <v>18899.515082888276</v>
      </c>
    </row>
    <row r="8" spans="1:17" x14ac:dyDescent="0.25">
      <c r="B8" s="20" t="s">
        <v>81</v>
      </c>
      <c r="C8" s="154">
        <f>C10-C7-C9</f>
        <v>3087.8399999999997</v>
      </c>
      <c r="D8" s="154">
        <f>D10-D7-D9</f>
        <v>3526.6230000000005</v>
      </c>
      <c r="E8" s="154">
        <f>E10-E7-E9</f>
        <v>5680.5650000000005</v>
      </c>
      <c r="F8" s="154">
        <f>F10-F7-F9</f>
        <v>3203.5549999999985</v>
      </c>
      <c r="G8" s="154">
        <f>G10-G7-G9</f>
        <v>1219.9230000000007</v>
      </c>
      <c r="H8" s="113">
        <f>CHOOSE($C$3,H32*H7,H33*Opex!H5)</f>
        <v>2516.1280029247109</v>
      </c>
      <c r="I8" s="113">
        <f>CHOOSE($C$3,I32*I7,I33*Opex!I5)</f>
        <v>2812.5923586914651</v>
      </c>
      <c r="J8" s="113">
        <f>CHOOSE($C$3,J32*J7,J33*Opex!J5)</f>
        <v>3112.7367864053331</v>
      </c>
      <c r="K8" s="113">
        <f>CHOOSE($C$3,K32*K7,K33*Opex!K5)</f>
        <v>3410.1876185143383</v>
      </c>
      <c r="L8" s="113">
        <f>CHOOSE($C$3,L32*L7,L33*Opex!L5)</f>
        <v>3697.0937711259999</v>
      </c>
      <c r="M8" s="113">
        <f>CHOOSE($C$3,M32*M7,M33*Opex!M5)</f>
        <v>3963.9591857712062</v>
      </c>
      <c r="N8" s="113">
        <f>CHOOSE($C$3,N32*N7,N33*Opex!N5)</f>
        <v>4199.4745303725458</v>
      </c>
      <c r="O8" s="113">
        <f>CHOOSE($C$3,O32*O7,O33*Opex!O5)</f>
        <v>4390.352053439251</v>
      </c>
      <c r="P8" s="113">
        <f>CHOOSE($C$3,P32*P7,P33*Opex!P5)</f>
        <v>4521.1683516580724</v>
      </c>
      <c r="Q8" s="113">
        <f>CHOOSE($C$3,Q32*Q7,Q33*Opex!Q5)</f>
        <v>4574.2207716191933</v>
      </c>
    </row>
    <row r="9" spans="1:17" x14ac:dyDescent="0.25">
      <c r="B9" s="19" t="s">
        <v>82</v>
      </c>
      <c r="C9" s="170">
        <v>-423</v>
      </c>
      <c r="D9" s="170">
        <v>-947</v>
      </c>
      <c r="E9" s="170">
        <v>-1636</v>
      </c>
      <c r="F9" s="170">
        <v>-1901</v>
      </c>
      <c r="G9" s="170">
        <v>-2154</v>
      </c>
      <c r="H9" s="73">
        <f t="shared" ref="H9:Q9" si="1">H28</f>
        <v>-1291.212800292471</v>
      </c>
      <c r="I9" s="73">
        <f t="shared" si="1"/>
        <v>-1572.4720361616176</v>
      </c>
      <c r="J9" s="73">
        <f t="shared" si="1"/>
        <v>-1883.7457148021508</v>
      </c>
      <c r="K9" s="73">
        <f t="shared" si="1"/>
        <v>-2224.7644766535846</v>
      </c>
      <c r="L9" s="73">
        <f t="shared" si="1"/>
        <v>-2594.4738537661847</v>
      </c>
      <c r="M9" s="73">
        <f t="shared" si="1"/>
        <v>-2990.8697723433052</v>
      </c>
      <c r="N9" s="73">
        <f t="shared" si="1"/>
        <v>-3410.8172253805596</v>
      </c>
      <c r="O9" s="73">
        <f t="shared" si="1"/>
        <v>-3849.8524307244847</v>
      </c>
      <c r="P9" s="73">
        <f t="shared" si="1"/>
        <v>-4301.9692658902923</v>
      </c>
      <c r="Q9" s="73">
        <f t="shared" si="1"/>
        <v>-4759.3913430522116</v>
      </c>
    </row>
    <row r="10" spans="1:17" s="22" customFormat="1" ht="14.4" thickBot="1" x14ac:dyDescent="0.3">
      <c r="B10" s="108" t="s">
        <v>83</v>
      </c>
      <c r="C10" s="114">
        <f>'Balance Sheet Input'!C12/1000</f>
        <v>3403.3339999999998</v>
      </c>
      <c r="D10" s="114">
        <f>'Balance Sheet Input'!D12/1000</f>
        <v>5982.9570000000003</v>
      </c>
      <c r="E10" s="114">
        <f>'Balance Sheet Input'!E12/1000</f>
        <v>10027.522000000001</v>
      </c>
      <c r="F10" s="114">
        <f>'Balance Sheet Input'!F12/1000</f>
        <v>11330.076999999999</v>
      </c>
      <c r="G10" s="114">
        <f>'Balance Sheet Input'!G12/1000</f>
        <v>10396</v>
      </c>
      <c r="H10" s="114">
        <f t="shared" ref="H10:Q10" si="2">SUM(H7:H9)</f>
        <v>11620.915202632239</v>
      </c>
      <c r="I10" s="114">
        <f t="shared" si="2"/>
        <v>12861.035525162086</v>
      </c>
      <c r="J10" s="114">
        <f t="shared" si="2"/>
        <v>14090.026596765269</v>
      </c>
      <c r="K10" s="114">
        <f t="shared" si="2"/>
        <v>15275.449738626023</v>
      </c>
      <c r="L10" s="114">
        <f t="shared" si="2"/>
        <v>16378.069655985839</v>
      </c>
      <c r="M10" s="114">
        <f t="shared" si="2"/>
        <v>17351.159069413741</v>
      </c>
      <c r="N10" s="114">
        <f t="shared" si="2"/>
        <v>18139.816374405727</v>
      </c>
      <c r="O10" s="114">
        <f t="shared" si="2"/>
        <v>18680.315997120495</v>
      </c>
      <c r="P10" s="114">
        <f t="shared" si="2"/>
        <v>18899.515082888276</v>
      </c>
      <c r="Q10" s="114">
        <f t="shared" si="2"/>
        <v>18714.344511455256</v>
      </c>
    </row>
    <row r="11" spans="1:17" ht="14.25" customHeight="1" x14ac:dyDescent="0.25"/>
    <row r="12" spans="1:17" x14ac:dyDescent="0.25">
      <c r="B12" s="20" t="s">
        <v>86</v>
      </c>
      <c r="C12" s="21">
        <v>10</v>
      </c>
    </row>
    <row r="13" spans="1:17" x14ac:dyDescent="0.25">
      <c r="B13" s="20" t="s">
        <v>85</v>
      </c>
      <c r="C13" s="21">
        <v>10</v>
      </c>
      <c r="H13" s="205"/>
      <c r="I13" s="205"/>
      <c r="J13" s="205"/>
      <c r="K13" s="205"/>
      <c r="L13" s="205"/>
      <c r="M13" s="205"/>
      <c r="N13" s="205"/>
      <c r="O13" s="205"/>
      <c r="P13" s="205"/>
      <c r="Q13" s="205"/>
    </row>
    <row r="15" spans="1:17" x14ac:dyDescent="0.25">
      <c r="C15" s="236" t="s">
        <v>386</v>
      </c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</row>
    <row r="16" spans="1:17" ht="25.5" customHeight="1" x14ac:dyDescent="0.25">
      <c r="B16" s="5" t="s">
        <v>244</v>
      </c>
      <c r="C16" s="6" t="s">
        <v>226</v>
      </c>
      <c r="D16" s="6" t="s">
        <v>227</v>
      </c>
      <c r="E16" s="6" t="s">
        <v>228</v>
      </c>
      <c r="F16" s="6" t="s">
        <v>330</v>
      </c>
      <c r="G16" s="6" t="s">
        <v>359</v>
      </c>
      <c r="H16" s="92" t="s">
        <v>270</v>
      </c>
      <c r="I16" s="92" t="s">
        <v>271</v>
      </c>
      <c r="J16" s="92" t="s">
        <v>272</v>
      </c>
      <c r="K16" s="92" t="s">
        <v>273</v>
      </c>
      <c r="L16" s="92" t="s">
        <v>274</v>
      </c>
      <c r="M16" s="92" t="s">
        <v>275</v>
      </c>
      <c r="N16" s="92" t="s">
        <v>276</v>
      </c>
      <c r="O16" s="92" t="s">
        <v>277</v>
      </c>
      <c r="P16" s="92" t="s">
        <v>278</v>
      </c>
      <c r="Q16" s="92" t="s">
        <v>334</v>
      </c>
    </row>
    <row r="17" spans="2:17" x14ac:dyDescent="0.25">
      <c r="H17" s="170">
        <f>-$H$7/$C$13</f>
        <v>-1039.5999999999999</v>
      </c>
      <c r="I17" s="170">
        <f t="shared" ref="I17:Q17" si="3">-$H$7/$C$13</f>
        <v>-1039.5999999999999</v>
      </c>
      <c r="J17" s="170">
        <f t="shared" si="3"/>
        <v>-1039.5999999999999</v>
      </c>
      <c r="K17" s="170">
        <f t="shared" si="3"/>
        <v>-1039.5999999999999</v>
      </c>
      <c r="L17" s="170">
        <f t="shared" si="3"/>
        <v>-1039.5999999999999</v>
      </c>
      <c r="M17" s="170">
        <f t="shared" si="3"/>
        <v>-1039.5999999999999</v>
      </c>
      <c r="N17" s="170">
        <f t="shared" si="3"/>
        <v>-1039.5999999999999</v>
      </c>
      <c r="O17" s="170">
        <f t="shared" si="3"/>
        <v>-1039.5999999999999</v>
      </c>
      <c r="P17" s="170">
        <f t="shared" si="3"/>
        <v>-1039.5999999999999</v>
      </c>
      <c r="Q17" s="170">
        <f t="shared" si="3"/>
        <v>-1039.5999999999999</v>
      </c>
    </row>
    <row r="18" spans="2:17" x14ac:dyDescent="0.25">
      <c r="H18" s="170">
        <f>-$H$8/$C$13</f>
        <v>-251.61280029247109</v>
      </c>
      <c r="I18" s="170">
        <f t="shared" ref="I18:Q18" si="4">-$H$8/$C$13</f>
        <v>-251.61280029247109</v>
      </c>
      <c r="J18" s="170">
        <f t="shared" si="4"/>
        <v>-251.61280029247109</v>
      </c>
      <c r="K18" s="170">
        <f t="shared" si="4"/>
        <v>-251.61280029247109</v>
      </c>
      <c r="L18" s="170">
        <f t="shared" si="4"/>
        <v>-251.61280029247109</v>
      </c>
      <c r="M18" s="170">
        <f t="shared" si="4"/>
        <v>-251.61280029247109</v>
      </c>
      <c r="N18" s="170">
        <f t="shared" si="4"/>
        <v>-251.61280029247109</v>
      </c>
      <c r="O18" s="170">
        <f t="shared" si="4"/>
        <v>-251.61280029247109</v>
      </c>
      <c r="P18" s="170">
        <f t="shared" si="4"/>
        <v>-251.61280029247109</v>
      </c>
      <c r="Q18" s="170">
        <f t="shared" si="4"/>
        <v>-251.61280029247109</v>
      </c>
    </row>
    <row r="19" spans="2:17" x14ac:dyDescent="0.25">
      <c r="H19" s="170"/>
      <c r="I19" s="170">
        <f>-$I$8/$C$12</f>
        <v>-281.25923586914649</v>
      </c>
      <c r="J19" s="170">
        <f t="shared" ref="J19:Q19" si="5">-$I$8/$C$12</f>
        <v>-281.25923586914649</v>
      </c>
      <c r="K19" s="170">
        <f t="shared" si="5"/>
        <v>-281.25923586914649</v>
      </c>
      <c r="L19" s="170">
        <f t="shared" si="5"/>
        <v>-281.25923586914649</v>
      </c>
      <c r="M19" s="170">
        <f t="shared" si="5"/>
        <v>-281.25923586914649</v>
      </c>
      <c r="N19" s="170">
        <f t="shared" si="5"/>
        <v>-281.25923586914649</v>
      </c>
      <c r="O19" s="170">
        <f t="shared" si="5"/>
        <v>-281.25923586914649</v>
      </c>
      <c r="P19" s="170">
        <f t="shared" si="5"/>
        <v>-281.25923586914649</v>
      </c>
      <c r="Q19" s="170">
        <f t="shared" si="5"/>
        <v>-281.25923586914649</v>
      </c>
    </row>
    <row r="20" spans="2:17" x14ac:dyDescent="0.25">
      <c r="H20" s="170"/>
      <c r="I20" s="170"/>
      <c r="J20" s="170">
        <f>-$J$8/$C$13</f>
        <v>-311.27367864053332</v>
      </c>
      <c r="K20" s="170">
        <f t="shared" ref="K20:Q20" si="6">-$J$8/$C$13</f>
        <v>-311.27367864053332</v>
      </c>
      <c r="L20" s="170">
        <f t="shared" si="6"/>
        <v>-311.27367864053332</v>
      </c>
      <c r="M20" s="170">
        <f t="shared" si="6"/>
        <v>-311.27367864053332</v>
      </c>
      <c r="N20" s="170">
        <f t="shared" si="6"/>
        <v>-311.27367864053332</v>
      </c>
      <c r="O20" s="170">
        <f t="shared" si="6"/>
        <v>-311.27367864053332</v>
      </c>
      <c r="P20" s="170">
        <f t="shared" si="6"/>
        <v>-311.27367864053332</v>
      </c>
      <c r="Q20" s="170">
        <f t="shared" si="6"/>
        <v>-311.27367864053332</v>
      </c>
    </row>
    <row r="21" spans="2:17" x14ac:dyDescent="0.25">
      <c r="H21" s="170"/>
      <c r="I21" s="170"/>
      <c r="J21" s="170"/>
      <c r="K21" s="170">
        <f>-$K$8/$C$12</f>
        <v>-341.01876185143385</v>
      </c>
      <c r="L21" s="170">
        <f t="shared" ref="L21:Q21" si="7">-$K$8/$C$12</f>
        <v>-341.01876185143385</v>
      </c>
      <c r="M21" s="170">
        <f t="shared" si="7"/>
        <v>-341.01876185143385</v>
      </c>
      <c r="N21" s="170">
        <f t="shared" si="7"/>
        <v>-341.01876185143385</v>
      </c>
      <c r="O21" s="170">
        <f t="shared" si="7"/>
        <v>-341.01876185143385</v>
      </c>
      <c r="P21" s="170">
        <f t="shared" si="7"/>
        <v>-341.01876185143385</v>
      </c>
      <c r="Q21" s="170">
        <f t="shared" si="7"/>
        <v>-341.01876185143385</v>
      </c>
    </row>
    <row r="22" spans="2:17" x14ac:dyDescent="0.25">
      <c r="H22" s="170"/>
      <c r="I22" s="170"/>
      <c r="J22" s="170"/>
      <c r="K22" s="170"/>
      <c r="L22" s="170">
        <f>-$L$8/$C$12</f>
        <v>-369.70937711260001</v>
      </c>
      <c r="M22" s="170">
        <f t="shared" ref="M22:Q22" si="8">-$L$8/$C$12</f>
        <v>-369.70937711260001</v>
      </c>
      <c r="N22" s="170">
        <f t="shared" si="8"/>
        <v>-369.70937711260001</v>
      </c>
      <c r="O22" s="170">
        <f t="shared" si="8"/>
        <v>-369.70937711260001</v>
      </c>
      <c r="P22" s="170">
        <f t="shared" si="8"/>
        <v>-369.70937711260001</v>
      </c>
      <c r="Q22" s="170">
        <f t="shared" si="8"/>
        <v>-369.70937711260001</v>
      </c>
    </row>
    <row r="23" spans="2:17" x14ac:dyDescent="0.25">
      <c r="H23" s="170"/>
      <c r="I23" s="170"/>
      <c r="J23" s="170"/>
      <c r="K23" s="170"/>
      <c r="L23" s="170"/>
      <c r="M23" s="170">
        <f>-$M$8/$C$12</f>
        <v>-396.3959185771206</v>
      </c>
      <c r="N23" s="170">
        <f t="shared" ref="N23:Q23" si="9">-$M$8/$C$12</f>
        <v>-396.3959185771206</v>
      </c>
      <c r="O23" s="170">
        <f t="shared" si="9"/>
        <v>-396.3959185771206</v>
      </c>
      <c r="P23" s="170">
        <f t="shared" si="9"/>
        <v>-396.3959185771206</v>
      </c>
      <c r="Q23" s="170">
        <f t="shared" si="9"/>
        <v>-396.3959185771206</v>
      </c>
    </row>
    <row r="24" spans="2:17" x14ac:dyDescent="0.25">
      <c r="H24" s="170"/>
      <c r="I24" s="170"/>
      <c r="J24" s="170"/>
      <c r="K24" s="170"/>
      <c r="L24" s="170"/>
      <c r="M24" s="170"/>
      <c r="N24" s="170">
        <f>-$N$8/$C$12</f>
        <v>-419.9474530372546</v>
      </c>
      <c r="O24" s="170">
        <f t="shared" ref="O24:Q24" si="10">-$N$8/$C$12</f>
        <v>-419.9474530372546</v>
      </c>
      <c r="P24" s="170">
        <f t="shared" si="10"/>
        <v>-419.9474530372546</v>
      </c>
      <c r="Q24" s="170">
        <f t="shared" si="10"/>
        <v>-419.9474530372546</v>
      </c>
    </row>
    <row r="25" spans="2:17" x14ac:dyDescent="0.25">
      <c r="H25" s="170"/>
      <c r="I25" s="170"/>
      <c r="J25" s="170"/>
      <c r="K25" s="170"/>
      <c r="L25" s="170"/>
      <c r="M25" s="170"/>
      <c r="N25" s="170"/>
      <c r="O25" s="170">
        <f>-$O$8/$C$12</f>
        <v>-439.0352053439251</v>
      </c>
      <c r="P25" s="170">
        <f t="shared" ref="P25:Q25" si="11">-$O$8/$C$12</f>
        <v>-439.0352053439251</v>
      </c>
      <c r="Q25" s="170">
        <f t="shared" si="11"/>
        <v>-439.0352053439251</v>
      </c>
    </row>
    <row r="26" spans="2:17" x14ac:dyDescent="0.25">
      <c r="H26" s="170"/>
      <c r="I26" s="170"/>
      <c r="J26" s="170"/>
      <c r="K26" s="170"/>
      <c r="L26" s="170"/>
      <c r="M26" s="170"/>
      <c r="N26" s="170"/>
      <c r="O26" s="170"/>
      <c r="P26" s="170">
        <f>-$P$8/$C$12</f>
        <v>-452.11683516580723</v>
      </c>
      <c r="Q26" s="170">
        <f>-$P$8/$C$12</f>
        <v>-452.11683516580723</v>
      </c>
    </row>
    <row r="27" spans="2:17" x14ac:dyDescent="0.25">
      <c r="H27" s="170"/>
      <c r="I27" s="170"/>
      <c r="J27" s="170"/>
      <c r="K27" s="170"/>
      <c r="L27" s="170"/>
      <c r="M27" s="170"/>
      <c r="N27" s="170"/>
      <c r="O27" s="170"/>
      <c r="P27" s="170"/>
      <c r="Q27" s="170">
        <f>-$Q$8/$C$12</f>
        <v>-457.42207716191933</v>
      </c>
    </row>
    <row r="28" spans="2:17" ht="13.8" thickBot="1" x14ac:dyDescent="0.3">
      <c r="B28" s="108" t="s">
        <v>387</v>
      </c>
      <c r="C28" s="114">
        <f t="shared" ref="C28:P28" si="12">SUM(C17:C27)</f>
        <v>0</v>
      </c>
      <c r="D28" s="114">
        <f t="shared" si="12"/>
        <v>0</v>
      </c>
      <c r="E28" s="114">
        <f t="shared" si="12"/>
        <v>0</v>
      </c>
      <c r="F28" s="114">
        <f t="shared" si="12"/>
        <v>0</v>
      </c>
      <c r="G28" s="114">
        <f t="shared" si="12"/>
        <v>0</v>
      </c>
      <c r="H28" s="114">
        <f t="shared" si="12"/>
        <v>-1291.212800292471</v>
      </c>
      <c r="I28" s="114">
        <f t="shared" si="12"/>
        <v>-1572.4720361616176</v>
      </c>
      <c r="J28" s="114">
        <f t="shared" si="12"/>
        <v>-1883.7457148021508</v>
      </c>
      <c r="K28" s="114">
        <f t="shared" si="12"/>
        <v>-2224.7644766535846</v>
      </c>
      <c r="L28" s="114">
        <f t="shared" si="12"/>
        <v>-2594.4738537661847</v>
      </c>
      <c r="M28" s="114">
        <f t="shared" si="12"/>
        <v>-2990.8697723433052</v>
      </c>
      <c r="N28" s="114">
        <f t="shared" si="12"/>
        <v>-3410.8172253805596</v>
      </c>
      <c r="O28" s="114">
        <f t="shared" si="12"/>
        <v>-3849.8524307244847</v>
      </c>
      <c r="P28" s="114">
        <f t="shared" si="12"/>
        <v>-4301.9692658902923</v>
      </c>
      <c r="Q28" s="114">
        <f>SUM(Q17:Q27)</f>
        <v>-4759.3913430522116</v>
      </c>
    </row>
    <row r="31" spans="2:17" s="8" customFormat="1" ht="11.4" x14ac:dyDescent="0.25">
      <c r="B31" s="85" t="s">
        <v>74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</row>
    <row r="32" spans="2:17" s="8" customFormat="1" ht="11.4" x14ac:dyDescent="0.25">
      <c r="B32" s="86" t="s">
        <v>84</v>
      </c>
      <c r="C32" s="102"/>
      <c r="D32" s="102"/>
      <c r="E32" s="102"/>
      <c r="F32" s="102"/>
      <c r="G32" s="86"/>
      <c r="H32" s="88">
        <f>CHOOSE(Drivers!$C$3,H36,H39,H42)</f>
        <v>0.24202847277074943</v>
      </c>
      <c r="I32" s="88">
        <f>CHOOSE(Drivers!$C$3,I36,I39,I42)</f>
        <v>0.24202847277074943</v>
      </c>
      <c r="J32" s="88">
        <f>CHOOSE(Drivers!$C$3,J36,J39,J42)</f>
        <v>0.24202847277074943</v>
      </c>
      <c r="K32" s="88">
        <f>CHOOSE(Drivers!$C$3,K36,K39,K42)</f>
        <v>0.24202847277074943</v>
      </c>
      <c r="L32" s="88">
        <f>CHOOSE(Drivers!$C$3,L36,L39,L42)</f>
        <v>0.24202847277074943</v>
      </c>
      <c r="M32" s="88">
        <f>CHOOSE(Drivers!$C$3,M36,M39,M42)</f>
        <v>0.24202847277074943</v>
      </c>
      <c r="N32" s="88">
        <f>CHOOSE(Drivers!$C$3,N36,N39,N42)</f>
        <v>0.24202847277074943</v>
      </c>
      <c r="O32" s="88">
        <f>CHOOSE(Drivers!$C$3,O36,O39,O42)</f>
        <v>0.24202847277074943</v>
      </c>
      <c r="P32" s="88">
        <f>CHOOSE(Drivers!$C$3,P36,P39,P42)</f>
        <v>0.24202847277074943</v>
      </c>
      <c r="Q32" s="88">
        <f>CHOOSE(Drivers!$C$3,Q36,Q39,Q42)</f>
        <v>0.24202847277074943</v>
      </c>
    </row>
    <row r="33" spans="2:17" s="8" customFormat="1" ht="11.4" x14ac:dyDescent="0.25">
      <c r="B33" s="86" t="s">
        <v>357</v>
      </c>
      <c r="C33" s="89"/>
      <c r="D33" s="89"/>
      <c r="E33" s="89"/>
      <c r="F33" s="89"/>
      <c r="G33" s="86"/>
      <c r="H33" s="88">
        <f>CHOOSE(Drivers!$C$3,H37,H40,H43)</f>
        <v>6.4053330662578414E-2</v>
      </c>
      <c r="I33" s="88">
        <f>CHOOSE(Drivers!$C$3,I37,I40,I43)</f>
        <v>6.4053330662578414E-2</v>
      </c>
      <c r="J33" s="88">
        <f>CHOOSE(Drivers!$C$3,J37,J40,J43)</f>
        <v>6.4053330662578414E-2</v>
      </c>
      <c r="K33" s="88">
        <f>CHOOSE(Drivers!$C$3,K37,K40,K43)</f>
        <v>6.4053330662578414E-2</v>
      </c>
      <c r="L33" s="88">
        <f>CHOOSE(Drivers!$C$3,L37,L40,L43)</f>
        <v>6.4053330662578414E-2</v>
      </c>
      <c r="M33" s="88">
        <f>CHOOSE(Drivers!$C$3,M37,M40,M43)</f>
        <v>6.4053330662578414E-2</v>
      </c>
      <c r="N33" s="88">
        <f>CHOOSE(Drivers!$C$3,N37,N40,N43)</f>
        <v>6.4053330662578414E-2</v>
      </c>
      <c r="O33" s="88">
        <f>CHOOSE(Drivers!$C$3,O37,O40,O43)</f>
        <v>6.4053330662578414E-2</v>
      </c>
      <c r="P33" s="88">
        <f>CHOOSE(Drivers!$C$3,P37,P40,P43)</f>
        <v>6.4053330662578414E-2</v>
      </c>
      <c r="Q33" s="88">
        <f>CHOOSE(Drivers!$C$3,Q37,Q40,Q43)</f>
        <v>6.4053330662578414E-2</v>
      </c>
    </row>
    <row r="34" spans="2:17" s="8" customFormat="1" ht="11.4" x14ac:dyDescent="0.25">
      <c r="B34" s="101" t="s">
        <v>358</v>
      </c>
      <c r="C34" s="89"/>
      <c r="D34" s="89"/>
      <c r="E34" s="89"/>
      <c r="F34" s="89"/>
      <c r="G34" s="86"/>
      <c r="H34" s="89"/>
      <c r="I34" s="87"/>
      <c r="J34" s="87"/>
      <c r="K34" s="87"/>
      <c r="L34" s="87"/>
      <c r="M34" s="87"/>
      <c r="N34" s="87"/>
      <c r="O34" s="87"/>
      <c r="P34" s="87"/>
      <c r="Q34" s="87"/>
    </row>
    <row r="35" spans="2:17" s="8" customFormat="1" ht="11.4" x14ac:dyDescent="0.25">
      <c r="B35" s="85" t="s">
        <v>70</v>
      </c>
      <c r="C35" s="86"/>
      <c r="D35" s="86"/>
      <c r="E35" s="86"/>
      <c r="F35" s="86"/>
      <c r="G35" s="86"/>
      <c r="H35" s="87"/>
      <c r="I35" s="87"/>
      <c r="J35" s="87"/>
      <c r="K35" s="87"/>
      <c r="L35" s="87"/>
      <c r="M35" s="87"/>
      <c r="N35" s="87"/>
      <c r="O35" s="87"/>
      <c r="P35" s="87"/>
      <c r="Q35" s="87"/>
    </row>
    <row r="36" spans="2:17" s="8" customFormat="1" ht="11.4" x14ac:dyDescent="0.25">
      <c r="B36" s="86" t="s">
        <v>84</v>
      </c>
      <c r="C36" s="89"/>
      <c r="D36" s="89"/>
      <c r="E36" s="89"/>
      <c r="F36" s="89"/>
      <c r="G36" s="86"/>
      <c r="H36" s="88">
        <f>H39-5%</f>
        <v>0.19202847277074941</v>
      </c>
      <c r="I36" s="88">
        <f t="shared" ref="I36:P36" si="13">I39-5%</f>
        <v>0.19202847277074941</v>
      </c>
      <c r="J36" s="88">
        <f t="shared" si="13"/>
        <v>0.19202847277074941</v>
      </c>
      <c r="K36" s="88">
        <f t="shared" si="13"/>
        <v>0.19202847277074941</v>
      </c>
      <c r="L36" s="88">
        <f t="shared" si="13"/>
        <v>0.19202847277074941</v>
      </c>
      <c r="M36" s="88">
        <f t="shared" si="13"/>
        <v>0.19202847277074941</v>
      </c>
      <c r="N36" s="88">
        <f t="shared" si="13"/>
        <v>0.19202847277074941</v>
      </c>
      <c r="O36" s="88">
        <f t="shared" si="13"/>
        <v>0.19202847277074941</v>
      </c>
      <c r="P36" s="88">
        <f t="shared" si="13"/>
        <v>0.19202847277074941</v>
      </c>
      <c r="Q36" s="88">
        <f t="shared" ref="Q36" si="14">Q39+5%</f>
        <v>0.29202847277074945</v>
      </c>
    </row>
    <row r="37" spans="2:17" s="8" customFormat="1" ht="11.4" x14ac:dyDescent="0.25">
      <c r="B37" s="86" t="str">
        <f>B33</f>
        <v>Capex as a % of revenue</v>
      </c>
      <c r="C37" s="89"/>
      <c r="D37" s="77"/>
      <c r="E37" s="77"/>
      <c r="F37" s="77"/>
      <c r="G37" s="86"/>
      <c r="H37" s="88">
        <f>H40-3%</f>
        <v>3.4053330662578415E-2</v>
      </c>
      <c r="I37" s="88">
        <f t="shared" ref="I37:P37" si="15">I40-3%</f>
        <v>3.4053330662578415E-2</v>
      </c>
      <c r="J37" s="88">
        <f t="shared" si="15"/>
        <v>3.4053330662578415E-2</v>
      </c>
      <c r="K37" s="88">
        <f t="shared" si="15"/>
        <v>3.4053330662578415E-2</v>
      </c>
      <c r="L37" s="88">
        <f t="shared" si="15"/>
        <v>3.4053330662578415E-2</v>
      </c>
      <c r="M37" s="88">
        <f t="shared" si="15"/>
        <v>3.4053330662578415E-2</v>
      </c>
      <c r="N37" s="88">
        <f t="shared" si="15"/>
        <v>3.4053330662578415E-2</v>
      </c>
      <c r="O37" s="88">
        <f t="shared" si="15"/>
        <v>3.4053330662578415E-2</v>
      </c>
      <c r="P37" s="88">
        <f t="shared" si="15"/>
        <v>3.4053330662578415E-2</v>
      </c>
      <c r="Q37" s="88">
        <f t="shared" ref="Q37" si="16">Q40+3%</f>
        <v>9.4053330662578413E-2</v>
      </c>
    </row>
    <row r="38" spans="2:17" s="8" customFormat="1" ht="11.4" x14ac:dyDescent="0.25">
      <c r="B38" s="85" t="s">
        <v>71</v>
      </c>
      <c r="C38" s="86"/>
      <c r="D38" s="86"/>
      <c r="E38" s="86"/>
      <c r="F38" s="86"/>
      <c r="G38" s="86"/>
      <c r="H38" s="87"/>
      <c r="I38" s="87"/>
      <c r="J38" s="87"/>
      <c r="K38" s="87"/>
      <c r="L38" s="87"/>
      <c r="M38" s="87"/>
      <c r="N38" s="87"/>
      <c r="O38" s="87"/>
      <c r="P38" s="87"/>
      <c r="Q38" s="87"/>
    </row>
    <row r="39" spans="2:17" s="8" customFormat="1" ht="11.4" x14ac:dyDescent="0.25">
      <c r="B39" s="86" t="s">
        <v>84</v>
      </c>
      <c r="C39" s="89"/>
      <c r="D39" s="89"/>
      <c r="E39" s="89"/>
      <c r="F39" s="89"/>
      <c r="G39" s="86"/>
      <c r="H39" s="91">
        <f>-'PP&amp;E Comparables'!D16</f>
        <v>0.24202847277074943</v>
      </c>
      <c r="I39" s="88">
        <f t="shared" ref="I39:K39" si="17">H39</f>
        <v>0.24202847277074943</v>
      </c>
      <c r="J39" s="88">
        <f t="shared" si="17"/>
        <v>0.24202847277074943</v>
      </c>
      <c r="K39" s="88">
        <f t="shared" si="17"/>
        <v>0.24202847277074943</v>
      </c>
      <c r="L39" s="88">
        <f>K39</f>
        <v>0.24202847277074943</v>
      </c>
      <c r="M39" s="88">
        <f t="shared" ref="M39:Q39" si="18">L39</f>
        <v>0.24202847277074943</v>
      </c>
      <c r="N39" s="88">
        <f t="shared" si="18"/>
        <v>0.24202847277074943</v>
      </c>
      <c r="O39" s="88">
        <f t="shared" si="18"/>
        <v>0.24202847277074943</v>
      </c>
      <c r="P39" s="88">
        <f t="shared" si="18"/>
        <v>0.24202847277074943</v>
      </c>
      <c r="Q39" s="88">
        <f t="shared" si="18"/>
        <v>0.24202847277074943</v>
      </c>
    </row>
    <row r="40" spans="2:17" s="8" customFormat="1" ht="11.4" x14ac:dyDescent="0.25">
      <c r="B40" s="86" t="str">
        <f>B33</f>
        <v>Capex as a % of revenue</v>
      </c>
      <c r="C40" s="89"/>
      <c r="D40" s="77"/>
      <c r="E40" s="77"/>
      <c r="F40" s="77"/>
      <c r="G40" s="86"/>
      <c r="H40" s="88">
        <f>-'PP&amp;E Comparables'!G16</f>
        <v>6.4053330662578414E-2</v>
      </c>
      <c r="I40" s="88">
        <f>H40</f>
        <v>6.4053330662578414E-2</v>
      </c>
      <c r="J40" s="88">
        <f>I40</f>
        <v>6.4053330662578414E-2</v>
      </c>
      <c r="K40" s="88">
        <f>J40</f>
        <v>6.4053330662578414E-2</v>
      </c>
      <c r="L40" s="88">
        <f>K40</f>
        <v>6.4053330662578414E-2</v>
      </c>
      <c r="M40" s="88">
        <f>L40</f>
        <v>6.4053330662578414E-2</v>
      </c>
      <c r="N40" s="88">
        <f>M40</f>
        <v>6.4053330662578414E-2</v>
      </c>
      <c r="O40" s="88">
        <f>N40</f>
        <v>6.4053330662578414E-2</v>
      </c>
      <c r="P40" s="88">
        <f>O40</f>
        <v>6.4053330662578414E-2</v>
      </c>
      <c r="Q40" s="88">
        <f>P40</f>
        <v>6.4053330662578414E-2</v>
      </c>
    </row>
    <row r="41" spans="2:17" s="8" customFormat="1" ht="11.4" x14ac:dyDescent="0.25">
      <c r="B41" s="85" t="s">
        <v>72</v>
      </c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</row>
    <row r="42" spans="2:17" x14ac:dyDescent="0.25">
      <c r="B42" s="86" t="s">
        <v>84</v>
      </c>
      <c r="C42" s="89"/>
      <c r="D42" s="77"/>
      <c r="E42" s="77"/>
      <c r="F42" s="77"/>
      <c r="G42" s="86"/>
      <c r="H42" s="88">
        <f>H39+5%</f>
        <v>0.29202847277074945</v>
      </c>
      <c r="I42" s="88">
        <f t="shared" ref="I42:P42" si="19">I39+5%</f>
        <v>0.29202847277074945</v>
      </c>
      <c r="J42" s="88">
        <f t="shared" si="19"/>
        <v>0.29202847277074945</v>
      </c>
      <c r="K42" s="88">
        <f t="shared" si="19"/>
        <v>0.29202847277074945</v>
      </c>
      <c r="L42" s="88">
        <f t="shared" si="19"/>
        <v>0.29202847277074945</v>
      </c>
      <c r="M42" s="88">
        <f t="shared" si="19"/>
        <v>0.29202847277074945</v>
      </c>
      <c r="N42" s="88">
        <f t="shared" si="19"/>
        <v>0.29202847277074945</v>
      </c>
      <c r="O42" s="88">
        <f t="shared" si="19"/>
        <v>0.29202847277074945</v>
      </c>
      <c r="P42" s="88">
        <f t="shared" si="19"/>
        <v>0.29202847277074945</v>
      </c>
      <c r="Q42" s="88">
        <f t="shared" ref="Q42" si="20">Q39-5%</f>
        <v>0.19202847277074941</v>
      </c>
    </row>
    <row r="43" spans="2:17" s="8" customFormat="1" ht="11.4" x14ac:dyDescent="0.25">
      <c r="B43" s="86" t="str">
        <f>B33</f>
        <v>Capex as a % of revenue</v>
      </c>
      <c r="C43" s="89"/>
      <c r="D43" s="77"/>
      <c r="E43" s="77"/>
      <c r="F43" s="77"/>
      <c r="G43" s="86"/>
      <c r="H43" s="88">
        <f>H40+3%</f>
        <v>9.4053330662578413E-2</v>
      </c>
      <c r="I43" s="88">
        <f t="shared" ref="I43:P43" si="21">I40+3%</f>
        <v>9.4053330662578413E-2</v>
      </c>
      <c r="J43" s="88">
        <f t="shared" si="21"/>
        <v>9.4053330662578413E-2</v>
      </c>
      <c r="K43" s="88">
        <f t="shared" si="21"/>
        <v>9.4053330662578413E-2</v>
      </c>
      <c r="L43" s="88">
        <f t="shared" si="21"/>
        <v>9.4053330662578413E-2</v>
      </c>
      <c r="M43" s="88">
        <f t="shared" si="21"/>
        <v>9.4053330662578413E-2</v>
      </c>
      <c r="N43" s="88">
        <f t="shared" si="21"/>
        <v>9.4053330662578413E-2</v>
      </c>
      <c r="O43" s="88">
        <f t="shared" si="21"/>
        <v>9.4053330662578413E-2</v>
      </c>
      <c r="P43" s="88">
        <f t="shared" si="21"/>
        <v>9.4053330662578413E-2</v>
      </c>
      <c r="Q43" s="88">
        <f t="shared" ref="Q43" si="22">Q40-3%</f>
        <v>3.4053330662578415E-2</v>
      </c>
    </row>
  </sheetData>
  <mergeCells count="2">
    <mergeCell ref="C5:Q5"/>
    <mergeCell ref="C15:Q15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6"/>
  <sheetViews>
    <sheetView workbookViewId="0">
      <selection activeCell="B3" sqref="B3"/>
    </sheetView>
  </sheetViews>
  <sheetFormatPr defaultColWidth="9.109375" defaultRowHeight="11.4" x14ac:dyDescent="0.25"/>
  <cols>
    <col min="1" max="1" width="2" style="8" customWidth="1"/>
    <col min="2" max="2" width="17.664062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232</v>
      </c>
    </row>
    <row r="2" spans="1:7" ht="15.6" x14ac:dyDescent="0.25">
      <c r="A2" s="1"/>
      <c r="B2" s="2"/>
    </row>
    <row r="3" spans="1:7" ht="13.2" x14ac:dyDescent="0.25">
      <c r="A3" s="1"/>
      <c r="B3" s="96" t="s">
        <v>373</v>
      </c>
    </row>
    <row r="5" spans="1:7" ht="12" x14ac:dyDescent="0.25">
      <c r="C5" s="236" t="s">
        <v>360</v>
      </c>
      <c r="D5" s="236"/>
      <c r="F5" s="236" t="s">
        <v>361</v>
      </c>
      <c r="G5" s="236"/>
    </row>
    <row r="6" spans="1:7" ht="12" x14ac:dyDescent="0.25">
      <c r="B6" s="36" t="s">
        <v>324</v>
      </c>
      <c r="C6" s="62" t="s">
        <v>188</v>
      </c>
      <c r="D6" s="62" t="s">
        <v>222</v>
      </c>
      <c r="F6" s="62" t="s">
        <v>188</v>
      </c>
      <c r="G6" s="62" t="s">
        <v>222</v>
      </c>
    </row>
    <row r="7" spans="1:7" x14ac:dyDescent="0.25">
      <c r="B7" s="8" t="s">
        <v>211</v>
      </c>
      <c r="C7" s="103">
        <v>-0.1959225806451613</v>
      </c>
      <c r="D7" s="105">
        <f t="shared" ref="D7:D15" si="0">C7</f>
        <v>-0.1959225806451613</v>
      </c>
      <c r="F7" s="103">
        <v>-5.5320358212435423E-2</v>
      </c>
      <c r="G7" s="34">
        <f t="shared" ref="G7:G13" si="1">F7</f>
        <v>-5.5320358212435423E-2</v>
      </c>
    </row>
    <row r="8" spans="1:7" x14ac:dyDescent="0.25">
      <c r="B8" s="8" t="s">
        <v>212</v>
      </c>
      <c r="C8" s="105">
        <v>-0.21112278180109459</v>
      </c>
      <c r="D8" s="105">
        <f t="shared" si="0"/>
        <v>-0.21112278180109459</v>
      </c>
      <c r="F8" s="105">
        <v>-4.8992944194996793E-2</v>
      </c>
      <c r="G8" s="34">
        <f t="shared" si="1"/>
        <v>-4.8992944194996793E-2</v>
      </c>
    </row>
    <row r="9" spans="1:7" x14ac:dyDescent="0.25">
      <c r="B9" s="8" t="s">
        <v>213</v>
      </c>
      <c r="C9" s="105">
        <v>-0.2930998322147651</v>
      </c>
      <c r="D9" s="105">
        <f t="shared" si="0"/>
        <v>-0.2930998322147651</v>
      </c>
      <c r="F9" s="105">
        <v>-7.7504690951777935E-2</v>
      </c>
      <c r="G9" s="105">
        <f t="shared" si="1"/>
        <v>-7.7504690951777935E-2</v>
      </c>
    </row>
    <row r="10" spans="1:7" x14ac:dyDescent="0.25">
      <c r="B10" s="8" t="s">
        <v>214</v>
      </c>
      <c r="C10" s="105">
        <v>-0.29601301156094773</v>
      </c>
      <c r="D10" s="105">
        <f t="shared" si="0"/>
        <v>-0.29601301156094773</v>
      </c>
      <c r="F10" s="105">
        <v>-7.3449532078270541E-2</v>
      </c>
      <c r="G10" s="34">
        <f t="shared" si="1"/>
        <v>-7.3449532078270541E-2</v>
      </c>
    </row>
    <row r="11" spans="1:7" x14ac:dyDescent="0.25">
      <c r="B11" s="8" t="s">
        <v>362</v>
      </c>
      <c r="C11" s="105">
        <v>-0.19381848531351803</v>
      </c>
      <c r="D11" s="105">
        <f t="shared" si="0"/>
        <v>-0.19381848531351803</v>
      </c>
      <c r="F11" s="105">
        <v>-4.1674143969434717E-2</v>
      </c>
      <c r="G11" s="34">
        <f t="shared" si="1"/>
        <v>-4.1674143969434717E-2</v>
      </c>
    </row>
    <row r="12" spans="1:7" x14ac:dyDescent="0.25">
      <c r="B12" s="8" t="s">
        <v>215</v>
      </c>
      <c r="C12" s="105">
        <v>-0.2151106542508163</v>
      </c>
      <c r="D12" s="105">
        <f t="shared" si="0"/>
        <v>-0.2151106542508163</v>
      </c>
      <c r="F12" s="105">
        <v>-5.6326989455017573E-2</v>
      </c>
      <c r="G12" s="34">
        <f t="shared" si="1"/>
        <v>-5.6326989455017573E-2</v>
      </c>
    </row>
    <row r="13" spans="1:7" x14ac:dyDescent="0.25">
      <c r="B13" s="8" t="s">
        <v>216</v>
      </c>
      <c r="C13" s="105">
        <v>-0.24491682070240295</v>
      </c>
      <c r="D13" s="105">
        <f t="shared" si="0"/>
        <v>-0.24491682070240295</v>
      </c>
      <c r="F13" s="105">
        <v>-6.5664491616420254E-2</v>
      </c>
      <c r="G13" s="34">
        <f t="shared" si="1"/>
        <v>-6.5664491616420254E-2</v>
      </c>
    </row>
    <row r="14" spans="1:7" x14ac:dyDescent="0.25">
      <c r="B14" s="8" t="s">
        <v>218</v>
      </c>
      <c r="C14" s="105">
        <v>-0.32922296223444636</v>
      </c>
      <c r="D14" s="105">
        <f t="shared" si="0"/>
        <v>-0.32922296223444636</v>
      </c>
      <c r="F14" s="105">
        <v>-9.3493494822274106E-2</v>
      </c>
      <c r="G14" s="34">
        <f>F14</f>
        <v>-9.3493494822274106E-2</v>
      </c>
    </row>
    <row r="15" spans="1:7" x14ac:dyDescent="0.25">
      <c r="B15" s="8" t="s">
        <v>221</v>
      </c>
      <c r="C15" s="105">
        <v>-0.19902912621359223</v>
      </c>
      <c r="D15" s="105">
        <f t="shared" si="0"/>
        <v>-0.19902912621359223</v>
      </c>
      <c r="F15" s="105">
        <v>-2.3797678275290217E-2</v>
      </c>
      <c r="G15" s="207"/>
    </row>
    <row r="16" spans="1:7" ht="12" x14ac:dyDescent="0.25">
      <c r="B16" s="9" t="s">
        <v>188</v>
      </c>
      <c r="C16" s="115">
        <f>AVERAGE(C7:C15)</f>
        <v>-0.24202847277074943</v>
      </c>
      <c r="D16" s="115">
        <f>AVERAGE(D7:D15)</f>
        <v>-0.24202847277074943</v>
      </c>
      <c r="F16" s="115">
        <f>AVERAGE(F7:F15)</f>
        <v>-5.9580480397324172E-2</v>
      </c>
      <c r="G16" s="115">
        <f>AVERAGE(G7:G15)</f>
        <v>-6.4053330662578414E-2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>
      <selection activeCell="J16" sqref="J16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>
      <selection activeCell="J19" sqref="J1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5"/>
  <sheetViews>
    <sheetView workbookViewId="0">
      <selection activeCell="B3" sqref="B3"/>
    </sheetView>
  </sheetViews>
  <sheetFormatPr defaultColWidth="9.109375" defaultRowHeight="11.4" x14ac:dyDescent="0.25"/>
  <cols>
    <col min="1" max="1" width="2" style="8" customWidth="1"/>
    <col min="2" max="2" width="17.664062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282</v>
      </c>
    </row>
    <row r="2" spans="1:13" ht="15.6" x14ac:dyDescent="0.25">
      <c r="A2" s="1"/>
      <c r="B2" s="2"/>
    </row>
    <row r="3" spans="1:13" ht="13.2" x14ac:dyDescent="0.25">
      <c r="A3" s="1"/>
      <c r="B3" s="96" t="s">
        <v>373</v>
      </c>
    </row>
    <row r="5" spans="1:13" ht="12" x14ac:dyDescent="0.25">
      <c r="C5" s="236" t="s">
        <v>50</v>
      </c>
      <c r="D5" s="236"/>
      <c r="F5" s="236" t="s">
        <v>51</v>
      </c>
      <c r="G5" s="236"/>
      <c r="I5" s="236" t="s">
        <v>52</v>
      </c>
      <c r="J5" s="236"/>
      <c r="L5" s="236" t="s">
        <v>233</v>
      </c>
      <c r="M5" s="236"/>
    </row>
    <row r="6" spans="1:13" ht="24" x14ac:dyDescent="0.25">
      <c r="B6" s="36" t="s">
        <v>163</v>
      </c>
      <c r="C6" s="62" t="s">
        <v>188</v>
      </c>
      <c r="D6" s="62" t="s">
        <v>222</v>
      </c>
      <c r="F6" s="62" t="s">
        <v>188</v>
      </c>
      <c r="G6" s="62" t="s">
        <v>222</v>
      </c>
      <c r="I6" s="62" t="s">
        <v>188</v>
      </c>
      <c r="J6" s="62" t="s">
        <v>222</v>
      </c>
      <c r="L6" s="65" t="s">
        <v>188</v>
      </c>
      <c r="M6" s="65" t="s">
        <v>222</v>
      </c>
    </row>
    <row r="7" spans="1:13" x14ac:dyDescent="0.25">
      <c r="B7" s="8" t="s">
        <v>211</v>
      </c>
      <c r="C7" s="16">
        <v>19.942785887185508</v>
      </c>
      <c r="D7" s="124">
        <f>C7</f>
        <v>19.942785887185508</v>
      </c>
      <c r="F7" s="120">
        <v>33.829608408419261</v>
      </c>
      <c r="G7" s="124">
        <f>F7</f>
        <v>33.829608408419261</v>
      </c>
      <c r="I7" s="120">
        <v>68.381487740734372</v>
      </c>
      <c r="J7" s="124">
        <f>I7</f>
        <v>68.381487740734372</v>
      </c>
      <c r="L7" s="121">
        <f>C7+F7-I7</f>
        <v>-14.609093445129602</v>
      </c>
      <c r="M7" s="125">
        <f>L7</f>
        <v>-14.609093445129602</v>
      </c>
    </row>
    <row r="8" spans="1:13" x14ac:dyDescent="0.25">
      <c r="B8" s="8" t="s">
        <v>212</v>
      </c>
      <c r="C8" s="16">
        <v>25.851186658114177</v>
      </c>
      <c r="D8" s="124">
        <f>C8</f>
        <v>25.851186658114177</v>
      </c>
      <c r="F8" s="16">
        <v>29.988195377636551</v>
      </c>
      <c r="G8" s="124">
        <f>F8</f>
        <v>29.988195377636551</v>
      </c>
      <c r="I8" s="16">
        <v>57.517465644094351</v>
      </c>
      <c r="J8" s="124">
        <f>I8</f>
        <v>57.517465644094351</v>
      </c>
      <c r="L8" s="121">
        <f t="shared" ref="L8:M14" si="0">C8+F8-I8</f>
        <v>-1.6780836083436199</v>
      </c>
      <c r="M8" s="125">
        <f>L8</f>
        <v>-1.6780836083436199</v>
      </c>
    </row>
    <row r="9" spans="1:13" x14ac:dyDescent="0.25">
      <c r="B9" s="8" t="s">
        <v>213</v>
      </c>
      <c r="C9" s="16">
        <v>22.055145257748158</v>
      </c>
      <c r="D9" s="124">
        <f>C9</f>
        <v>22.055145257748158</v>
      </c>
      <c r="F9" s="16">
        <v>37.567300674080116</v>
      </c>
      <c r="G9" s="124">
        <f>F9</f>
        <v>37.567300674080116</v>
      </c>
      <c r="I9" s="16">
        <v>83.527542827701694</v>
      </c>
      <c r="J9" s="124">
        <f>I9</f>
        <v>83.527542827701694</v>
      </c>
      <c r="L9" s="121">
        <f t="shared" si="0"/>
        <v>-23.90509689587342</v>
      </c>
      <c r="M9" s="125">
        <f>L9</f>
        <v>-23.90509689587342</v>
      </c>
    </row>
    <row r="10" spans="1:13" x14ac:dyDescent="0.25">
      <c r="B10" s="8" t="s">
        <v>214</v>
      </c>
      <c r="C10" s="16">
        <v>8.7485002508671279</v>
      </c>
      <c r="D10" s="124">
        <f>C10</f>
        <v>8.7485002508671279</v>
      </c>
      <c r="F10" s="16">
        <v>66.427198893187466</v>
      </c>
      <c r="G10" s="124">
        <f>F10</f>
        <v>66.427198893187466</v>
      </c>
      <c r="I10" s="16">
        <v>40.647690297455867</v>
      </c>
      <c r="J10" s="124">
        <f>I10</f>
        <v>40.647690297455867</v>
      </c>
      <c r="L10" s="121">
        <f t="shared" si="0"/>
        <v>34.528008846598723</v>
      </c>
      <c r="M10" s="125">
        <f>L10</f>
        <v>34.528008846598723</v>
      </c>
    </row>
    <row r="11" spans="1:13" x14ac:dyDescent="0.25">
      <c r="B11" s="8" t="s">
        <v>215</v>
      </c>
      <c r="C11" s="16">
        <v>25.565882390196016</v>
      </c>
      <c r="D11" s="124">
        <f>C11</f>
        <v>25.565882390196016</v>
      </c>
      <c r="F11" s="16">
        <v>82.692613887660329</v>
      </c>
      <c r="G11" s="124">
        <f>F11</f>
        <v>82.692613887660329</v>
      </c>
      <c r="I11" s="16">
        <v>40.238832375055289</v>
      </c>
      <c r="J11" s="124">
        <f>I11</f>
        <v>40.238832375055289</v>
      </c>
      <c r="L11" s="121">
        <f t="shared" si="0"/>
        <v>68.019663902801057</v>
      </c>
      <c r="M11" s="125">
        <f>L11</f>
        <v>68.019663902801057</v>
      </c>
    </row>
    <row r="12" spans="1:13" x14ac:dyDescent="0.25">
      <c r="B12" s="116" t="s">
        <v>216</v>
      </c>
      <c r="C12" s="123">
        <v>20.249442471297595</v>
      </c>
      <c r="D12" s="106"/>
      <c r="E12" s="116"/>
      <c r="F12" s="123">
        <v>82.889597957881293</v>
      </c>
      <c r="G12" s="106"/>
      <c r="H12" s="116"/>
      <c r="I12" s="123">
        <v>162.72367581365666</v>
      </c>
      <c r="J12" s="106"/>
      <c r="L12" s="121">
        <f t="shared" si="0"/>
        <v>-59.584635384477764</v>
      </c>
      <c r="M12" s="106"/>
    </row>
    <row r="13" spans="1:13" x14ac:dyDescent="0.25">
      <c r="B13" s="8" t="s">
        <v>218</v>
      </c>
      <c r="C13" s="16">
        <v>22.081784386617102</v>
      </c>
      <c r="D13" s="124">
        <f>C13</f>
        <v>22.081784386617102</v>
      </c>
      <c r="F13" s="16">
        <v>83.767313019390585</v>
      </c>
      <c r="G13" s="124">
        <f>F13</f>
        <v>83.767313019390585</v>
      </c>
      <c r="I13" s="16">
        <v>142.00554016620498</v>
      </c>
      <c r="J13" s="124">
        <f>I13</f>
        <v>142.00554016620498</v>
      </c>
      <c r="L13" s="121">
        <f t="shared" si="0"/>
        <v>-36.156442760197294</v>
      </c>
      <c r="M13" s="125">
        <f>L13</f>
        <v>-36.156442760197294</v>
      </c>
    </row>
    <row r="14" spans="1:13" x14ac:dyDescent="0.25">
      <c r="B14" s="8" t="s">
        <v>221</v>
      </c>
      <c r="C14" s="16">
        <v>19.492537313432834</v>
      </c>
      <c r="D14" s="124">
        <f>C14</f>
        <v>19.492537313432834</v>
      </c>
      <c r="F14" s="16">
        <v>20.192644483362521</v>
      </c>
      <c r="G14" s="124">
        <f>F14</f>
        <v>20.192644483362521</v>
      </c>
      <c r="I14" s="16">
        <v>55.936952714535906</v>
      </c>
      <c r="J14" s="124">
        <f>I14</f>
        <v>55.936952714535906</v>
      </c>
      <c r="L14" s="121">
        <f t="shared" si="0"/>
        <v>-16.251770917740551</v>
      </c>
      <c r="M14" s="121">
        <f t="shared" si="0"/>
        <v>-16.251770917740551</v>
      </c>
    </row>
    <row r="15" spans="1:13" ht="12" x14ac:dyDescent="0.25">
      <c r="B15" s="9" t="s">
        <v>188</v>
      </c>
      <c r="C15" s="127">
        <f>AVERAGE(C7:C14)</f>
        <v>20.498408076932314</v>
      </c>
      <c r="D15" s="127">
        <f>AVERAGE(D7:D14)</f>
        <v>20.533974592022989</v>
      </c>
      <c r="F15" s="127">
        <f>AVERAGE(F7:F14)</f>
        <v>54.669309087702267</v>
      </c>
      <c r="G15" s="127">
        <f>AVERAGE(G7:G14)</f>
        <v>50.637839249105262</v>
      </c>
      <c r="I15" s="127">
        <f>AVERAGE(I7:I14)</f>
        <v>81.372398447429887</v>
      </c>
      <c r="J15" s="127">
        <f>AVERAGE(J7:J14)</f>
        <v>69.750787395111772</v>
      </c>
      <c r="L15" s="122">
        <f>AVERAGE(L7:L14)</f>
        <v>-6.2046812827953088</v>
      </c>
      <c r="M15" s="122">
        <f>AVERAGE(M7:M14)</f>
        <v>1.4210264460164705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1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6" width="10.109375" style="19" bestFit="1" customWidth="1"/>
    <col min="7" max="7" width="10" style="19" bestFit="1" customWidth="1"/>
    <col min="8" max="17" width="10.109375" style="19" bestFit="1" customWidth="1"/>
    <col min="18" max="16384" width="9.109375" style="19"/>
  </cols>
  <sheetData>
    <row r="1" spans="2:17" ht="15.6" x14ac:dyDescent="0.3">
      <c r="B1" s="18" t="s">
        <v>87</v>
      </c>
    </row>
    <row r="3" spans="2:17" x14ac:dyDescent="0.25">
      <c r="C3" s="236" t="s">
        <v>234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2:17" ht="28.95" customHeight="1" x14ac:dyDescent="0.25">
      <c r="B4" s="5" t="s">
        <v>244</v>
      </c>
      <c r="C4" s="6" t="s">
        <v>226</v>
      </c>
      <c r="D4" s="6" t="s">
        <v>227</v>
      </c>
      <c r="E4" s="6" t="s">
        <v>228</v>
      </c>
      <c r="F4" s="6" t="s">
        <v>330</v>
      </c>
      <c r="G4" s="6" t="s">
        <v>359</v>
      </c>
      <c r="H4" s="92" t="s">
        <v>270</v>
      </c>
      <c r="I4" s="92" t="s">
        <v>271</v>
      </c>
      <c r="J4" s="92" t="s">
        <v>272</v>
      </c>
      <c r="K4" s="92" t="s">
        <v>273</v>
      </c>
      <c r="L4" s="92" t="s">
        <v>274</v>
      </c>
      <c r="M4" s="92" t="s">
        <v>275</v>
      </c>
      <c r="N4" s="92" t="s">
        <v>276</v>
      </c>
      <c r="O4" s="92" t="s">
        <v>277</v>
      </c>
      <c r="P4" s="92" t="s">
        <v>278</v>
      </c>
      <c r="Q4" s="92" t="s">
        <v>334</v>
      </c>
    </row>
    <row r="5" spans="2:17" x14ac:dyDescent="0.25">
      <c r="B5" s="8" t="s">
        <v>88</v>
      </c>
      <c r="C5" s="118">
        <f>'Balance Sheet Input'!C6/1000</f>
        <v>168.965</v>
      </c>
      <c r="D5" s="118">
        <f>'Balance Sheet Input'!D6/1000</f>
        <v>499.142</v>
      </c>
      <c r="E5" s="118">
        <f>'Balance Sheet Input'!E6/1000</f>
        <v>515.38099999999997</v>
      </c>
      <c r="F5" s="118">
        <f>'Balance Sheet Input'!F6/1000</f>
        <v>949.02200000000005</v>
      </c>
      <c r="G5" s="155">
        <f>'Balance Sheet Input'!G6/1000</f>
        <v>1324</v>
      </c>
      <c r="H5" s="119">
        <f>H11*('P&amp;L'!H5)/360</f>
        <v>1920.1571947442799</v>
      </c>
      <c r="I5" s="119">
        <f>I11*('P&amp;L'!I5)/360</f>
        <v>2546.4248321384598</v>
      </c>
      <c r="J5" s="119">
        <f>J11*('P&amp;L'!J5)/360</f>
        <v>3458.4184296099274</v>
      </c>
      <c r="K5" s="119">
        <f>K11*('P&amp;L'!K5)/360</f>
        <v>4447.3127248761848</v>
      </c>
      <c r="L5" s="119">
        <f>L11*('P&amp;L'!L5)/360</f>
        <v>5079.766579368511</v>
      </c>
      <c r="M5" s="119">
        <f>M11*('P&amp;L'!M5)/360</f>
        <v>5437.6678876511414</v>
      </c>
      <c r="N5" s="119">
        <f>N11*('P&amp;L'!N5)/360</f>
        <v>5788.8771499035474</v>
      </c>
      <c r="O5" s="119">
        <f>O11*('P&amp;L'!O5)/360</f>
        <v>6145.7305059971732</v>
      </c>
      <c r="P5" s="119">
        <f>P11*('P&amp;L'!P5)/360</f>
        <v>6442.2186072586464</v>
      </c>
      <c r="Q5" s="119">
        <f>Q11*('P&amp;L'!Q5)/360</f>
        <v>6707.6657833195795</v>
      </c>
    </row>
    <row r="6" spans="2:17" x14ac:dyDescent="0.25">
      <c r="B6" s="8" t="s">
        <v>9</v>
      </c>
      <c r="C6" s="118">
        <f>'Balance Sheet Input'!C7/1000</f>
        <v>1277.838</v>
      </c>
      <c r="D6" s="118">
        <f>'Balance Sheet Input'!D7/1000</f>
        <v>2067.4540000000002</v>
      </c>
      <c r="E6" s="118">
        <f>'Balance Sheet Input'!E7/1000</f>
        <v>2263.5369999999998</v>
      </c>
      <c r="F6" s="118">
        <f>'Balance Sheet Input'!F7/1000</f>
        <v>3113.4459999999999</v>
      </c>
      <c r="G6" s="155">
        <f>'Balance Sheet Input'!G7/1000</f>
        <v>3552</v>
      </c>
      <c r="H6" s="119">
        <f>-H12*('P&amp;L'!H$6)/360</f>
        <v>8353.4109236615805</v>
      </c>
      <c r="I6" s="119">
        <f>-I12*('P&amp;L'!I$6)/360</f>
        <v>11184.360603681851</v>
      </c>
      <c r="J6" s="119">
        <f>-J12*('P&amp;L'!J$6)/360</f>
        <v>15256.686928759254</v>
      </c>
      <c r="K6" s="119">
        <f>-K12*('P&amp;L'!K$6)/360</f>
        <v>19680.056138254018</v>
      </c>
      <c r="L6" s="119">
        <f>-L12*('P&amp;L'!L$6)/360</f>
        <v>22463.323685796066</v>
      </c>
      <c r="M6" s="119">
        <f>-M12*('P&amp;L'!M$6)/360</f>
        <v>24063.438617271309</v>
      </c>
      <c r="N6" s="119">
        <f>-N12*('P&amp;L'!N$6)/360</f>
        <v>25630.800753041087</v>
      </c>
      <c r="O6" s="119">
        <f>-O12*('P&amp;L'!O$6)/360</f>
        <v>27225.903367828698</v>
      </c>
      <c r="P6" s="119">
        <f>-P12*('P&amp;L'!P$6)/360</f>
        <v>28543.377402375438</v>
      </c>
      <c r="Q6" s="119">
        <f>-Q12*('P&amp;L'!Q$6)/360</f>
        <v>29727.142073386149</v>
      </c>
    </row>
    <row r="7" spans="2:17" x14ac:dyDescent="0.25">
      <c r="B7" s="8" t="s">
        <v>89</v>
      </c>
      <c r="C7" s="118">
        <f>'Balance Sheet Input'!C19/1000</f>
        <v>916.14800000000002</v>
      </c>
      <c r="D7" s="118">
        <f>'Balance Sheet Input'!D19/1000</f>
        <v>1860.3409999999999</v>
      </c>
      <c r="E7" s="118">
        <f>'Balance Sheet Input'!E19/1000</f>
        <v>2390.25</v>
      </c>
      <c r="F7" s="118">
        <f>'Balance Sheet Input'!F19/1000</f>
        <v>3404.451</v>
      </c>
      <c r="G7" s="155">
        <f>'Balance Sheet Input'!G19/1000</f>
        <v>3771</v>
      </c>
      <c r="H7" s="119">
        <f>-H13*('P&amp;L'!H$6)/360</f>
        <v>7666.9759607555252</v>
      </c>
      <c r="I7" s="119">
        <f>-I13*('P&amp;L'!I$6)/360</f>
        <v>10265.29458067923</v>
      </c>
      <c r="J7" s="119">
        <f>-J13*('P&amp;L'!J$6)/360</f>
        <v>14002.980697649818</v>
      </c>
      <c r="K7" s="119">
        <f>-K13*('P&amp;L'!K$6)/360</f>
        <v>18062.863026517334</v>
      </c>
      <c r="L7" s="119">
        <f>-L13*('P&amp;L'!L$6)/360</f>
        <v>20617.417755641349</v>
      </c>
      <c r="M7" s="119">
        <f>-M13*('P&amp;L'!M$6)/360</f>
        <v>22086.044502987945</v>
      </c>
      <c r="N7" s="119">
        <f>-N13*('P&amp;L'!N$6)/360</f>
        <v>23524.60988981773</v>
      </c>
      <c r="O7" s="119">
        <f>-O13*('P&amp;L'!O$6)/360</f>
        <v>24988.636203652441</v>
      </c>
      <c r="P7" s="119">
        <f>-P13*('P&amp;L'!P$6)/360</f>
        <v>26197.847847147383</v>
      </c>
      <c r="Q7" s="119">
        <f>-Q13*('P&amp;L'!Q$6)/360</f>
        <v>27284.337588735783</v>
      </c>
    </row>
    <row r="8" spans="2:17" ht="13.8" thickBot="1" x14ac:dyDescent="0.3">
      <c r="B8" s="108" t="s">
        <v>233</v>
      </c>
      <c r="C8" s="114">
        <f>C5+C6-C7</f>
        <v>530.65499999999986</v>
      </c>
      <c r="D8" s="114">
        <f>D5+D6-D7</f>
        <v>706.25500000000011</v>
      </c>
      <c r="E8" s="114">
        <f>E5+E6-E7</f>
        <v>388.66799999999967</v>
      </c>
      <c r="F8" s="114">
        <f>F5+F6-F7</f>
        <v>658.01699999999983</v>
      </c>
      <c r="G8" s="114">
        <f>G5+G6-G7</f>
        <v>1105</v>
      </c>
      <c r="H8" s="114">
        <f t="shared" ref="H8:L8" si="0">H5+H6-H7</f>
        <v>2606.5921576503342</v>
      </c>
      <c r="I8" s="114">
        <f t="shared" si="0"/>
        <v>3465.4908551410808</v>
      </c>
      <c r="J8" s="114">
        <f t="shared" si="0"/>
        <v>4712.1246607193643</v>
      </c>
      <c r="K8" s="114">
        <f t="shared" si="0"/>
        <v>6064.5058366128687</v>
      </c>
      <c r="L8" s="114">
        <f t="shared" si="0"/>
        <v>6925.6725095232287</v>
      </c>
      <c r="M8" s="114">
        <f>M5+M6-M7</f>
        <v>7415.0620019345042</v>
      </c>
      <c r="N8" s="114">
        <f>N5+N6-N7</f>
        <v>7895.0680131269037</v>
      </c>
      <c r="O8" s="114">
        <f>O5+O6-O7</f>
        <v>8382.9976701734304</v>
      </c>
      <c r="P8" s="114">
        <f>P5+P6-P7</f>
        <v>8787.7481624867032</v>
      </c>
      <c r="Q8" s="114">
        <f>Q5+Q6-Q7</f>
        <v>9150.4702679699476</v>
      </c>
    </row>
    <row r="9" spans="2:17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2:17" x14ac:dyDescent="0.25">
      <c r="B10" s="101" t="s">
        <v>69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</row>
    <row r="11" spans="2:17" s="26" customFormat="1" x14ac:dyDescent="0.25">
      <c r="B11" s="86" t="s">
        <v>50</v>
      </c>
      <c r="C11" s="117">
        <f>'Balance Sheet Input'!C40</f>
        <v>15.033866572747325</v>
      </c>
      <c r="D11" s="117">
        <f>'Balance Sheet Input'!D40</f>
        <v>25.66967594325364</v>
      </c>
      <c r="E11" s="117">
        <f>'Balance Sheet Input'!E40</f>
        <v>15.77864519794662</v>
      </c>
      <c r="F11" s="117">
        <f>'Balance Sheet Input'!F40</f>
        <v>15.919279326831946</v>
      </c>
      <c r="G11" s="117">
        <f>'Balance Sheet Input'!G40</f>
        <v>19.392953047440802</v>
      </c>
      <c r="H11" s="117">
        <f t="shared" ref="H11:Q13" si="1">AVERAGE($C11:$G11)</f>
        <v>18.358884017644066</v>
      </c>
      <c r="I11" s="117">
        <f t="shared" si="1"/>
        <v>18.358884017644066</v>
      </c>
      <c r="J11" s="117">
        <f t="shared" si="1"/>
        <v>18.358884017644066</v>
      </c>
      <c r="K11" s="117">
        <f t="shared" si="1"/>
        <v>18.358884017644066</v>
      </c>
      <c r="L11" s="117">
        <f t="shared" si="1"/>
        <v>18.358884017644066</v>
      </c>
      <c r="M11" s="117">
        <f t="shared" si="1"/>
        <v>18.358884017644066</v>
      </c>
      <c r="N11" s="117">
        <f t="shared" si="1"/>
        <v>18.358884017644066</v>
      </c>
      <c r="O11" s="117">
        <f t="shared" si="1"/>
        <v>18.358884017644066</v>
      </c>
      <c r="P11" s="117">
        <f t="shared" si="1"/>
        <v>18.358884017644066</v>
      </c>
      <c r="Q11" s="117">
        <f t="shared" si="1"/>
        <v>18.358884017644066</v>
      </c>
    </row>
    <row r="12" spans="2:17" s="26" customFormat="1" x14ac:dyDescent="0.25">
      <c r="B12" s="86" t="s">
        <v>51</v>
      </c>
      <c r="C12" s="117">
        <f>'Balance Sheet Input'!C41</f>
        <v>147.32375944829212</v>
      </c>
      <c r="D12" s="117">
        <f>'Balance Sheet Input'!D41</f>
        <v>137.80793667692734</v>
      </c>
      <c r="E12" s="117">
        <f>'Balance Sheet Input'!E41</f>
        <v>85.449953986173199</v>
      </c>
      <c r="F12" s="117">
        <f>'Balance Sheet Input'!F41</f>
        <v>64.344949009563962</v>
      </c>
      <c r="G12" s="117">
        <f>'Balance Sheet Input'!G41</f>
        <v>62.34921254083573</v>
      </c>
      <c r="H12" s="117">
        <f t="shared" si="1"/>
        <v>99.455162332358469</v>
      </c>
      <c r="I12" s="117">
        <f t="shared" si="1"/>
        <v>99.455162332358469</v>
      </c>
      <c r="J12" s="117">
        <f t="shared" si="1"/>
        <v>99.455162332358469</v>
      </c>
      <c r="K12" s="117">
        <f t="shared" si="1"/>
        <v>99.455162332358469</v>
      </c>
      <c r="L12" s="117">
        <f t="shared" si="1"/>
        <v>99.455162332358469</v>
      </c>
      <c r="M12" s="117">
        <f t="shared" si="1"/>
        <v>99.455162332358469</v>
      </c>
      <c r="N12" s="117">
        <f t="shared" si="1"/>
        <v>99.455162332358469</v>
      </c>
      <c r="O12" s="117">
        <f t="shared" si="1"/>
        <v>99.455162332358469</v>
      </c>
      <c r="P12" s="117">
        <f t="shared" si="1"/>
        <v>99.455162332358469</v>
      </c>
      <c r="Q12" s="117">
        <f t="shared" si="1"/>
        <v>99.455162332358469</v>
      </c>
    </row>
    <row r="13" spans="2:17" s="26" customFormat="1" x14ac:dyDescent="0.25">
      <c r="B13" s="86" t="s">
        <v>52</v>
      </c>
      <c r="C13" s="117">
        <f>'Balance Sheet Input'!C42</f>
        <v>105.62400521117225</v>
      </c>
      <c r="D13" s="117">
        <f>'Balance Sheet Input'!D42</f>
        <v>124.00264031291226</v>
      </c>
      <c r="E13" s="117">
        <f>'Balance Sheet Input'!E42</f>
        <v>90.233449912879919</v>
      </c>
      <c r="F13" s="117">
        <f>'Balance Sheet Input'!F42</f>
        <v>70.359089574882319</v>
      </c>
      <c r="G13" s="117">
        <f>'Balance Sheet Input'!G42</f>
        <v>66.193378516748751</v>
      </c>
      <c r="H13" s="117">
        <f t="shared" si="1"/>
        <v>91.282512705719085</v>
      </c>
      <c r="I13" s="117">
        <f t="shared" si="1"/>
        <v>91.282512705719085</v>
      </c>
      <c r="J13" s="117">
        <f t="shared" si="1"/>
        <v>91.282512705719085</v>
      </c>
      <c r="K13" s="117">
        <f t="shared" si="1"/>
        <v>91.282512705719085</v>
      </c>
      <c r="L13" s="117">
        <f t="shared" si="1"/>
        <v>91.282512705719085</v>
      </c>
      <c r="M13" s="117">
        <f t="shared" si="1"/>
        <v>91.282512705719085</v>
      </c>
      <c r="N13" s="117">
        <f t="shared" si="1"/>
        <v>91.282512705719085</v>
      </c>
      <c r="O13" s="117">
        <f t="shared" si="1"/>
        <v>91.282512705719085</v>
      </c>
      <c r="P13" s="117">
        <f t="shared" si="1"/>
        <v>91.282512705719085</v>
      </c>
      <c r="Q13" s="117">
        <f t="shared" si="1"/>
        <v>91.282512705719085</v>
      </c>
    </row>
    <row r="14" spans="2:17" x14ac:dyDescent="0.25">
      <c r="B14" s="126" t="s">
        <v>233</v>
      </c>
      <c r="C14" s="117">
        <f t="shared" ref="C14:I14" si="2">C11+C12-C13</f>
        <v>56.73362080986719</v>
      </c>
      <c r="D14" s="117">
        <f t="shared" si="2"/>
        <v>39.474972307268729</v>
      </c>
      <c r="E14" s="117">
        <f t="shared" si="2"/>
        <v>10.995149271239896</v>
      </c>
      <c r="F14" s="117">
        <f t="shared" si="2"/>
        <v>9.9051387615135837</v>
      </c>
      <c r="G14" s="117">
        <f t="shared" si="2"/>
        <v>15.548787071527784</v>
      </c>
      <c r="H14" s="117">
        <f t="shared" si="2"/>
        <v>26.531533644283456</v>
      </c>
      <c r="I14" s="117">
        <f t="shared" si="2"/>
        <v>26.531533644283456</v>
      </c>
      <c r="J14" s="117">
        <f t="shared" ref="J14:Q14" si="3">J11+J12-J13</f>
        <v>26.531533644283456</v>
      </c>
      <c r="K14" s="117">
        <f t="shared" si="3"/>
        <v>26.531533644283456</v>
      </c>
      <c r="L14" s="117">
        <f t="shared" si="3"/>
        <v>26.531533644283456</v>
      </c>
      <c r="M14" s="117">
        <f t="shared" si="3"/>
        <v>26.531533644283456</v>
      </c>
      <c r="N14" s="117">
        <f t="shared" si="3"/>
        <v>26.531533644283456</v>
      </c>
      <c r="O14" s="117">
        <f t="shared" si="3"/>
        <v>26.531533644283456</v>
      </c>
      <c r="P14" s="117">
        <f t="shared" si="3"/>
        <v>26.531533644283456</v>
      </c>
      <c r="Q14" s="117">
        <f t="shared" si="3"/>
        <v>26.531533644283456</v>
      </c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664062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>
      <selection activeCell="G12" sqref="G12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1" sqref="B1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6" width="10.109375" style="20" bestFit="1" customWidth="1"/>
    <col min="7" max="7" width="10" style="20" bestFit="1" customWidth="1"/>
    <col min="8" max="17" width="10.109375" style="20" bestFit="1" customWidth="1"/>
    <col min="18" max="16384" width="9.109375" style="20"/>
  </cols>
  <sheetData>
    <row r="1" spans="1:17" ht="15.6" x14ac:dyDescent="0.3">
      <c r="B1" s="18" t="s">
        <v>91</v>
      </c>
      <c r="C1" s="28"/>
    </row>
    <row r="3" spans="1:17" x14ac:dyDescent="0.2">
      <c r="B3" s="20" t="s">
        <v>134</v>
      </c>
    </row>
    <row r="4" spans="1:17" ht="12" x14ac:dyDescent="0.25">
      <c r="B4" s="20" t="s">
        <v>135</v>
      </c>
      <c r="C4" s="128">
        <v>0.5</v>
      </c>
    </row>
    <row r="5" spans="1:17" ht="12" x14ac:dyDescent="0.25">
      <c r="B5" s="20" t="s">
        <v>111</v>
      </c>
      <c r="C5" s="128">
        <v>0.5</v>
      </c>
    </row>
    <row r="6" spans="1:17" x14ac:dyDescent="0.2">
      <c r="C6" s="46"/>
    </row>
    <row r="7" spans="1:17" x14ac:dyDescent="0.2">
      <c r="B7" s="20" t="s">
        <v>391</v>
      </c>
      <c r="C7" s="45">
        <f>Drivers!C11</f>
        <v>4.3240000000000001E-2</v>
      </c>
    </row>
    <row r="8" spans="1:17" x14ac:dyDescent="0.2">
      <c r="C8" s="46"/>
    </row>
    <row r="9" spans="1:17" ht="12" x14ac:dyDescent="0.2">
      <c r="C9" s="236" t="s">
        <v>238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</row>
    <row r="10" spans="1:17" ht="27" customHeight="1" x14ac:dyDescent="0.25">
      <c r="B10" s="5" t="s">
        <v>244</v>
      </c>
      <c r="C10" s="6" t="s">
        <v>226</v>
      </c>
      <c r="D10" s="6" t="s">
        <v>227</v>
      </c>
      <c r="E10" s="6" t="s">
        <v>228</v>
      </c>
      <c r="F10" s="6" t="s">
        <v>330</v>
      </c>
      <c r="G10" s="6" t="s">
        <v>359</v>
      </c>
      <c r="H10" s="92" t="s">
        <v>270</v>
      </c>
      <c r="I10" s="92" t="s">
        <v>271</v>
      </c>
      <c r="J10" s="92" t="s">
        <v>272</v>
      </c>
      <c r="K10" s="92" t="s">
        <v>273</v>
      </c>
      <c r="L10" s="92" t="s">
        <v>274</v>
      </c>
      <c r="M10" s="92" t="s">
        <v>275</v>
      </c>
      <c r="N10" s="92" t="s">
        <v>276</v>
      </c>
      <c r="O10" s="92" t="s">
        <v>277</v>
      </c>
      <c r="P10" s="92" t="s">
        <v>278</v>
      </c>
      <c r="Q10" s="92" t="s">
        <v>334</v>
      </c>
    </row>
    <row r="11" spans="1:17" s="24" customFormat="1" x14ac:dyDescent="0.2">
      <c r="A11" s="20"/>
      <c r="B11" s="8" t="s">
        <v>28</v>
      </c>
      <c r="C11" s="27">
        <f>'Balance Sheet Input'!C29/1000</f>
        <v>2021.0930000000001</v>
      </c>
      <c r="D11" s="27">
        <f>'Balance Sheet Input'!D29/1000</f>
        <v>5860.049</v>
      </c>
      <c r="E11" s="27">
        <f>'Balance Sheet Input'!E29/1000</f>
        <v>9415.7000000000007</v>
      </c>
      <c r="F11" s="27">
        <f>'Balance Sheet Input'!F29/1000</f>
        <v>9403.6720000000005</v>
      </c>
      <c r="G11" s="27">
        <f>'Balance Sheet Input'!G29/1000</f>
        <v>11634</v>
      </c>
      <c r="H11" s="179">
        <f>G11+G19</f>
        <v>11634</v>
      </c>
      <c r="I11" s="179">
        <f>H11+H19</f>
        <v>11634</v>
      </c>
      <c r="J11" s="179">
        <f t="shared" ref="J11:Q11" si="0">I11+I19</f>
        <v>11634</v>
      </c>
      <c r="K11" s="179">
        <f t="shared" si="0"/>
        <v>11634</v>
      </c>
      <c r="L11" s="179">
        <f t="shared" si="0"/>
        <v>11634</v>
      </c>
      <c r="M11" s="179">
        <f t="shared" si="0"/>
        <v>11634</v>
      </c>
      <c r="N11" s="179">
        <f t="shared" si="0"/>
        <v>11634</v>
      </c>
      <c r="O11" s="179">
        <f t="shared" si="0"/>
        <v>11634</v>
      </c>
      <c r="P11" s="179">
        <f t="shared" si="0"/>
        <v>11634</v>
      </c>
      <c r="Q11" s="179">
        <f t="shared" si="0"/>
        <v>11634</v>
      </c>
    </row>
    <row r="12" spans="1:17" s="24" customFormat="1" x14ac:dyDescent="0.2">
      <c r="A12" s="20"/>
      <c r="B12" s="20" t="str">
        <f>'P&amp;L Input'!B17</f>
        <v>Interest expense</v>
      </c>
      <c r="C12" s="27">
        <f>'P&amp;L Input'!C17/1000</f>
        <v>-118.851</v>
      </c>
      <c r="D12" s="27">
        <f>'P&amp;L Input'!D17/1000</f>
        <v>-198.81</v>
      </c>
      <c r="E12" s="27">
        <f>'P&amp;L Input'!E17/1000</f>
        <v>-471.25900000000001</v>
      </c>
      <c r="F12" s="27">
        <f>'P&amp;L Input'!F17/1000</f>
        <v>-663.07100000000003</v>
      </c>
      <c r="G12" s="27">
        <f>'P&amp;L Input'!G17/1000</f>
        <v>-685</v>
      </c>
      <c r="H12" s="180">
        <f>-G11*H13</f>
        <v>-503.05416000000002</v>
      </c>
      <c r="I12" s="180">
        <f t="shared" ref="I12:Q12" si="1">-H11*I13</f>
        <v>-503.05416000000002</v>
      </c>
      <c r="J12" s="180">
        <f t="shared" si="1"/>
        <v>-503.05416000000002</v>
      </c>
      <c r="K12" s="180">
        <f t="shared" si="1"/>
        <v>-503.05416000000002</v>
      </c>
      <c r="L12" s="180">
        <f t="shared" si="1"/>
        <v>-503.05416000000002</v>
      </c>
      <c r="M12" s="180">
        <f t="shared" si="1"/>
        <v>-503.05416000000002</v>
      </c>
      <c r="N12" s="180">
        <f t="shared" si="1"/>
        <v>-503.05416000000002</v>
      </c>
      <c r="O12" s="180">
        <f t="shared" si="1"/>
        <v>-503.05416000000002</v>
      </c>
      <c r="P12" s="180">
        <f t="shared" si="1"/>
        <v>-503.05416000000002</v>
      </c>
      <c r="Q12" s="180">
        <f t="shared" si="1"/>
        <v>-503.05416000000002</v>
      </c>
    </row>
    <row r="13" spans="1:17" x14ac:dyDescent="0.2">
      <c r="B13" s="20" t="s">
        <v>121</v>
      </c>
      <c r="C13" s="44">
        <f>C12/C11</f>
        <v>-5.8805309800192267E-2</v>
      </c>
      <c r="D13" s="44">
        <f>D12/D11</f>
        <v>-3.3926337476017691E-2</v>
      </c>
      <c r="E13" s="44">
        <f>E12/E11</f>
        <v>-5.0050341450980806E-2</v>
      </c>
      <c r="F13" s="44">
        <f>F12/F11</f>
        <v>-7.0511923427359013E-2</v>
      </c>
      <c r="G13" s="44">
        <f>G12/G11</f>
        <v>-5.887914732680076E-2</v>
      </c>
      <c r="H13" s="129">
        <f t="shared" ref="H13:Q13" si="2">$C$7</f>
        <v>4.3240000000000001E-2</v>
      </c>
      <c r="I13" s="129">
        <f t="shared" si="2"/>
        <v>4.3240000000000001E-2</v>
      </c>
      <c r="J13" s="129">
        <f t="shared" si="2"/>
        <v>4.3240000000000001E-2</v>
      </c>
      <c r="K13" s="129">
        <f t="shared" si="2"/>
        <v>4.3240000000000001E-2</v>
      </c>
      <c r="L13" s="129">
        <f t="shared" si="2"/>
        <v>4.3240000000000001E-2</v>
      </c>
      <c r="M13" s="129">
        <f t="shared" si="2"/>
        <v>4.3240000000000001E-2</v>
      </c>
      <c r="N13" s="129">
        <f t="shared" si="2"/>
        <v>4.3240000000000001E-2</v>
      </c>
      <c r="O13" s="129">
        <f t="shared" si="2"/>
        <v>4.3240000000000001E-2</v>
      </c>
      <c r="P13" s="129">
        <f t="shared" si="2"/>
        <v>4.3240000000000001E-2</v>
      </c>
      <c r="Q13" s="129">
        <f t="shared" si="2"/>
        <v>4.3240000000000001E-2</v>
      </c>
    </row>
    <row r="14" spans="1:17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</row>
    <row r="15" spans="1:17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</row>
    <row r="16" spans="1:17" ht="12" x14ac:dyDescent="0.2">
      <c r="C16" s="236" t="s">
        <v>241</v>
      </c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</row>
    <row r="17" spans="2:17" ht="24" x14ac:dyDescent="0.2">
      <c r="C17" s="6" t="s">
        <v>45</v>
      </c>
      <c r="D17" s="6" t="s">
        <v>46</v>
      </c>
      <c r="E17" s="6" t="s">
        <v>47</v>
      </c>
      <c r="F17" s="6" t="s">
        <v>157</v>
      </c>
      <c r="G17" s="6" t="s">
        <v>164</v>
      </c>
      <c r="H17" s="92" t="s">
        <v>174</v>
      </c>
      <c r="I17" s="92" t="s">
        <v>175</v>
      </c>
      <c r="J17" s="92" t="s">
        <v>176</v>
      </c>
      <c r="K17" s="92" t="s">
        <v>177</v>
      </c>
      <c r="L17" s="92" t="s">
        <v>178</v>
      </c>
      <c r="M17" s="92" t="s">
        <v>253</v>
      </c>
      <c r="N17" s="92" t="s">
        <v>254</v>
      </c>
      <c r="O17" s="92" t="s">
        <v>255</v>
      </c>
      <c r="P17" s="92" t="s">
        <v>256</v>
      </c>
      <c r="Q17" s="92" t="s">
        <v>257</v>
      </c>
    </row>
    <row r="18" spans="2:17" ht="12" x14ac:dyDescent="0.25">
      <c r="B18" s="30" t="s">
        <v>125</v>
      </c>
      <c r="C18" s="30"/>
      <c r="D18" s="30"/>
      <c r="E18" s="30"/>
      <c r="F18" s="30"/>
      <c r="G18" s="47"/>
      <c r="H18" s="178">
        <f>'Cash Flow'!H20</f>
        <v>3312.0801250530558</v>
      </c>
      <c r="I18" s="178">
        <f>'Cash Flow'!I20</f>
        <v>3729.3955787075565</v>
      </c>
      <c r="J18" s="178">
        <f>'Cash Flow'!J20</f>
        <v>5618.0064995556504</v>
      </c>
      <c r="K18" s="178">
        <f>'Cash Flow'!K20</f>
        <v>6593.0294739028859</v>
      </c>
      <c r="L18" s="178">
        <f>'Cash Flow'!L20</f>
        <v>5528.0944923707411</v>
      </c>
      <c r="M18" s="178">
        <f>'Cash Flow'!M20</f>
        <v>4593.2524666502886</v>
      </c>
      <c r="N18" s="178">
        <f>'Cash Flow'!N20</f>
        <v>4961.8003188006051</v>
      </c>
      <c r="O18" s="178">
        <f>'Cash Flow'!O20</f>
        <v>5446.917725421129</v>
      </c>
      <c r="P18" s="178">
        <f>'Cash Flow'!P20</f>
        <v>5686.9451989285517</v>
      </c>
      <c r="Q18" s="178">
        <f>'Cash Flow'!Q20</f>
        <v>6112.0174356145017</v>
      </c>
    </row>
    <row r="19" spans="2:17" x14ac:dyDescent="0.2">
      <c r="B19" s="20" t="s">
        <v>135</v>
      </c>
      <c r="G19" s="24"/>
      <c r="H19" s="179">
        <f t="shared" ref="H19:H20" si="3">IF(H$18&lt;0,-H$18*$C4,0)</f>
        <v>0</v>
      </c>
      <c r="I19" s="179">
        <f t="shared" ref="I19:Q19" si="4">IF(I$18&lt;0,-I$18*$C4,0)</f>
        <v>0</v>
      </c>
      <c r="J19" s="179">
        <f t="shared" si="4"/>
        <v>0</v>
      </c>
      <c r="K19" s="179">
        <f t="shared" si="4"/>
        <v>0</v>
      </c>
      <c r="L19" s="179">
        <f t="shared" si="4"/>
        <v>0</v>
      </c>
      <c r="M19" s="179">
        <f>IF(M$18&lt;0,-M$18*$C4,0)</f>
        <v>0</v>
      </c>
      <c r="N19" s="179">
        <f t="shared" si="4"/>
        <v>0</v>
      </c>
      <c r="O19" s="179">
        <f t="shared" si="4"/>
        <v>0</v>
      </c>
      <c r="P19" s="179">
        <f t="shared" si="4"/>
        <v>0</v>
      </c>
      <c r="Q19" s="179">
        <f t="shared" si="4"/>
        <v>0</v>
      </c>
    </row>
    <row r="20" spans="2:17" x14ac:dyDescent="0.2">
      <c r="B20" s="20" t="s">
        <v>111</v>
      </c>
      <c r="G20" s="24"/>
      <c r="H20" s="179">
        <f t="shared" si="3"/>
        <v>0</v>
      </c>
      <c r="I20" s="179">
        <f t="shared" ref="I20:Q20" si="5">IF(I$18&lt;0,-I$18*$C5,0)</f>
        <v>0</v>
      </c>
      <c r="J20" s="179">
        <f t="shared" si="5"/>
        <v>0</v>
      </c>
      <c r="K20" s="179">
        <f t="shared" si="5"/>
        <v>0</v>
      </c>
      <c r="L20" s="179">
        <f t="shared" si="5"/>
        <v>0</v>
      </c>
      <c r="M20" s="179">
        <f t="shared" si="5"/>
        <v>0</v>
      </c>
      <c r="N20" s="179">
        <f t="shared" si="5"/>
        <v>0</v>
      </c>
      <c r="O20" s="179">
        <f t="shared" si="5"/>
        <v>0</v>
      </c>
      <c r="P20" s="179">
        <f t="shared" si="5"/>
        <v>0</v>
      </c>
      <c r="Q20" s="179">
        <f t="shared" si="5"/>
        <v>0</v>
      </c>
    </row>
  </sheetData>
  <mergeCells count="2">
    <mergeCell ref="C9:Q9"/>
    <mergeCell ref="C16:Q1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Q24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7" width="10.109375" style="20" bestFit="1" customWidth="1"/>
    <col min="18" max="16384" width="9.109375" style="20"/>
  </cols>
  <sheetData>
    <row r="1" spans="2:17" ht="15.6" x14ac:dyDescent="0.3">
      <c r="B1" s="18" t="s">
        <v>93</v>
      </c>
      <c r="C1" s="28"/>
    </row>
    <row r="4" spans="2:17" x14ac:dyDescent="0.2">
      <c r="B4" s="20" t="s">
        <v>94</v>
      </c>
      <c r="C4" s="29">
        <f>Drivers!C7</f>
        <v>6.9699999999999996E-3</v>
      </c>
    </row>
    <row r="5" spans="2:17" x14ac:dyDescent="0.2">
      <c r="B5" s="20" t="s">
        <v>95</v>
      </c>
      <c r="C5" s="29">
        <f>Drivers!C8</f>
        <v>0.05</v>
      </c>
    </row>
    <row r="6" spans="2:17" x14ac:dyDescent="0.2">
      <c r="B6" s="20" t="s">
        <v>325</v>
      </c>
      <c r="C6" s="20">
        <f>Drivers!C9</f>
        <v>2.15</v>
      </c>
    </row>
    <row r="7" spans="2:17" x14ac:dyDescent="0.2">
      <c r="B7" s="20" t="s">
        <v>249</v>
      </c>
      <c r="C7" s="46">
        <f>Drivers!C12</f>
        <v>0.21</v>
      </c>
    </row>
    <row r="9" spans="2:17" ht="12" x14ac:dyDescent="0.25">
      <c r="B9" s="30" t="s">
        <v>150</v>
      </c>
      <c r="C9" s="31">
        <f>C4+C5*C6</f>
        <v>0.11447</v>
      </c>
    </row>
    <row r="10" spans="2:17" ht="12" x14ac:dyDescent="0.25">
      <c r="B10" s="30" t="s">
        <v>326</v>
      </c>
      <c r="C10" s="31">
        <f>Drivers!C11</f>
        <v>4.3240000000000001E-2</v>
      </c>
    </row>
    <row r="13" spans="2:17" ht="12" x14ac:dyDescent="0.2">
      <c r="C13" s="236" t="s">
        <v>239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</row>
    <row r="14" spans="2:17" ht="28.2" customHeight="1" x14ac:dyDescent="0.25">
      <c r="B14" s="5" t="s">
        <v>244</v>
      </c>
      <c r="C14" s="6" t="s">
        <v>226</v>
      </c>
      <c r="D14" s="6" t="s">
        <v>227</v>
      </c>
      <c r="E14" s="6" t="s">
        <v>228</v>
      </c>
      <c r="F14" s="6" t="s">
        <v>330</v>
      </c>
      <c r="G14" s="6" t="s">
        <v>359</v>
      </c>
      <c r="H14" s="92" t="s">
        <v>270</v>
      </c>
      <c r="I14" s="92" t="s">
        <v>271</v>
      </c>
      <c r="J14" s="92" t="s">
        <v>272</v>
      </c>
      <c r="K14" s="92" t="s">
        <v>273</v>
      </c>
      <c r="L14" s="92" t="s">
        <v>274</v>
      </c>
      <c r="M14" s="92" t="s">
        <v>275</v>
      </c>
      <c r="N14" s="92" t="s">
        <v>276</v>
      </c>
      <c r="O14" s="92" t="s">
        <v>277</v>
      </c>
      <c r="P14" s="92" t="s">
        <v>278</v>
      </c>
      <c r="Q14" s="92" t="s">
        <v>334</v>
      </c>
    </row>
    <row r="15" spans="2:17" x14ac:dyDescent="0.2">
      <c r="B15" s="20" t="s">
        <v>135</v>
      </c>
      <c r="C15" s="184">
        <f>'Balance Sheet'!C28</f>
        <v>2649.02</v>
      </c>
      <c r="D15" s="184">
        <f>'Balance Sheet'!D28</f>
        <v>6844.26</v>
      </c>
      <c r="E15" s="184">
        <f>'Balance Sheet'!E28</f>
        <v>10212.249</v>
      </c>
      <c r="F15" s="184">
        <f>'Balance Sheet'!F28</f>
        <v>11971.370999999999</v>
      </c>
      <c r="G15" s="184">
        <f>'Balance Sheet'!G28</f>
        <v>13419</v>
      </c>
      <c r="H15" s="149">
        <f>'Balance Sheet'!H28</f>
        <v>13419</v>
      </c>
      <c r="I15" s="149">
        <f>'Balance Sheet'!I28</f>
        <v>13419</v>
      </c>
      <c r="J15" s="149">
        <f>'Balance Sheet'!J28</f>
        <v>13419</v>
      </c>
      <c r="K15" s="149">
        <f>'Balance Sheet'!K28</f>
        <v>13419</v>
      </c>
      <c r="L15" s="149">
        <f>'Balance Sheet'!L28</f>
        <v>13419</v>
      </c>
      <c r="M15" s="149">
        <f>'Balance Sheet'!M28</f>
        <v>13419</v>
      </c>
      <c r="N15" s="149">
        <f>'Balance Sheet'!N28</f>
        <v>13419</v>
      </c>
      <c r="O15" s="149">
        <f>'Balance Sheet'!O28</f>
        <v>13419</v>
      </c>
      <c r="P15" s="149">
        <f>'Balance Sheet'!P28</f>
        <v>13419</v>
      </c>
      <c r="Q15" s="149">
        <f>'Balance Sheet'!Q28</f>
        <v>13419</v>
      </c>
    </row>
    <row r="16" spans="2:17" x14ac:dyDescent="0.2">
      <c r="B16" s="20" t="s">
        <v>111</v>
      </c>
      <c r="C16" s="184">
        <f>'Balance Sheet'!C32</f>
        <v>1083.704</v>
      </c>
      <c r="D16" s="184">
        <f>'Balance Sheet'!D32</f>
        <v>5538.0860000000002</v>
      </c>
      <c r="E16" s="184">
        <f>'Balance Sheet'!E32</f>
        <v>5234.5879999999997</v>
      </c>
      <c r="F16" s="184">
        <f>'Balance Sheet'!F32</f>
        <v>5757.64</v>
      </c>
      <c r="G16" s="184">
        <f>'Balance Sheet'!G32</f>
        <v>7467</v>
      </c>
      <c r="H16" s="149">
        <f>'Balance Sheet'!H32</f>
        <v>8861.4192912866729</v>
      </c>
      <c r="I16" s="149">
        <f>'Balance Sheet'!I32</f>
        <v>10535.854981332848</v>
      </c>
      <c r="J16" s="149">
        <f>'Balance Sheet'!J32</f>
        <v>12761.626038640188</v>
      </c>
      <c r="K16" s="149">
        <f>'Balance Sheet'!K32</f>
        <v>15563.322991266839</v>
      </c>
      <c r="L16" s="149">
        <f>'Balance Sheet'!L32</f>
        <v>18864.11813272339</v>
      </c>
      <c r="M16" s="149">
        <f>'Balance Sheet'!M32</f>
        <v>22375.623041182738</v>
      </c>
      <c r="N16" s="149">
        <f>'Balance Sheet'!N32</f>
        <v>26102.001378477442</v>
      </c>
      <c r="O16" s="149">
        <f>'Balance Sheet'!O32</f>
        <v>30039.407892999479</v>
      </c>
      <c r="P16" s="149">
        <f>'Balance Sheet'!P32</f>
        <v>34174.453492591259</v>
      </c>
      <c r="Q16" s="149">
        <f>'Balance Sheet'!Q32</f>
        <v>38474.367303257881</v>
      </c>
    </row>
    <row r="17" spans="2:17" x14ac:dyDescent="0.2"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2:17" x14ac:dyDescent="0.2">
      <c r="B18" s="20" t="s">
        <v>151</v>
      </c>
      <c r="C18" s="46">
        <f t="shared" ref="C18:G19" si="0">C15/(C$15+C$16)</f>
        <v>0.70967475763008459</v>
      </c>
      <c r="D18" s="46">
        <f t="shared" si="0"/>
        <v>0.55274339773739156</v>
      </c>
      <c r="E18" s="46">
        <f t="shared" si="0"/>
        <v>0.66112233850852442</v>
      </c>
      <c r="F18" s="46">
        <f t="shared" si="0"/>
        <v>0.67524189589594141</v>
      </c>
      <c r="G18" s="46">
        <f t="shared" si="0"/>
        <v>0.6424877908646941</v>
      </c>
      <c r="H18" s="185">
        <f t="shared" ref="H18:L19" si="1">H15/(H$15+H$16)</f>
        <v>0.60227771410243813</v>
      </c>
      <c r="I18" s="185">
        <f t="shared" si="1"/>
        <v>0.56017871994870938</v>
      </c>
      <c r="J18" s="185">
        <f t="shared" si="1"/>
        <v>0.51255458827435196</v>
      </c>
      <c r="K18" s="185">
        <f t="shared" si="1"/>
        <v>0.46300636439817155</v>
      </c>
      <c r="L18" s="185">
        <f t="shared" si="1"/>
        <v>0.41566616783519417</v>
      </c>
      <c r="M18" s="185">
        <f t="shared" ref="M18:Q19" si="2">M15/(M$15+M$16)</f>
        <v>0.37488870841190464</v>
      </c>
      <c r="N18" s="185">
        <f t="shared" si="2"/>
        <v>0.33954099167405688</v>
      </c>
      <c r="O18" s="185">
        <f t="shared" si="2"/>
        <v>0.30877799373229242</v>
      </c>
      <c r="P18" s="185">
        <f t="shared" si="2"/>
        <v>0.28195054183426504</v>
      </c>
      <c r="Q18" s="185">
        <f t="shared" si="2"/>
        <v>0.25858796022199065</v>
      </c>
    </row>
    <row r="19" spans="2:17" x14ac:dyDescent="0.2">
      <c r="B19" s="20" t="s">
        <v>152</v>
      </c>
      <c r="C19" s="46">
        <f t="shared" si="0"/>
        <v>0.29032524236991536</v>
      </c>
      <c r="D19" s="46">
        <f t="shared" si="0"/>
        <v>0.44725660226260838</v>
      </c>
      <c r="E19" s="46">
        <f t="shared" si="0"/>
        <v>0.33887766149147558</v>
      </c>
      <c r="F19" s="46">
        <f t="shared" si="0"/>
        <v>0.32475810410405864</v>
      </c>
      <c r="G19" s="46">
        <f t="shared" si="0"/>
        <v>0.35751220913530596</v>
      </c>
      <c r="H19" s="185">
        <f t="shared" si="1"/>
        <v>0.39772228589756198</v>
      </c>
      <c r="I19" s="185">
        <f t="shared" si="1"/>
        <v>0.43982128005129056</v>
      </c>
      <c r="J19" s="185">
        <f t="shared" si="1"/>
        <v>0.48744541172564804</v>
      </c>
      <c r="K19" s="185">
        <f t="shared" si="1"/>
        <v>0.53699363560182845</v>
      </c>
      <c r="L19" s="185">
        <f t="shared" si="1"/>
        <v>0.58433383216480583</v>
      </c>
      <c r="M19" s="185">
        <f t="shared" si="2"/>
        <v>0.62511129158809531</v>
      </c>
      <c r="N19" s="185">
        <f t="shared" si="2"/>
        <v>0.66045900832594306</v>
      </c>
      <c r="O19" s="185">
        <f t="shared" si="2"/>
        <v>0.69122200626770758</v>
      </c>
      <c r="P19" s="185">
        <f t="shared" si="2"/>
        <v>0.71804945816573496</v>
      </c>
      <c r="Q19" s="185">
        <f t="shared" si="2"/>
        <v>0.74141203977800929</v>
      </c>
    </row>
    <row r="20" spans="2:17" x14ac:dyDescent="0.2">
      <c r="G20" s="59"/>
      <c r="H20" s="132"/>
      <c r="I20" s="132"/>
      <c r="J20" s="132"/>
      <c r="K20" s="132"/>
      <c r="L20" s="132"/>
      <c r="M20" s="132"/>
      <c r="N20" s="132"/>
      <c r="O20" s="132"/>
      <c r="P20" s="132"/>
      <c r="Q20" s="132"/>
    </row>
    <row r="21" spans="2:17" x14ac:dyDescent="0.2">
      <c r="B21" s="20" t="s">
        <v>150</v>
      </c>
      <c r="C21" s="45">
        <f>$C$9</f>
        <v>0.11447</v>
      </c>
      <c r="D21" s="45">
        <f>$C$9</f>
        <v>0.11447</v>
      </c>
      <c r="E21" s="45">
        <f>$C$9</f>
        <v>0.11447</v>
      </c>
      <c r="F21" s="45">
        <f>$C$9</f>
        <v>0.11447</v>
      </c>
      <c r="G21" s="45">
        <f>$C$9</f>
        <v>0.11447</v>
      </c>
      <c r="H21" s="130">
        <f t="shared" ref="H21:Q21" si="3">$C$9</f>
        <v>0.11447</v>
      </c>
      <c r="I21" s="130">
        <f t="shared" si="3"/>
        <v>0.11447</v>
      </c>
      <c r="J21" s="130">
        <f t="shared" si="3"/>
        <v>0.11447</v>
      </c>
      <c r="K21" s="130">
        <f t="shared" si="3"/>
        <v>0.11447</v>
      </c>
      <c r="L21" s="130">
        <f t="shared" si="3"/>
        <v>0.11447</v>
      </c>
      <c r="M21" s="130">
        <f t="shared" si="3"/>
        <v>0.11447</v>
      </c>
      <c r="N21" s="130">
        <f t="shared" si="3"/>
        <v>0.11447</v>
      </c>
      <c r="O21" s="130">
        <f t="shared" si="3"/>
        <v>0.11447</v>
      </c>
      <c r="P21" s="130">
        <f t="shared" si="3"/>
        <v>0.11447</v>
      </c>
      <c r="Q21" s="130">
        <f t="shared" si="3"/>
        <v>0.11447</v>
      </c>
    </row>
    <row r="22" spans="2:17" x14ac:dyDescent="0.2">
      <c r="B22" s="20" t="s">
        <v>240</v>
      </c>
      <c r="C22" s="45">
        <f>$C$10</f>
        <v>4.3240000000000001E-2</v>
      </c>
      <c r="D22" s="45">
        <f>$C$10</f>
        <v>4.3240000000000001E-2</v>
      </c>
      <c r="E22" s="45">
        <f>$C$10</f>
        <v>4.3240000000000001E-2</v>
      </c>
      <c r="F22" s="45">
        <f>$C$10</f>
        <v>4.3240000000000001E-2</v>
      </c>
      <c r="G22" s="45">
        <f>$C$10</f>
        <v>4.3240000000000001E-2</v>
      </c>
      <c r="H22" s="130">
        <f t="shared" ref="H22:Q22" si="4">$C$10</f>
        <v>4.3240000000000001E-2</v>
      </c>
      <c r="I22" s="130">
        <f t="shared" si="4"/>
        <v>4.3240000000000001E-2</v>
      </c>
      <c r="J22" s="130">
        <f t="shared" si="4"/>
        <v>4.3240000000000001E-2</v>
      </c>
      <c r="K22" s="130">
        <f t="shared" si="4"/>
        <v>4.3240000000000001E-2</v>
      </c>
      <c r="L22" s="130">
        <f t="shared" si="4"/>
        <v>4.3240000000000001E-2</v>
      </c>
      <c r="M22" s="130">
        <f t="shared" si="4"/>
        <v>4.3240000000000001E-2</v>
      </c>
      <c r="N22" s="130">
        <f t="shared" si="4"/>
        <v>4.3240000000000001E-2</v>
      </c>
      <c r="O22" s="130">
        <f t="shared" si="4"/>
        <v>4.3240000000000001E-2</v>
      </c>
      <c r="P22" s="130">
        <f t="shared" si="4"/>
        <v>4.3240000000000001E-2</v>
      </c>
      <c r="Q22" s="130">
        <f t="shared" si="4"/>
        <v>4.3240000000000001E-2</v>
      </c>
    </row>
    <row r="23" spans="2:17" x14ac:dyDescent="0.2">
      <c r="G23" s="59"/>
      <c r="H23" s="132"/>
      <c r="I23" s="132"/>
      <c r="J23" s="132"/>
      <c r="K23" s="132"/>
      <c r="L23" s="132"/>
      <c r="M23" s="132"/>
      <c r="N23" s="132"/>
      <c r="O23" s="132"/>
      <c r="P23" s="132"/>
      <c r="Q23" s="132"/>
    </row>
    <row r="24" spans="2:17" ht="12.6" thickBot="1" x14ac:dyDescent="0.3">
      <c r="B24" s="108" t="s">
        <v>93</v>
      </c>
      <c r="C24" s="186">
        <f>C18*C22*(1-$C$7)+C19*C21</f>
        <v>5.7475736344824856E-2</v>
      </c>
      <c r="D24" s="186">
        <f>D18*D22*(1-$C$7)+D19*D21</f>
        <v>7.0078956630350991E-2</v>
      </c>
      <c r="E24" s="186">
        <f>E18*E22*(1-$C$7)+E19*E21</f>
        <v>6.1375000545445001E-2</v>
      </c>
      <c r="F24" s="186">
        <f>F18*F22*(1-$C$7)+F19*F21</f>
        <v>6.0241053243838591E-2</v>
      </c>
      <c r="G24" s="186">
        <f>G18*G22*(1-$C$7)+G19*G21</f>
        <v>6.2871548520540083E-2</v>
      </c>
      <c r="H24" s="186">
        <f t="shared" ref="H24:Q24" si="5">H18*H22*(1-$C$7)+H19*H21</f>
        <v>6.6100835869347563E-2</v>
      </c>
      <c r="I24" s="186">
        <f t="shared" si="5"/>
        <v>6.948182292943117E-2</v>
      </c>
      <c r="J24" s="186">
        <f t="shared" si="5"/>
        <v>7.3306535993851479E-2</v>
      </c>
      <c r="K24" s="186">
        <f t="shared" si="5"/>
        <v>7.7285773672637087E-2</v>
      </c>
      <c r="L24" s="186">
        <f t="shared" si="5"/>
        <v>8.108768379468842E-2</v>
      </c>
      <c r="M24" s="186">
        <f t="shared" si="5"/>
        <v>8.4362537871956564E-2</v>
      </c>
      <c r="N24" s="186">
        <f t="shared" si="5"/>
        <v>8.720132714225981E-2</v>
      </c>
      <c r="O24" s="186">
        <f t="shared" si="5"/>
        <v>8.9671915812162106E-2</v>
      </c>
      <c r="P24" s="186">
        <f t="shared" si="5"/>
        <v>9.182643920507344E-2</v>
      </c>
      <c r="Q24" s="186">
        <f t="shared" si="5"/>
        <v>9.3702697479387836E-2</v>
      </c>
    </row>
  </sheetData>
  <mergeCells count="1">
    <mergeCell ref="C13:Q1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2" width="9.6640625" style="19" customWidth="1"/>
    <col min="13" max="16384" width="9.109375" style="19"/>
  </cols>
  <sheetData>
    <row r="1" spans="2:17" ht="15.6" x14ac:dyDescent="0.3">
      <c r="B1" s="18" t="s">
        <v>96</v>
      </c>
      <c r="C1" s="18"/>
    </row>
    <row r="3" spans="2:17" x14ac:dyDescent="0.25">
      <c r="C3" s="236" t="s">
        <v>242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2:17" ht="24" x14ac:dyDescent="0.25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2:17" x14ac:dyDescent="0.25">
      <c r="B5" s="25" t="s">
        <v>99</v>
      </c>
      <c r="C5" s="144">
        <f>'Revenue automotive'!C11+'Revenue Energy &amp; Other'!C7</f>
        <v>4046.0250000000001</v>
      </c>
      <c r="D5" s="144">
        <f>'Revenue automotive'!D11+'Revenue Energy &amp; Other'!D7</f>
        <v>7000.1319999999996</v>
      </c>
      <c r="E5" s="144">
        <f>'Revenue automotive'!E11+'Revenue Energy &amp; Other'!E7</f>
        <v>11758.751</v>
      </c>
      <c r="F5" s="144">
        <f>'Revenue automotive'!F11+'Revenue Energy &amp; Other'!F7</f>
        <v>21461.268</v>
      </c>
      <c r="G5" s="14">
        <f>'Revenue automotive'!G11+'Revenue Energy &amp; Other'!G7</f>
        <v>24578</v>
      </c>
      <c r="H5" s="145">
        <f>'Revenue automotive'!H11+'Revenue Energy &amp; Other'!H7</f>
        <v>37652.429714333332</v>
      </c>
      <c r="I5" s="145">
        <f>'Revenue automotive'!I11+'Revenue Energy &amp; Other'!I7</f>
        <v>49932.933760506661</v>
      </c>
      <c r="J5" s="145">
        <f>'Revenue automotive'!J11+'Revenue Energy &amp; Other'!J7</f>
        <v>67816.248169715516</v>
      </c>
      <c r="K5" s="145">
        <f>'Revenue automotive'!K11+'Revenue Energy &amp; Other'!K7</f>
        <v>87207.51105659426</v>
      </c>
      <c r="L5" s="145">
        <f>'Revenue automotive'!L11+'Revenue Energy &amp; Other'!L7</f>
        <v>99609.320850611111</v>
      </c>
      <c r="M5" s="145">
        <f>'Revenue automotive'!M11+'Revenue Energy &amp; Other'!M7</f>
        <v>106627.42014564011</v>
      </c>
      <c r="N5" s="145">
        <f>'Revenue automotive'!N11+'Revenue Energy &amp; Other'!N7</f>
        <v>113514.29487557214</v>
      </c>
      <c r="O5" s="145">
        <f>'Revenue automotive'!O11+'Revenue Energy &amp; Other'!O7</f>
        <v>120511.84483940653</v>
      </c>
      <c r="P5" s="145">
        <f>'Revenue automotive'!P11+'Revenue Energy &amp; Other'!P7</f>
        <v>126325.69040602981</v>
      </c>
      <c r="Q5" s="145">
        <f>'Revenue automotive'!Q11+'Revenue Energy &amp; Other'!Q7</f>
        <v>131530.85338271703</v>
      </c>
    </row>
    <row r="6" spans="2:17" x14ac:dyDescent="0.25">
      <c r="B6" s="25" t="s">
        <v>90</v>
      </c>
      <c r="C6" s="144">
        <f>'Cost of sales Energy &amp; Other'!C7+'Cost of sales automotive'!C11</f>
        <v>-3122.5219999999999</v>
      </c>
      <c r="D6" s="144">
        <f>'Cost of sales Energy &amp; Other'!D7+'Cost of sales automotive'!D11</f>
        <v>-5400.875</v>
      </c>
      <c r="E6" s="144">
        <f>'Cost of sales Energy &amp; Other'!E7+'Cost of sales automotive'!E11</f>
        <v>-9536.2639999999992</v>
      </c>
      <c r="F6" s="144">
        <f>'Cost of sales Energy &amp; Other'!F7+'Cost of sales automotive'!F11</f>
        <v>-17419.246999999999</v>
      </c>
      <c r="G6" s="144">
        <f>'Cost of sales Energy &amp; Other'!G7+'Cost of sales automotive'!G11</f>
        <v>-20509</v>
      </c>
      <c r="H6" s="153">
        <f>'Cost of sales Energy &amp; Other'!H7+'Cost of sales automotive'!H11</f>
        <v>-30237.022010668872</v>
      </c>
      <c r="I6" s="153">
        <f>'Cost of sales Energy &amp; Other'!I7+'Cost of sales automotive'!I11</f>
        <v>-40484.271735138049</v>
      </c>
      <c r="J6" s="153">
        <f>'Cost of sales Energy &amp; Other'!J7+'Cost of sales automotive'!J11</f>
        <v>-55224.959323869472</v>
      </c>
      <c r="K6" s="153">
        <f>'Cost of sales Energy &amp; Other'!K7+'Cost of sales automotive'!K11</f>
        <v>-71236.324426231906</v>
      </c>
      <c r="L6" s="153">
        <f>'Cost of sales Energy &amp; Other'!L7+'Cost of sales automotive'!L11</f>
        <v>-81310.978105512433</v>
      </c>
      <c r="M6" s="153">
        <f>'Cost of sales Energy &amp; Other'!M7+'Cost of sales automotive'!M11</f>
        <v>-87102.948696300635</v>
      </c>
      <c r="N6" s="153">
        <f>'Cost of sales Energy &amp; Other'!N7+'Cost of sales automotive'!N11</f>
        <v>-92776.363284791412</v>
      </c>
      <c r="O6" s="153">
        <f>'Cost of sales Energy &amp; Other'!O7+'Cost of sales automotive'!O11</f>
        <v>-98550.190684565372</v>
      </c>
      <c r="P6" s="153">
        <f>'Cost of sales Energy &amp; Other'!P7+'Cost of sales automotive'!P11</f>
        <v>-103319.07991378251</v>
      </c>
      <c r="Q6" s="153">
        <f>'Cost of sales Energy &amp; Other'!Q7+'Cost of sales automotive'!Q11</f>
        <v>-107603.97847077982</v>
      </c>
    </row>
    <row r="7" spans="2:17" x14ac:dyDescent="0.25">
      <c r="B7" s="32" t="s">
        <v>1</v>
      </c>
      <c r="C7" s="146">
        <f>SUM(C5:C6)</f>
        <v>923.50300000000016</v>
      </c>
      <c r="D7" s="146">
        <f t="shared" ref="D7:G9" si="0">SUM(D5:D6)</f>
        <v>1599.2569999999996</v>
      </c>
      <c r="E7" s="146">
        <f t="shared" si="0"/>
        <v>2222.487000000001</v>
      </c>
      <c r="F7" s="146">
        <f t="shared" si="0"/>
        <v>4042.0210000000006</v>
      </c>
      <c r="G7" s="156">
        <f t="shared" si="0"/>
        <v>4069</v>
      </c>
      <c r="H7" s="147">
        <f t="shared" ref="H7:Q7" si="1">SUM(H5:H6)</f>
        <v>7415.4077036644594</v>
      </c>
      <c r="I7" s="147">
        <f t="shared" si="1"/>
        <v>9448.6620253686124</v>
      </c>
      <c r="J7" s="147">
        <f t="shared" si="1"/>
        <v>12591.288845846044</v>
      </c>
      <c r="K7" s="147">
        <f t="shared" si="1"/>
        <v>15971.186630362354</v>
      </c>
      <c r="L7" s="147">
        <f t="shared" si="1"/>
        <v>18298.342745098678</v>
      </c>
      <c r="M7" s="147">
        <f t="shared" si="1"/>
        <v>19524.471449339471</v>
      </c>
      <c r="N7" s="147">
        <f t="shared" si="1"/>
        <v>20737.931590780732</v>
      </c>
      <c r="O7" s="147">
        <f t="shared" si="1"/>
        <v>21961.654154841162</v>
      </c>
      <c r="P7" s="147">
        <f t="shared" si="1"/>
        <v>23006.610492247302</v>
      </c>
      <c r="Q7" s="147">
        <f t="shared" si="1"/>
        <v>23926.874911937208</v>
      </c>
    </row>
    <row r="8" spans="2:17" x14ac:dyDescent="0.25">
      <c r="B8" s="25" t="s">
        <v>100</v>
      </c>
      <c r="C8" s="144">
        <f>Opex!C7</f>
        <v>-1640.1320000000001</v>
      </c>
      <c r="D8" s="144">
        <f>Opex!D7</f>
        <v>-2266.5970000000002</v>
      </c>
      <c r="E8" s="144">
        <f>Opex!E7</f>
        <v>-3854.5729999999999</v>
      </c>
      <c r="F8" s="144">
        <f>Opex!F7</f>
        <v>-4430.0940000000001</v>
      </c>
      <c r="G8" s="14">
        <f>Opex!G7</f>
        <v>-4138</v>
      </c>
      <c r="H8" s="145">
        <f>Opex!H7</f>
        <v>-5147.2658331749999</v>
      </c>
      <c r="I8" s="145">
        <f>Opex!I7</f>
        <v>-6826.0690172088971</v>
      </c>
      <c r="J8" s="145">
        <f>Opex!J7</f>
        <v>-9270.802967735488</v>
      </c>
      <c r="K8" s="145">
        <f>Opex!K7</f>
        <v>-11921.680631594441</v>
      </c>
      <c r="L8" s="145">
        <f>Opex!L7</f>
        <v>-13617.066887052411</v>
      </c>
      <c r="M8" s="145">
        <f>Opex!M7</f>
        <v>-14576.47436723903</v>
      </c>
      <c r="N8" s="145">
        <f>Opex!N7</f>
        <v>-15517.942826610222</v>
      </c>
      <c r="O8" s="145">
        <f>Opex!O7</f>
        <v>-16474.541115699343</v>
      </c>
      <c r="P8" s="145">
        <f>Opex!P7</f>
        <v>-17269.321396055173</v>
      </c>
      <c r="Q8" s="145">
        <f>Opex!Q7</f>
        <v>-17980.891877675658</v>
      </c>
    </row>
    <row r="9" spans="2:17" x14ac:dyDescent="0.25">
      <c r="B9" s="32" t="s">
        <v>43</v>
      </c>
      <c r="C9" s="146">
        <f>SUM(C7:C8)</f>
        <v>-716.62899999999991</v>
      </c>
      <c r="D9" s="148">
        <f>SUM(D7:D8)</f>
        <v>-667.3400000000006</v>
      </c>
      <c r="E9" s="148">
        <f>SUM(E7:E8)</f>
        <v>-1632.0859999999989</v>
      </c>
      <c r="F9" s="148">
        <f>SUM(F7:F8)</f>
        <v>-388.07299999999941</v>
      </c>
      <c r="G9" s="156">
        <f t="shared" si="0"/>
        <v>-69</v>
      </c>
      <c r="H9" s="147">
        <f t="shared" ref="H9:Q9" si="2">SUM(H7:H8)</f>
        <v>2268.1418704894595</v>
      </c>
      <c r="I9" s="147">
        <f t="shared" si="2"/>
        <v>2622.5930081597153</v>
      </c>
      <c r="J9" s="147">
        <f t="shared" si="2"/>
        <v>3320.4858781105559</v>
      </c>
      <c r="K9" s="147">
        <f t="shared" si="2"/>
        <v>4049.5059987679124</v>
      </c>
      <c r="L9" s="147">
        <f t="shared" si="2"/>
        <v>4681.2758580462669</v>
      </c>
      <c r="M9" s="147">
        <f t="shared" si="2"/>
        <v>4947.9970821004408</v>
      </c>
      <c r="N9" s="147">
        <f t="shared" si="2"/>
        <v>5219.98876417051</v>
      </c>
      <c r="O9" s="147">
        <f t="shared" si="2"/>
        <v>5487.1130391418192</v>
      </c>
      <c r="P9" s="147">
        <f t="shared" si="2"/>
        <v>5737.2890961921294</v>
      </c>
      <c r="Q9" s="147">
        <f t="shared" si="2"/>
        <v>5945.9830342615496</v>
      </c>
    </row>
    <row r="10" spans="2:17" x14ac:dyDescent="0.25">
      <c r="B10" s="25" t="s">
        <v>101</v>
      </c>
      <c r="C10" s="144">
        <f>Financing!C12+('P&amp;L Input'!C16+'P&amp;L Input'!C18)/1000</f>
        <v>-158.995</v>
      </c>
      <c r="D10" s="144">
        <f>Financing!D12+('P&amp;L Input'!D16+'P&amp;L Input'!D18)/1000</f>
        <v>-79.007999999999996</v>
      </c>
      <c r="E10" s="144">
        <f>Financing!E12+('P&amp;L Input'!E16+'P&amp;L Input'!E18)/1000</f>
        <v>-576.94600000000003</v>
      </c>
      <c r="F10" s="144">
        <f>Financing!F12+('P&amp;L Input'!F16+'P&amp;L Input'!F18)/1000</f>
        <v>-616.67200000000003</v>
      </c>
      <c r="G10" s="14">
        <f>Financing!G12+('P&amp;L Input'!G16+'P&amp;L Input'!G18)/1000</f>
        <v>-596</v>
      </c>
      <c r="H10" s="145">
        <f>Financing!H12</f>
        <v>-503.05416000000002</v>
      </c>
      <c r="I10" s="145">
        <f>Financing!I12</f>
        <v>-503.05416000000002</v>
      </c>
      <c r="J10" s="145">
        <f>Financing!J12</f>
        <v>-503.05416000000002</v>
      </c>
      <c r="K10" s="145">
        <f>Financing!K12</f>
        <v>-503.05416000000002</v>
      </c>
      <c r="L10" s="145">
        <f>Financing!L12</f>
        <v>-503.05416000000002</v>
      </c>
      <c r="M10" s="145">
        <f>Financing!M12</f>
        <v>-503.05416000000002</v>
      </c>
      <c r="N10" s="145">
        <f>Financing!N12</f>
        <v>-503.05416000000002</v>
      </c>
      <c r="O10" s="145">
        <f>Financing!O12</f>
        <v>-503.05416000000002</v>
      </c>
      <c r="P10" s="145">
        <f>Financing!P12</f>
        <v>-503.05416000000002</v>
      </c>
      <c r="Q10" s="145">
        <f>Financing!Q12</f>
        <v>-503.05416000000002</v>
      </c>
    </row>
    <row r="11" spans="2:17" x14ac:dyDescent="0.25">
      <c r="B11" s="32" t="s">
        <v>44</v>
      </c>
      <c r="C11" s="148">
        <f t="shared" ref="C11:Q11" si="3">SUM(C9:C10)</f>
        <v>-875.62399999999991</v>
      </c>
      <c r="D11" s="148">
        <f t="shared" si="3"/>
        <v>-746.34800000000064</v>
      </c>
      <c r="E11" s="148">
        <f t="shared" si="3"/>
        <v>-2209.0319999999988</v>
      </c>
      <c r="F11" s="148">
        <f t="shared" si="3"/>
        <v>-1004.7449999999994</v>
      </c>
      <c r="G11" s="148">
        <f t="shared" si="3"/>
        <v>-665</v>
      </c>
      <c r="H11" s="147">
        <f t="shared" si="3"/>
        <v>1765.0877104894594</v>
      </c>
      <c r="I11" s="147">
        <f t="shared" si="3"/>
        <v>2119.5388481597151</v>
      </c>
      <c r="J11" s="147">
        <f t="shared" si="3"/>
        <v>2817.4317181105557</v>
      </c>
      <c r="K11" s="147">
        <f t="shared" si="3"/>
        <v>3546.4518387679122</v>
      </c>
      <c r="L11" s="147">
        <f t="shared" si="3"/>
        <v>4178.2216980462672</v>
      </c>
      <c r="M11" s="147">
        <f t="shared" si="3"/>
        <v>4444.9429221004411</v>
      </c>
      <c r="N11" s="147">
        <f t="shared" si="3"/>
        <v>4716.9346041705103</v>
      </c>
      <c r="O11" s="147">
        <f t="shared" si="3"/>
        <v>4984.0588791418195</v>
      </c>
      <c r="P11" s="147">
        <f t="shared" si="3"/>
        <v>5234.2349361921297</v>
      </c>
      <c r="Q11" s="147">
        <f t="shared" si="3"/>
        <v>5442.9288742615499</v>
      </c>
    </row>
    <row r="12" spans="2:17" x14ac:dyDescent="0.25">
      <c r="B12" s="25" t="s">
        <v>97</v>
      </c>
      <c r="C12" s="144">
        <f>'P&amp;L Input'!C20/1000</f>
        <v>-13.039</v>
      </c>
      <c r="D12" s="144">
        <f>'P&amp;L Input'!D20/1000</f>
        <v>-26.698</v>
      </c>
      <c r="E12" s="144">
        <f>'P&amp;L Input'!E20/1000</f>
        <v>-31.545999999999999</v>
      </c>
      <c r="F12" s="144">
        <f>'P&amp;L Input'!F20/1000</f>
        <v>-57.837000000000003</v>
      </c>
      <c r="G12" s="144">
        <f>'P&amp;L Input'!G20/1000</f>
        <v>-110</v>
      </c>
      <c r="H12" s="149">
        <f>IF(H11&gt;0,-H11*Drivers!$C$12,0)</f>
        <v>-370.66841920278648</v>
      </c>
      <c r="I12" s="149">
        <f>IF(I11&gt;0,-I11*Drivers!$C$12,0)</f>
        <v>-445.10315811354019</v>
      </c>
      <c r="J12" s="149">
        <f>IF(J11&gt;0,-J11*Drivers!$C$12,0)</f>
        <v>-591.66066080321673</v>
      </c>
      <c r="K12" s="149">
        <f>IF(K11&gt;0,-K11*Drivers!$C$12,0)</f>
        <v>-744.75488614126152</v>
      </c>
      <c r="L12" s="149">
        <f>IF(L11&gt;0,-L11*Drivers!$C$12,0)</f>
        <v>-877.42655658971603</v>
      </c>
      <c r="M12" s="149">
        <f>IF(M11&gt;0,-M11*Drivers!$C$12,0)</f>
        <v>-933.43801364109265</v>
      </c>
      <c r="N12" s="149">
        <f>IF(N11&gt;0,-N11*Drivers!$C$12,0)</f>
        <v>-990.55626687580707</v>
      </c>
      <c r="O12" s="149">
        <f>IF(O11&gt;0,-O11*Drivers!$C$12,0)</f>
        <v>-1046.652364619782</v>
      </c>
      <c r="P12" s="149">
        <f>IF(P11&gt;0,-P11*Drivers!$C$12,0)</f>
        <v>-1099.1893366003471</v>
      </c>
      <c r="Q12" s="149">
        <f>IF(Q11&gt;0,-Q11*Drivers!$C$12,0)</f>
        <v>-1143.0150635949256</v>
      </c>
    </row>
    <row r="13" spans="2:17" x14ac:dyDescent="0.25">
      <c r="B13" s="25" t="s">
        <v>247</v>
      </c>
      <c r="C13" s="144">
        <f>'P&amp;L Input'!C22/1000</f>
        <v>0</v>
      </c>
      <c r="D13" s="144">
        <f>'P&amp;L Input'!D22/1000</f>
        <v>98.132000000000005</v>
      </c>
      <c r="E13" s="144">
        <f>'P&amp;L Input'!E22/1000</f>
        <v>279.178</v>
      </c>
      <c r="F13" s="144">
        <f>'P&amp;L Input'!F22/1000</f>
        <v>86.491</v>
      </c>
      <c r="G13" s="144">
        <f>'P&amp;L Input'!G22/1000</f>
        <v>-87</v>
      </c>
      <c r="H13" s="149">
        <v>0</v>
      </c>
      <c r="I13" s="149">
        <v>0</v>
      </c>
      <c r="J13" s="149">
        <v>0</v>
      </c>
      <c r="K13" s="149">
        <v>0</v>
      </c>
      <c r="L13" s="149">
        <v>0</v>
      </c>
      <c r="M13" s="149">
        <v>0</v>
      </c>
      <c r="N13" s="149">
        <v>0</v>
      </c>
      <c r="O13" s="149">
        <v>0</v>
      </c>
      <c r="P13" s="149">
        <v>0</v>
      </c>
      <c r="Q13" s="149">
        <v>0</v>
      </c>
    </row>
    <row r="14" spans="2:17" ht="13.8" thickBot="1" x14ac:dyDescent="0.3">
      <c r="B14" s="108" t="s">
        <v>98</v>
      </c>
      <c r="C14" s="114">
        <f>SUM(C11:C13)</f>
        <v>-888.6629999999999</v>
      </c>
      <c r="D14" s="114">
        <f t="shared" ref="D14:Q14" si="4">SUM(D11:D13)</f>
        <v>-674.91400000000067</v>
      </c>
      <c r="E14" s="114">
        <f t="shared" si="4"/>
        <v>-1961.3999999999987</v>
      </c>
      <c r="F14" s="114">
        <f t="shared" si="4"/>
        <v>-976.09099999999944</v>
      </c>
      <c r="G14" s="114">
        <f t="shared" si="4"/>
        <v>-862</v>
      </c>
      <c r="H14" s="114">
        <f t="shared" si="4"/>
        <v>1394.4192912866729</v>
      </c>
      <c r="I14" s="114">
        <f t="shared" si="4"/>
        <v>1674.4356900461748</v>
      </c>
      <c r="J14" s="114">
        <f t="shared" si="4"/>
        <v>2225.7710573073391</v>
      </c>
      <c r="K14" s="114">
        <f t="shared" si="4"/>
        <v>2801.6969526266507</v>
      </c>
      <c r="L14" s="114">
        <f t="shared" si="4"/>
        <v>3300.7951414565514</v>
      </c>
      <c r="M14" s="114">
        <f t="shared" si="4"/>
        <v>3511.5049084593484</v>
      </c>
      <c r="N14" s="114">
        <f t="shared" si="4"/>
        <v>3726.3783372947032</v>
      </c>
      <c r="O14" s="114">
        <f t="shared" si="4"/>
        <v>3937.4065145220375</v>
      </c>
      <c r="P14" s="114">
        <f t="shared" si="4"/>
        <v>4135.0455995917828</v>
      </c>
      <c r="Q14" s="114">
        <f t="shared" si="4"/>
        <v>4299.9138106666242</v>
      </c>
    </row>
    <row r="15" spans="2:17" x14ac:dyDescent="0.25">
      <c r="C15" s="33"/>
    </row>
    <row r="16" spans="2:17" x14ac:dyDescent="0.25">
      <c r="B16" s="152" t="s">
        <v>112</v>
      </c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</row>
    <row r="17" spans="2:17" x14ac:dyDescent="0.25">
      <c r="B17" s="151" t="s">
        <v>246</v>
      </c>
      <c r="C17" s="159">
        <f>'P&amp;L Input'!C23/1000</f>
        <v>-888.66300000000001</v>
      </c>
      <c r="D17" s="159">
        <f>'P&amp;L Input'!D23/1000</f>
        <v>-674.91399999999999</v>
      </c>
      <c r="E17" s="159">
        <f>'P&amp;L Input'!E23/1000</f>
        <v>-1961.4</v>
      </c>
      <c r="F17" s="159">
        <f>'P&amp;L Input'!F23/1000</f>
        <v>-976.09100000000001</v>
      </c>
      <c r="G17" s="159">
        <f>'P&amp;L Input'!G23/1000</f>
        <v>-862</v>
      </c>
      <c r="H17" s="151"/>
      <c r="I17" s="151"/>
      <c r="J17" s="151"/>
      <c r="K17" s="151"/>
      <c r="L17" s="151"/>
      <c r="M17" s="151"/>
      <c r="N17" s="151"/>
      <c r="O17" s="151"/>
      <c r="P17" s="151"/>
      <c r="Q17" s="151"/>
    </row>
    <row r="18" spans="2:17" x14ac:dyDescent="0.25">
      <c r="B18" s="151" t="s">
        <v>75</v>
      </c>
      <c r="C18" s="160">
        <f>C14-C17</f>
        <v>0</v>
      </c>
      <c r="D18" s="160">
        <f>D14-D17</f>
        <v>0</v>
      </c>
      <c r="E18" s="160">
        <f>E14-E17</f>
        <v>0</v>
      </c>
      <c r="F18" s="160">
        <f>F14-F17</f>
        <v>0</v>
      </c>
      <c r="G18" s="160">
        <f>G14-G17</f>
        <v>0</v>
      </c>
      <c r="H18" s="151"/>
      <c r="I18" s="151"/>
      <c r="J18" s="151"/>
      <c r="K18" s="151"/>
      <c r="L18" s="151"/>
      <c r="M18" s="151"/>
      <c r="N18" s="151"/>
      <c r="O18" s="151"/>
      <c r="P18" s="151"/>
      <c r="Q18" s="151"/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S40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6" width="10.44140625" style="1" customWidth="1"/>
    <col min="7" max="7" width="10.88671875" style="1" customWidth="1"/>
    <col min="8" max="9" width="9.88671875" style="1" bestFit="1" customWidth="1"/>
    <col min="10" max="12" width="10" style="1" bestFit="1" customWidth="1"/>
    <col min="13" max="17" width="9.6640625" style="1" customWidth="1"/>
    <col min="18" max="18" width="1.109375" style="1" customWidth="1"/>
    <col min="19" max="19" width="11.88671875" style="1" customWidth="1"/>
    <col min="20" max="16384" width="9.109375" style="1"/>
  </cols>
  <sheetData>
    <row r="1" spans="2:19" ht="15.6" x14ac:dyDescent="0.3">
      <c r="B1" s="18" t="s">
        <v>243</v>
      </c>
    </row>
    <row r="2" spans="2:19" ht="15.6" x14ac:dyDescent="0.3">
      <c r="B2" s="18"/>
    </row>
    <row r="3" spans="2:19" x14ac:dyDescent="0.25">
      <c r="C3" s="236" t="s">
        <v>248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2:19" s="8" customFormat="1" ht="24" x14ac:dyDescent="0.25">
      <c r="B4" s="5" t="s">
        <v>244</v>
      </c>
      <c r="C4" s="6" t="s">
        <v>226</v>
      </c>
      <c r="D4" s="6" t="s">
        <v>227</v>
      </c>
      <c r="E4" s="6" t="s">
        <v>228</v>
      </c>
      <c r="F4" s="6" t="s">
        <v>330</v>
      </c>
      <c r="G4" s="6" t="s">
        <v>359</v>
      </c>
      <c r="H4" s="92" t="s">
        <v>270</v>
      </c>
      <c r="I4" s="92" t="s">
        <v>271</v>
      </c>
      <c r="J4" s="92" t="s">
        <v>272</v>
      </c>
      <c r="K4" s="92" t="s">
        <v>273</v>
      </c>
      <c r="L4" s="92" t="s">
        <v>274</v>
      </c>
      <c r="M4" s="92" t="s">
        <v>275</v>
      </c>
      <c r="N4" s="92" t="s">
        <v>276</v>
      </c>
      <c r="O4" s="92" t="s">
        <v>277</v>
      </c>
      <c r="P4" s="92" t="s">
        <v>278</v>
      </c>
      <c r="Q4" s="92" t="s">
        <v>334</v>
      </c>
      <c r="S4" s="36" t="s">
        <v>115</v>
      </c>
    </row>
    <row r="5" spans="2:19" s="8" customFormat="1" ht="11.4" x14ac:dyDescent="0.2">
      <c r="B5" s="8" t="s">
        <v>103</v>
      </c>
      <c r="C5" s="144">
        <f>('Balance Sheet Input'!C4)/1000</f>
        <v>1196.9079999999999</v>
      </c>
      <c r="D5" s="144">
        <f>('Balance Sheet Input'!D4)/1000</f>
        <v>3393.2159999999999</v>
      </c>
      <c r="E5" s="144">
        <f>('Balance Sheet Input'!E4)/1000</f>
        <v>3367.9140000000002</v>
      </c>
      <c r="F5" s="144">
        <f>('Balance Sheet Input'!F4)/1000</f>
        <v>3685.6179999999999</v>
      </c>
      <c r="G5" s="144">
        <f>('Balance Sheet Input'!G4)/1000</f>
        <v>6268</v>
      </c>
      <c r="H5" s="145">
        <f>G5+'Cash Flow'!H28</f>
        <v>9182.6673386530565</v>
      </c>
      <c r="I5" s="145">
        <f>H5+'Cash Flow'!I28</f>
        <v>12514.650130960614</v>
      </c>
      <c r="J5" s="145">
        <f>I5+'Cash Flow'!J28</f>
        <v>17735.243844116267</v>
      </c>
      <c r="K5" s="145">
        <f>J5+'Cash Flow'!K28</f>
        <v>23930.860531619153</v>
      </c>
      <c r="L5" s="145">
        <f>K5+'Cash Flow'!L28</f>
        <v>29061.542237589892</v>
      </c>
      <c r="M5" s="145">
        <f>L5+'Cash Flow'!M28</f>
        <v>33257.381917840183</v>
      </c>
      <c r="N5" s="145">
        <f>M5+'Cash Flow'!N28</f>
        <v>37821.76945024079</v>
      </c>
      <c r="O5" s="145">
        <f>N5+'Cash Flow'!O28</f>
        <v>42871.274389261918</v>
      </c>
      <c r="P5" s="145">
        <f>O5+'Cash Flow'!P28</f>
        <v>48160.806801790473</v>
      </c>
      <c r="Q5" s="145">
        <f>P5+'Cash Flow'!Q28</f>
        <v>53875.411451004977</v>
      </c>
      <c r="S5" s="8" t="s">
        <v>118</v>
      </c>
    </row>
    <row r="6" spans="2:19" s="8" customFormat="1" ht="11.4" x14ac:dyDescent="0.2">
      <c r="B6" s="8" t="s">
        <v>132</v>
      </c>
      <c r="C6" s="144">
        <f>+'Balance Sheet Input'!C5/1000</f>
        <v>22.628</v>
      </c>
      <c r="D6" s="144">
        <f>+'Balance Sheet Input'!D5/1000</f>
        <v>105.51900000000001</v>
      </c>
      <c r="E6" s="144">
        <f>+'Balance Sheet Input'!E5/1000</f>
        <v>155.32300000000001</v>
      </c>
      <c r="F6" s="144">
        <f>+'Balance Sheet Input'!F5/1000</f>
        <v>192.55099999999999</v>
      </c>
      <c r="G6" s="144">
        <f>+'Balance Sheet Input'!G5/1000</f>
        <v>246</v>
      </c>
      <c r="H6" s="145">
        <f t="shared" ref="H6:Q6" si="0">$G$6</f>
        <v>246</v>
      </c>
      <c r="I6" s="145">
        <f t="shared" si="0"/>
        <v>246</v>
      </c>
      <c r="J6" s="145">
        <f t="shared" si="0"/>
        <v>246</v>
      </c>
      <c r="K6" s="145">
        <f t="shared" si="0"/>
        <v>246</v>
      </c>
      <c r="L6" s="145">
        <f t="shared" si="0"/>
        <v>246</v>
      </c>
      <c r="M6" s="145">
        <f t="shared" si="0"/>
        <v>246</v>
      </c>
      <c r="N6" s="145">
        <f t="shared" si="0"/>
        <v>246</v>
      </c>
      <c r="O6" s="145">
        <f t="shared" si="0"/>
        <v>246</v>
      </c>
      <c r="P6" s="145">
        <f t="shared" si="0"/>
        <v>246</v>
      </c>
      <c r="Q6" s="145">
        <f t="shared" si="0"/>
        <v>246</v>
      </c>
      <c r="S6" s="8" t="s">
        <v>114</v>
      </c>
    </row>
    <row r="7" spans="2:19" s="7" customFormat="1" ht="11.4" x14ac:dyDescent="0.2">
      <c r="B7" s="7" t="s">
        <v>88</v>
      </c>
      <c r="C7" s="144">
        <f>('Balance Sheet Input'!C6)/1000</f>
        <v>168.965</v>
      </c>
      <c r="D7" s="144">
        <f>('Balance Sheet Input'!D6)/1000</f>
        <v>499.142</v>
      </c>
      <c r="E7" s="144">
        <f>('Balance Sheet Input'!E6)/1000</f>
        <v>515.38099999999997</v>
      </c>
      <c r="F7" s="144">
        <f>('Balance Sheet Input'!F6)/1000</f>
        <v>949.02200000000005</v>
      </c>
      <c r="G7" s="144">
        <f>('Balance Sheet Input'!G6)/1000</f>
        <v>1324</v>
      </c>
      <c r="H7" s="181">
        <f>'Working capital'!H5</f>
        <v>1920.1571947442799</v>
      </c>
      <c r="I7" s="181">
        <f>'Working capital'!I5</f>
        <v>2546.4248321384598</v>
      </c>
      <c r="J7" s="181">
        <f>'Working capital'!J5</f>
        <v>3458.4184296099274</v>
      </c>
      <c r="K7" s="181">
        <f>'Working capital'!K5</f>
        <v>4447.3127248761848</v>
      </c>
      <c r="L7" s="181">
        <f>'Working capital'!L5</f>
        <v>5079.766579368511</v>
      </c>
      <c r="M7" s="181">
        <f>'Working capital'!M5</f>
        <v>5437.6678876511414</v>
      </c>
      <c r="N7" s="181">
        <f>'Working capital'!N5</f>
        <v>5788.8771499035474</v>
      </c>
      <c r="O7" s="181">
        <f>'Working capital'!O5</f>
        <v>6145.7305059971732</v>
      </c>
      <c r="P7" s="181">
        <f>'Working capital'!P5</f>
        <v>6442.2186072586464</v>
      </c>
      <c r="Q7" s="181">
        <f>'Working capital'!Q5</f>
        <v>6707.6657833195795</v>
      </c>
      <c r="S7" s="7" t="s">
        <v>117</v>
      </c>
    </row>
    <row r="8" spans="2:19" s="8" customFormat="1" ht="11.4" x14ac:dyDescent="0.2">
      <c r="B8" s="8" t="s">
        <v>9</v>
      </c>
      <c r="C8" s="144">
        <f>('Balance Sheet Input'!C7)/1000</f>
        <v>1277.838</v>
      </c>
      <c r="D8" s="144">
        <f>('Balance Sheet Input'!D7)/1000</f>
        <v>2067.4540000000002</v>
      </c>
      <c r="E8" s="144">
        <f>('Balance Sheet Input'!E7)/1000</f>
        <v>2263.5369999999998</v>
      </c>
      <c r="F8" s="144">
        <f>('Balance Sheet Input'!F7)/1000</f>
        <v>3113.4459999999999</v>
      </c>
      <c r="G8" s="144">
        <f>('Balance Sheet Input'!G7)/1000</f>
        <v>3552</v>
      </c>
      <c r="H8" s="181">
        <f>'Working capital'!H6</f>
        <v>8353.4109236615805</v>
      </c>
      <c r="I8" s="181">
        <f>'Working capital'!I6</f>
        <v>11184.360603681851</v>
      </c>
      <c r="J8" s="181">
        <f>'Working capital'!J6</f>
        <v>15256.686928759254</v>
      </c>
      <c r="K8" s="181">
        <f>'Working capital'!K6</f>
        <v>19680.056138254018</v>
      </c>
      <c r="L8" s="181">
        <f>'Working capital'!L6</f>
        <v>22463.323685796066</v>
      </c>
      <c r="M8" s="181">
        <f>'Working capital'!M6</f>
        <v>24063.438617271309</v>
      </c>
      <c r="N8" s="181">
        <f>'Working capital'!N6</f>
        <v>25630.800753041087</v>
      </c>
      <c r="O8" s="181">
        <f>'Working capital'!O6</f>
        <v>27225.903367828698</v>
      </c>
      <c r="P8" s="181">
        <f>'Working capital'!P6</f>
        <v>28543.377402375438</v>
      </c>
      <c r="Q8" s="181">
        <f>'Working capital'!Q6</f>
        <v>29727.142073386149</v>
      </c>
      <c r="S8" s="8" t="s">
        <v>117</v>
      </c>
    </row>
    <row r="9" spans="2:19" s="8" customFormat="1" ht="11.4" x14ac:dyDescent="0.2">
      <c r="B9" s="8" t="s">
        <v>104</v>
      </c>
      <c r="C9" s="144">
        <f>('Balance Sheet Input'!C8)/1000</f>
        <v>115.667</v>
      </c>
      <c r="D9" s="144">
        <f>('Balance Sheet Input'!D8)/1000</f>
        <v>194.465</v>
      </c>
      <c r="E9" s="144">
        <f>('Balance Sheet Input'!E8)/1000</f>
        <v>268.36500000000001</v>
      </c>
      <c r="F9" s="144">
        <f>('Balance Sheet Input'!F8)/1000</f>
        <v>365.67099999999999</v>
      </c>
      <c r="G9" s="144">
        <f>('Balance Sheet Input'!G8)/1000</f>
        <v>713</v>
      </c>
      <c r="H9" s="145">
        <f>H10*('P&amp;L'!H$5)</f>
        <v>866.91578963861866</v>
      </c>
      <c r="I9" s="145">
        <f>I10*('P&amp;L'!I$5)</f>
        <v>1149.6641525761604</v>
      </c>
      <c r="J9" s="145">
        <f>J10*('P&amp;L'!J$5)</f>
        <v>1561.4125510205045</v>
      </c>
      <c r="K9" s="145">
        <f>K10*('P&amp;L'!K$5)</f>
        <v>2007.8802054377479</v>
      </c>
      <c r="L9" s="145">
        <f>L10*('P&amp;L'!L$5)</f>
        <v>2293.421532042637</v>
      </c>
      <c r="M9" s="145">
        <f>M10*('P&amp;L'!M$5)</f>
        <v>2455.0074147671248</v>
      </c>
      <c r="N9" s="145">
        <f>N10*('P&amp;L'!N$5)</f>
        <v>2613.5719613299334</v>
      </c>
      <c r="O9" s="145">
        <f>O10*('P&amp;L'!O$5)</f>
        <v>2774.6847128431218</v>
      </c>
      <c r="P9" s="145">
        <f>P10*('P&amp;L'!P$5)</f>
        <v>2908.5436578956783</v>
      </c>
      <c r="Q9" s="145">
        <f>Q10*('P&amp;L'!Q$5)</f>
        <v>3028.3881939951571</v>
      </c>
      <c r="S9" s="8" t="s">
        <v>119</v>
      </c>
    </row>
    <row r="10" spans="2:19" s="8" customFormat="1" ht="11.4" x14ac:dyDescent="0.25">
      <c r="B10" s="175" t="s">
        <v>113</v>
      </c>
      <c r="C10" s="176">
        <f>C9/('P&amp;L'!C$5)</f>
        <v>2.8587811493997195E-2</v>
      </c>
      <c r="D10" s="176">
        <f>D9/('P&amp;L'!D$5)</f>
        <v>2.7780190430694737E-2</v>
      </c>
      <c r="E10" s="176">
        <f>E9/('P&amp;L'!E$5)</f>
        <v>2.2822576989681983E-2</v>
      </c>
      <c r="F10" s="176">
        <f>F9/('P&amp;L'!F$5)</f>
        <v>1.7038648415368559E-2</v>
      </c>
      <c r="G10" s="176">
        <f>G9/('P&amp;L'!G$5)</f>
        <v>2.9009683456749938E-2</v>
      </c>
      <c r="H10" s="177">
        <f>AVERAGE($F$10:$G$10)</f>
        <v>2.302416593605925E-2</v>
      </c>
      <c r="I10" s="177">
        <f t="shared" ref="I10:Q10" si="1">AVERAGE($F$10:$G$10)</f>
        <v>2.302416593605925E-2</v>
      </c>
      <c r="J10" s="177">
        <f t="shared" si="1"/>
        <v>2.302416593605925E-2</v>
      </c>
      <c r="K10" s="177">
        <f t="shared" si="1"/>
        <v>2.302416593605925E-2</v>
      </c>
      <c r="L10" s="177">
        <f t="shared" si="1"/>
        <v>2.302416593605925E-2</v>
      </c>
      <c r="M10" s="177">
        <f t="shared" si="1"/>
        <v>2.302416593605925E-2</v>
      </c>
      <c r="N10" s="177">
        <f t="shared" si="1"/>
        <v>2.302416593605925E-2</v>
      </c>
      <c r="O10" s="177">
        <f t="shared" si="1"/>
        <v>2.302416593605925E-2</v>
      </c>
      <c r="P10" s="177">
        <f t="shared" si="1"/>
        <v>2.302416593605925E-2</v>
      </c>
      <c r="Q10" s="177">
        <f t="shared" si="1"/>
        <v>2.302416593605925E-2</v>
      </c>
    </row>
    <row r="11" spans="2:19" s="8" customFormat="1" ht="11.4" x14ac:dyDescent="0.2">
      <c r="B11" s="8" t="s">
        <v>105</v>
      </c>
      <c r="C11" s="144">
        <f>('Balance Sheet Input'!C10)/1000+'Balance Sheet Input'!C13/1000</f>
        <v>1791.403</v>
      </c>
      <c r="D11" s="144">
        <f>('Balance Sheet Input'!D10)/1000+'Balance Sheet Input'!D13/1000</f>
        <v>3134.08</v>
      </c>
      <c r="E11" s="144">
        <f>('Balance Sheet Input'!E10)/1000+'Balance Sheet Input'!E13/1000</f>
        <v>4116.6040000000003</v>
      </c>
      <c r="F11" s="144">
        <f>('Balance Sheet Input'!F10)/1000+'Balance Sheet Input'!F13/1000</f>
        <v>2089.7579999999998</v>
      </c>
      <c r="G11" s="144">
        <f>('Balance Sheet Input'!G10)/1000+'Balance Sheet Input'!G13/1000</f>
        <v>3665</v>
      </c>
      <c r="H11" s="145">
        <f t="shared" ref="H11:Q11" si="2">$G$11</f>
        <v>3665</v>
      </c>
      <c r="I11" s="145">
        <f t="shared" si="2"/>
        <v>3665</v>
      </c>
      <c r="J11" s="145">
        <f t="shared" si="2"/>
        <v>3665</v>
      </c>
      <c r="K11" s="145">
        <f t="shared" si="2"/>
        <v>3665</v>
      </c>
      <c r="L11" s="145">
        <f t="shared" si="2"/>
        <v>3665</v>
      </c>
      <c r="M11" s="145">
        <f t="shared" si="2"/>
        <v>3665</v>
      </c>
      <c r="N11" s="145">
        <f t="shared" si="2"/>
        <v>3665</v>
      </c>
      <c r="O11" s="145">
        <f t="shared" si="2"/>
        <v>3665</v>
      </c>
      <c r="P11" s="145">
        <f t="shared" si="2"/>
        <v>3665</v>
      </c>
      <c r="Q11" s="145">
        <f t="shared" si="2"/>
        <v>3665</v>
      </c>
      <c r="S11" s="8" t="s">
        <v>114</v>
      </c>
    </row>
    <row r="12" spans="2:19" s="8" customFormat="1" ht="11.4" x14ac:dyDescent="0.2">
      <c r="B12" s="8" t="s">
        <v>106</v>
      </c>
      <c r="C12" s="144">
        <f>('Balance Sheet Input'!C11)/1000</f>
        <v>0</v>
      </c>
      <c r="D12" s="144">
        <f>('Balance Sheet Input'!D11)/1000</f>
        <v>5919.88</v>
      </c>
      <c r="E12" s="144">
        <f>('Balance Sheet Input'!E11)/1000</f>
        <v>6347.49</v>
      </c>
      <c r="F12" s="144">
        <f>('Balance Sheet Input'!F11)/1000</f>
        <v>6271.3959999999997</v>
      </c>
      <c r="G12" s="144">
        <f>('Balance Sheet Input'!G11)/1000</f>
        <v>6138</v>
      </c>
      <c r="H12" s="145">
        <f t="shared" ref="H12:Q12" si="3">$G$12</f>
        <v>6138</v>
      </c>
      <c r="I12" s="145">
        <f t="shared" si="3"/>
        <v>6138</v>
      </c>
      <c r="J12" s="145">
        <f t="shared" si="3"/>
        <v>6138</v>
      </c>
      <c r="K12" s="145">
        <f t="shared" si="3"/>
        <v>6138</v>
      </c>
      <c r="L12" s="145">
        <f t="shared" si="3"/>
        <v>6138</v>
      </c>
      <c r="M12" s="145">
        <f t="shared" si="3"/>
        <v>6138</v>
      </c>
      <c r="N12" s="145">
        <f t="shared" si="3"/>
        <v>6138</v>
      </c>
      <c r="O12" s="145">
        <f t="shared" si="3"/>
        <v>6138</v>
      </c>
      <c r="P12" s="145">
        <f t="shared" si="3"/>
        <v>6138</v>
      </c>
      <c r="Q12" s="145">
        <f t="shared" si="3"/>
        <v>6138</v>
      </c>
      <c r="S12" s="8" t="s">
        <v>114</v>
      </c>
    </row>
    <row r="13" spans="2:19" s="8" customFormat="1" ht="11.4" x14ac:dyDescent="0.2">
      <c r="B13" s="8" t="s">
        <v>107</v>
      </c>
      <c r="C13" s="144">
        <f>('Balance Sheet Input'!C12)/1000</f>
        <v>3403.3339999999998</v>
      </c>
      <c r="D13" s="144">
        <f>('Balance Sheet Input'!D12)/1000</f>
        <v>5982.9570000000003</v>
      </c>
      <c r="E13" s="144">
        <f>('Balance Sheet Input'!E12)/1000</f>
        <v>10027.522000000001</v>
      </c>
      <c r="F13" s="144">
        <f>('Balance Sheet Input'!F12)/1000</f>
        <v>11330.076999999999</v>
      </c>
      <c r="G13" s="144">
        <f>('Balance Sheet Input'!G12)/1000</f>
        <v>10396</v>
      </c>
      <c r="H13" s="145">
        <f>'PP&amp;E'!H10</f>
        <v>11620.915202632239</v>
      </c>
      <c r="I13" s="145">
        <f>'PP&amp;E'!I10</f>
        <v>12861.035525162086</v>
      </c>
      <c r="J13" s="145">
        <f>'PP&amp;E'!J10</f>
        <v>14090.026596765269</v>
      </c>
      <c r="K13" s="145">
        <f>'PP&amp;E'!K10</f>
        <v>15275.449738626023</v>
      </c>
      <c r="L13" s="145">
        <f>'PP&amp;E'!L10</f>
        <v>16378.069655985839</v>
      </c>
      <c r="M13" s="145">
        <f>'PP&amp;E'!M10</f>
        <v>17351.159069413741</v>
      </c>
      <c r="N13" s="145">
        <f>'PP&amp;E'!N10</f>
        <v>18139.816374405727</v>
      </c>
      <c r="O13" s="145">
        <f>'PP&amp;E'!O10</f>
        <v>18680.315997120495</v>
      </c>
      <c r="P13" s="145">
        <f>'PP&amp;E'!P10</f>
        <v>18899.515082888276</v>
      </c>
      <c r="Q13" s="145">
        <f>'PP&amp;E'!Q10</f>
        <v>18714.344511455256</v>
      </c>
      <c r="S13" s="8" t="s">
        <v>116</v>
      </c>
    </row>
    <row r="14" spans="2:19" s="8" customFormat="1" ht="11.4" x14ac:dyDescent="0.2">
      <c r="B14" s="8" t="s">
        <v>109</v>
      </c>
      <c r="C14" s="144">
        <f>('Balance Sheet Input'!C14)/1000</f>
        <v>12.816000000000001</v>
      </c>
      <c r="D14" s="144">
        <f>('Balance Sheet Input'!D14)/1000</f>
        <v>376.14499999999998</v>
      </c>
      <c r="E14" s="144">
        <f>('Balance Sheet Input'!E14)/1000</f>
        <v>361.50200000000001</v>
      </c>
      <c r="F14" s="144">
        <f>('Balance Sheet Input'!F14)/1000</f>
        <v>282.49200000000002</v>
      </c>
      <c r="G14" s="144">
        <f>('Balance Sheet Input'!G14)/1000</f>
        <v>339</v>
      </c>
      <c r="H14" s="145">
        <f t="shared" ref="H14:Q14" si="4">$G$14</f>
        <v>339</v>
      </c>
      <c r="I14" s="145">
        <f t="shared" si="4"/>
        <v>339</v>
      </c>
      <c r="J14" s="145">
        <f t="shared" si="4"/>
        <v>339</v>
      </c>
      <c r="K14" s="145">
        <f t="shared" si="4"/>
        <v>339</v>
      </c>
      <c r="L14" s="145">
        <f t="shared" si="4"/>
        <v>339</v>
      </c>
      <c r="M14" s="145">
        <f t="shared" si="4"/>
        <v>339</v>
      </c>
      <c r="N14" s="145">
        <f t="shared" si="4"/>
        <v>339</v>
      </c>
      <c r="O14" s="145">
        <f t="shared" si="4"/>
        <v>339</v>
      </c>
      <c r="P14" s="145">
        <f t="shared" si="4"/>
        <v>339</v>
      </c>
      <c r="Q14" s="145">
        <f t="shared" si="4"/>
        <v>339</v>
      </c>
      <c r="S14" s="8" t="s">
        <v>114</v>
      </c>
    </row>
    <row r="15" spans="2:19" s="8" customFormat="1" ht="11.4" x14ac:dyDescent="0.2">
      <c r="B15" s="8" t="s">
        <v>18</v>
      </c>
      <c r="C15" s="144">
        <f>('Balance Sheet Input'!C17+'Balance Sheet Input'!C16+'Balance Sheet Input'!C15)/1000</f>
        <v>78.38</v>
      </c>
      <c r="D15" s="144">
        <f>('Balance Sheet Input'!D17+'Balance Sheet Input'!D16+'Balance Sheet Input'!D15)/1000</f>
        <v>991.21799999999996</v>
      </c>
      <c r="E15" s="144">
        <f>('Balance Sheet Input'!E17+'Balance Sheet Input'!E16+'Balance Sheet Input'!E15)/1000</f>
        <v>1231.7339999999999</v>
      </c>
      <c r="F15" s="144">
        <f>('Balance Sheet Input'!F17+'Balance Sheet Input'!F16+'Balance Sheet Input'!F15)/1000</f>
        <v>1459.5830000000001</v>
      </c>
      <c r="G15" s="144">
        <f>('Balance Sheet Input'!G17+'Balance Sheet Input'!G16+'Balance Sheet Input'!G15)/1000</f>
        <v>1668</v>
      </c>
      <c r="H15" s="145">
        <f>H16*('P&amp;L'!H$5)</f>
        <v>2558.0245880968573</v>
      </c>
      <c r="I15" s="145">
        <f>I16*('P&amp;L'!I$5)</f>
        <v>3392.3354557531848</v>
      </c>
      <c r="J15" s="145">
        <f>J16*('P&amp;L'!J$5)</f>
        <v>4607.2891339751441</v>
      </c>
      <c r="K15" s="145">
        <f>K16*('P&amp;L'!K$5)</f>
        <v>5924.689568295672</v>
      </c>
      <c r="L15" s="145">
        <f>L16*('P&amp;L'!L$5)</f>
        <v>6767.2416859328223</v>
      </c>
      <c r="M15" s="145">
        <f>M16*('P&amp;L'!M$5)</f>
        <v>7244.0361635958498</v>
      </c>
      <c r="N15" s="145">
        <f>N16*('P&amp;L'!N$5)</f>
        <v>7711.9155282999764</v>
      </c>
      <c r="O15" s="145">
        <f>O16*('P&amp;L'!O$5)</f>
        <v>8187.3139288741258</v>
      </c>
      <c r="P15" s="145">
        <f>P16*('P&amp;L'!P$5)</f>
        <v>8582.2940144530075</v>
      </c>
      <c r="Q15" s="145">
        <f>Q16*('P&amp;L'!Q$5)</f>
        <v>8935.9215221712857</v>
      </c>
      <c r="S15" s="8" t="s">
        <v>119</v>
      </c>
    </row>
    <row r="16" spans="2:19" s="8" customFormat="1" ht="11.4" x14ac:dyDescent="0.25">
      <c r="B16" s="175" t="s">
        <v>113</v>
      </c>
      <c r="C16" s="176">
        <f>C15/('P&amp;L'!C$5)</f>
        <v>1.9372099776941563E-2</v>
      </c>
      <c r="D16" s="176">
        <f>D15/('P&amp;L'!D$5)</f>
        <v>0.14159990125900485</v>
      </c>
      <c r="E16" s="176">
        <f>E15/('P&amp;L'!E$5)</f>
        <v>0.10475041099177965</v>
      </c>
      <c r="F16" s="176">
        <f>F15/('P&amp;L'!F$5)</f>
        <v>6.8010100801126946E-2</v>
      </c>
      <c r="G16" s="176">
        <f>G15/('P&amp;L'!G$5)</f>
        <v>6.7865570835706726E-2</v>
      </c>
      <c r="H16" s="177">
        <f>AVERAGE($F$16:$G$16)</f>
        <v>6.7937835818416836E-2</v>
      </c>
      <c r="I16" s="177">
        <f t="shared" ref="I16:Q16" si="5">AVERAGE($F$16:$G$16)</f>
        <v>6.7937835818416836E-2</v>
      </c>
      <c r="J16" s="177">
        <f t="shared" si="5"/>
        <v>6.7937835818416836E-2</v>
      </c>
      <c r="K16" s="177">
        <f t="shared" si="5"/>
        <v>6.7937835818416836E-2</v>
      </c>
      <c r="L16" s="177">
        <f t="shared" si="5"/>
        <v>6.7937835818416836E-2</v>
      </c>
      <c r="M16" s="177">
        <f t="shared" si="5"/>
        <v>6.7937835818416836E-2</v>
      </c>
      <c r="N16" s="177">
        <f t="shared" si="5"/>
        <v>6.7937835818416836E-2</v>
      </c>
      <c r="O16" s="177">
        <f t="shared" si="5"/>
        <v>6.7937835818416836E-2</v>
      </c>
      <c r="P16" s="177">
        <f t="shared" si="5"/>
        <v>6.7937835818416836E-2</v>
      </c>
      <c r="Q16" s="177">
        <f t="shared" si="5"/>
        <v>6.7937835818416836E-2</v>
      </c>
    </row>
    <row r="17" spans="2:19" s="8" customFormat="1" ht="12.6" thickBot="1" x14ac:dyDescent="0.3">
      <c r="B17" s="108" t="s">
        <v>19</v>
      </c>
      <c r="C17" s="114">
        <f>C5+C6+C7+C8+C9+C11+C13+C15+C12+C14</f>
        <v>8067.9389999999994</v>
      </c>
      <c r="D17" s="114">
        <f>D5+D6+D7+D8+D9+D11+D13+D15+D12+D14</f>
        <v>22664.076000000001</v>
      </c>
      <c r="E17" s="114">
        <f>E5+E6+E7+E8+E9+E11+E13+E15+E12+E14</f>
        <v>28655.372000000003</v>
      </c>
      <c r="F17" s="114">
        <f>F5+F6+F7+F8+F9+F11+F13+F15+F12+F14</f>
        <v>29739.613999999994</v>
      </c>
      <c r="G17" s="114">
        <f>G5+G6+G7+G8+G9+G11+G13+G15+G12+G14</f>
        <v>34309</v>
      </c>
      <c r="H17" s="114">
        <f t="shared" ref="H17:Q17" si="6">H5+H6+H7+H8+H9+H11+H13+H15+H12+H14</f>
        <v>44890.091037426631</v>
      </c>
      <c r="I17" s="114">
        <f t="shared" si="6"/>
        <v>54036.470700272359</v>
      </c>
      <c r="J17" s="114">
        <f t="shared" si="6"/>
        <v>67097.077484246372</v>
      </c>
      <c r="K17" s="114">
        <f t="shared" si="6"/>
        <v>81654.248907108791</v>
      </c>
      <c r="L17" s="114">
        <f t="shared" si="6"/>
        <v>92431.365376715767</v>
      </c>
      <c r="M17" s="114">
        <f>M5+M6+M7+M8+M9+M11+M13+M15+M12+M14</f>
        <v>100196.69107053935</v>
      </c>
      <c r="N17" s="114">
        <f t="shared" si="6"/>
        <v>108094.75121722106</v>
      </c>
      <c r="O17" s="114">
        <f t="shared" si="6"/>
        <v>116273.22290192553</v>
      </c>
      <c r="P17" s="114">
        <f t="shared" si="6"/>
        <v>123924.75556666151</v>
      </c>
      <c r="Q17" s="114">
        <f t="shared" si="6"/>
        <v>131376.87353533239</v>
      </c>
    </row>
    <row r="18" spans="2:19" s="8" customFormat="1" ht="11.4" x14ac:dyDescent="0.25"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2:19" s="8" customFormat="1" ht="11.4" x14ac:dyDescent="0.2">
      <c r="B19" s="8" t="s">
        <v>20</v>
      </c>
      <c r="C19" s="144">
        <f>'Balance Sheet Input'!C19/1000</f>
        <v>916.14800000000002</v>
      </c>
      <c r="D19" s="144">
        <f>'Balance Sheet Input'!D19/1000</f>
        <v>1860.3409999999999</v>
      </c>
      <c r="E19" s="144">
        <f>'Balance Sheet Input'!E19/1000</f>
        <v>2390.25</v>
      </c>
      <c r="F19" s="144">
        <f>'Balance Sheet Input'!F19/1000</f>
        <v>3404.451</v>
      </c>
      <c r="G19" s="144">
        <f>'Balance Sheet Input'!G19/1000</f>
        <v>3771</v>
      </c>
      <c r="H19" s="145">
        <f>'Working capital'!H7</f>
        <v>7666.9759607555252</v>
      </c>
      <c r="I19" s="145">
        <f>'Working capital'!I7</f>
        <v>10265.29458067923</v>
      </c>
      <c r="J19" s="145">
        <f>'Working capital'!J7</f>
        <v>14002.980697649818</v>
      </c>
      <c r="K19" s="145">
        <f>'Working capital'!K7</f>
        <v>18062.863026517334</v>
      </c>
      <c r="L19" s="145">
        <f>'Working capital'!L7</f>
        <v>20617.417755641349</v>
      </c>
      <c r="M19" s="145">
        <f>'Working capital'!M7</f>
        <v>22086.044502987945</v>
      </c>
      <c r="N19" s="145">
        <f>'Working capital'!N7</f>
        <v>23524.60988981773</v>
      </c>
      <c r="O19" s="145">
        <f>'Working capital'!O7</f>
        <v>24988.636203652441</v>
      </c>
      <c r="P19" s="145">
        <f>'Working capital'!P7</f>
        <v>26197.847847147383</v>
      </c>
      <c r="Q19" s="145">
        <f>'Working capital'!Q7</f>
        <v>27284.337588735783</v>
      </c>
      <c r="S19" s="8" t="s">
        <v>117</v>
      </c>
    </row>
    <row r="20" spans="2:19" s="8" customFormat="1" ht="11.4" x14ac:dyDescent="0.2">
      <c r="B20" s="8" t="s">
        <v>38</v>
      </c>
      <c r="C20" s="144">
        <f>'Balance Sheet Input'!C20/1000</f>
        <v>422.798</v>
      </c>
      <c r="D20" s="144">
        <f>'Balance Sheet Input'!D20/1000</f>
        <v>1210.028</v>
      </c>
      <c r="E20" s="144">
        <f>'Balance Sheet Input'!E20/1000</f>
        <v>1731.366</v>
      </c>
      <c r="F20" s="144">
        <f>'Balance Sheet Input'!F20/1000</f>
        <v>2094.2530000000002</v>
      </c>
      <c r="G20" s="144">
        <f>'Balance Sheet Input'!G20/1000</f>
        <v>2905</v>
      </c>
      <c r="H20" s="145">
        <f>H21*('P&amp;L'!H$5)</f>
        <v>4062.2838294314511</v>
      </c>
      <c r="I20" s="145">
        <f>I21*('P&amp;L'!I$5)</f>
        <v>5387.2154044327508</v>
      </c>
      <c r="J20" s="145">
        <f>J21*('P&amp;L'!J$5)</f>
        <v>7316.6287116837484</v>
      </c>
      <c r="K20" s="145">
        <f>K21*('P&amp;L'!K$5)</f>
        <v>9408.7331058826421</v>
      </c>
      <c r="L20" s="145">
        <f>L21*('P&amp;L'!L$5)</f>
        <v>10746.752239419222</v>
      </c>
      <c r="M20" s="145">
        <f>M21*('P&amp;L'!M$5)</f>
        <v>11503.928110826206</v>
      </c>
      <c r="N20" s="145">
        <f>N21*('P&amp;L'!N$5)</f>
        <v>12246.946292201977</v>
      </c>
      <c r="O20" s="145">
        <f>O21*('P&amp;L'!O$5)</f>
        <v>13001.905116357275</v>
      </c>
      <c r="P20" s="145">
        <f>P21*('P&amp;L'!P$5)</f>
        <v>13629.155230394799</v>
      </c>
      <c r="Q20" s="145">
        <f>Q21*('P&amp;L'!Q$5)</f>
        <v>14190.735174907715</v>
      </c>
      <c r="S20" s="8" t="s">
        <v>119</v>
      </c>
    </row>
    <row r="21" spans="2:19" s="8" customFormat="1" ht="11.4" x14ac:dyDescent="0.25">
      <c r="B21" s="175" t="s">
        <v>113</v>
      </c>
      <c r="C21" s="176">
        <f>C20/('P&amp;L'!C$5)</f>
        <v>0.1044971298990985</v>
      </c>
      <c r="D21" s="176">
        <f>D20/('P&amp;L'!D$5)</f>
        <v>0.17285788325134441</v>
      </c>
      <c r="E21" s="176">
        <f>E20/('P&amp;L'!E$5)</f>
        <v>0.14724063805756241</v>
      </c>
      <c r="F21" s="176">
        <f>F20/('P&amp;L'!F$5)</f>
        <v>9.758291075811551E-2</v>
      </c>
      <c r="G21" s="176">
        <f>G20/('P&amp;L'!G$5)</f>
        <v>0.11819513385954919</v>
      </c>
      <c r="H21" s="177">
        <f>AVERAGE($F$21:$G$21)</f>
        <v>0.10788902230883235</v>
      </c>
      <c r="I21" s="177">
        <f t="shared" ref="I21:Q21" si="7">AVERAGE($F$21:$G$21)</f>
        <v>0.10788902230883235</v>
      </c>
      <c r="J21" s="177">
        <f t="shared" si="7"/>
        <v>0.10788902230883235</v>
      </c>
      <c r="K21" s="177">
        <f t="shared" si="7"/>
        <v>0.10788902230883235</v>
      </c>
      <c r="L21" s="177">
        <f t="shared" si="7"/>
        <v>0.10788902230883235</v>
      </c>
      <c r="M21" s="177">
        <f t="shared" si="7"/>
        <v>0.10788902230883235</v>
      </c>
      <c r="N21" s="177">
        <f t="shared" si="7"/>
        <v>0.10788902230883235</v>
      </c>
      <c r="O21" s="177">
        <f t="shared" si="7"/>
        <v>0.10788902230883235</v>
      </c>
      <c r="P21" s="177">
        <f t="shared" si="7"/>
        <v>0.10788902230883235</v>
      </c>
      <c r="Q21" s="177">
        <f t="shared" si="7"/>
        <v>0.10788902230883235</v>
      </c>
    </row>
    <row r="22" spans="2:19" s="8" customFormat="1" ht="11.4" x14ac:dyDescent="0.2">
      <c r="B22" s="8" t="s">
        <v>21</v>
      </c>
      <c r="C22" s="144">
        <f>'Balance Sheet Input'!C21/1000</f>
        <v>423.96100000000001</v>
      </c>
      <c r="D22" s="144">
        <f>'Balance Sheet Input'!D21/1000</f>
        <v>763.12599999999998</v>
      </c>
      <c r="E22" s="144">
        <f>'Balance Sheet Input'!E21/1000</f>
        <v>1015.253</v>
      </c>
      <c r="F22" s="144">
        <f>'Balance Sheet Input'!F21/1000</f>
        <v>630.29200000000003</v>
      </c>
      <c r="G22" s="144">
        <f>'Balance Sheet Input'!G21/1000</f>
        <v>1163</v>
      </c>
      <c r="H22" s="145">
        <f>H23*('P&amp;L'!H$5)</f>
        <v>1443.7363852591436</v>
      </c>
      <c r="I22" s="145">
        <f>I23*('P&amp;L'!I$5)</f>
        <v>1914.6172993275729</v>
      </c>
      <c r="J22" s="145">
        <f>J23*('P&amp;L'!J$5)</f>
        <v>2600.3311270271274</v>
      </c>
      <c r="K22" s="145">
        <f>K23*('P&amp;L'!K$5)</f>
        <v>3343.8653955541536</v>
      </c>
      <c r="L22" s="145">
        <f>L23*('P&amp;L'!L$5)</f>
        <v>3819.3976302207884</v>
      </c>
      <c r="M22" s="145">
        <f>M23*('P&amp;L'!M$5)</f>
        <v>4088.4980676817418</v>
      </c>
      <c r="N22" s="145">
        <f>N23*('P&amp;L'!N$5)</f>
        <v>4352.566859623199</v>
      </c>
      <c r="O22" s="145">
        <f>O23*('P&amp;L'!O$5)</f>
        <v>4620.8793581021673</v>
      </c>
      <c r="P22" s="145">
        <f>P23*('P&amp;L'!P$5)</f>
        <v>4843.8041586128847</v>
      </c>
      <c r="Q22" s="145">
        <f>Q23*('P&amp;L'!Q$5)</f>
        <v>5043.3897693599756</v>
      </c>
      <c r="S22" s="8" t="s">
        <v>119</v>
      </c>
    </row>
    <row r="23" spans="2:19" s="8" customFormat="1" ht="11.4" x14ac:dyDescent="0.25">
      <c r="B23" s="175" t="s">
        <v>113</v>
      </c>
      <c r="C23" s="176">
        <f>C22/('P&amp;L'!C$5)</f>
        <v>0.10478457251252773</v>
      </c>
      <c r="D23" s="176">
        <f>D22/('P&amp;L'!D$5)</f>
        <v>0.10901594427076518</v>
      </c>
      <c r="E23" s="176">
        <f>E22/('P&amp;L'!E$5)</f>
        <v>8.6340207391074106E-2</v>
      </c>
      <c r="F23" s="176">
        <f>F22/('P&amp;L'!F$5)</f>
        <v>2.9368814554666577E-2</v>
      </c>
      <c r="G23" s="176">
        <f>G22/('P&amp;L'!G$5)</f>
        <v>4.7318740336886649E-2</v>
      </c>
      <c r="H23" s="177">
        <f>AVERAGE($F$23:$G$23)</f>
        <v>3.8343777445776613E-2</v>
      </c>
      <c r="I23" s="177">
        <f t="shared" ref="I23:Q23" si="8">AVERAGE($F$23:$G$23)</f>
        <v>3.8343777445776613E-2</v>
      </c>
      <c r="J23" s="177">
        <f t="shared" si="8"/>
        <v>3.8343777445776613E-2</v>
      </c>
      <c r="K23" s="177">
        <f t="shared" si="8"/>
        <v>3.8343777445776613E-2</v>
      </c>
      <c r="L23" s="177">
        <f t="shared" si="8"/>
        <v>3.8343777445776613E-2</v>
      </c>
      <c r="M23" s="177">
        <f t="shared" si="8"/>
        <v>3.8343777445776613E-2</v>
      </c>
      <c r="N23" s="177">
        <f t="shared" si="8"/>
        <v>3.8343777445776613E-2</v>
      </c>
      <c r="O23" s="177">
        <f t="shared" si="8"/>
        <v>3.8343777445776613E-2</v>
      </c>
      <c r="P23" s="177">
        <f t="shared" si="8"/>
        <v>3.8343777445776613E-2</v>
      </c>
      <c r="Q23" s="177">
        <f t="shared" si="8"/>
        <v>3.8343777445776613E-2</v>
      </c>
    </row>
    <row r="24" spans="2:19" s="8" customFormat="1" ht="11.4" x14ac:dyDescent="0.2">
      <c r="B24" s="8" t="s">
        <v>22</v>
      </c>
      <c r="C24" s="144">
        <f>'Balance Sheet Input'!C22/1000</f>
        <v>136.83099999999999</v>
      </c>
      <c r="D24" s="144">
        <f>'Balance Sheet Input'!D22/1000</f>
        <v>179.50399999999999</v>
      </c>
      <c r="E24" s="144">
        <f>'Balance Sheet Input'!E22/1000</f>
        <v>787.33299999999997</v>
      </c>
      <c r="F24" s="144">
        <f>'Balance Sheet Input'!F22/1000</f>
        <v>502.84</v>
      </c>
      <c r="G24" s="144">
        <f>'Balance Sheet Input'!G22/1000</f>
        <v>317</v>
      </c>
      <c r="H24" s="145">
        <f>H25*('P&amp;L'!H$5)</f>
        <v>683.91552271994874</v>
      </c>
      <c r="I24" s="145">
        <f>I25*('P&amp;L'!I$5)</f>
        <v>906.97755105980525</v>
      </c>
      <c r="J24" s="145">
        <f>J25*('P&amp;L'!J$5)</f>
        <v>1231.8085490839076</v>
      </c>
      <c r="K24" s="145">
        <f>K25*('P&amp;L'!K$5)</f>
        <v>1584.0297946740989</v>
      </c>
      <c r="L24" s="145">
        <f>L25*('P&amp;L'!L$5)</f>
        <v>1809.295210274081</v>
      </c>
      <c r="M24" s="145">
        <f>M25*('P&amp;L'!M$5)</f>
        <v>1936.7713674378006</v>
      </c>
      <c r="N24" s="145">
        <f>N25*('P&amp;L'!N$5)</f>
        <v>2061.8639727905775</v>
      </c>
      <c r="O24" s="145">
        <f>O25*('P&amp;L'!O$5)</f>
        <v>2188.9668736547137</v>
      </c>
      <c r="P24" s="145">
        <f>P25*('P&amp;L'!P$5)</f>
        <v>2294.5690687820197</v>
      </c>
      <c r="Q24" s="145">
        <f>Q25*('P&amp;L'!Q$5)</f>
        <v>2389.1152052479065</v>
      </c>
      <c r="S24" s="8" t="s">
        <v>119</v>
      </c>
    </row>
    <row r="25" spans="2:19" s="8" customFormat="1" ht="11.4" x14ac:dyDescent="0.25">
      <c r="B25" s="175" t="s">
        <v>113</v>
      </c>
      <c r="C25" s="176">
        <f>C24/('P&amp;L'!C$5)</f>
        <v>3.3818624452394634E-2</v>
      </c>
      <c r="D25" s="176">
        <f>D24/('P&amp;L'!D$5)</f>
        <v>2.5642945018751074E-2</v>
      </c>
      <c r="E25" s="176">
        <f>E24/('P&amp;L'!E$5)</f>
        <v>6.6957196389310386E-2</v>
      </c>
      <c r="F25" s="176">
        <f>F24/('P&amp;L'!F$5)</f>
        <v>2.3430116058380145E-2</v>
      </c>
      <c r="G25" s="176">
        <f>G24/('P&amp;L'!G$5)</f>
        <v>1.2897713402229637E-2</v>
      </c>
      <c r="H25" s="177">
        <f>AVERAGE($F$25:$G$25)</f>
        <v>1.8163914730304889E-2</v>
      </c>
      <c r="I25" s="177">
        <f t="shared" ref="I25:Q25" si="9">AVERAGE($F$25:$G$25)</f>
        <v>1.8163914730304889E-2</v>
      </c>
      <c r="J25" s="177">
        <f t="shared" si="9"/>
        <v>1.8163914730304889E-2</v>
      </c>
      <c r="K25" s="177">
        <f t="shared" si="9"/>
        <v>1.8163914730304889E-2</v>
      </c>
      <c r="L25" s="177">
        <f t="shared" si="9"/>
        <v>1.8163914730304889E-2</v>
      </c>
      <c r="M25" s="177">
        <f t="shared" si="9"/>
        <v>1.8163914730304889E-2</v>
      </c>
      <c r="N25" s="177">
        <f t="shared" si="9"/>
        <v>1.8163914730304889E-2</v>
      </c>
      <c r="O25" s="177">
        <f t="shared" si="9"/>
        <v>1.8163914730304889E-2</v>
      </c>
      <c r="P25" s="177">
        <f t="shared" si="9"/>
        <v>1.8163914730304889E-2</v>
      </c>
      <c r="Q25" s="177">
        <f t="shared" si="9"/>
        <v>1.8163914730304889E-2</v>
      </c>
    </row>
    <row r="26" spans="2:19" s="8" customFormat="1" ht="11.4" x14ac:dyDescent="0.2">
      <c r="B26" s="8" t="s">
        <v>23</v>
      </c>
      <c r="C26" s="144">
        <f>'Balance Sheet Input'!C23/1000</f>
        <v>283.37</v>
      </c>
      <c r="D26" s="144">
        <f>'Balance Sheet Input'!D23/1000</f>
        <v>663.85900000000004</v>
      </c>
      <c r="E26" s="144">
        <f>'Balance Sheet Input'!E23/1000</f>
        <v>853.91899999999998</v>
      </c>
      <c r="F26" s="144">
        <f>'Balance Sheet Input'!F23/1000</f>
        <v>792.601</v>
      </c>
      <c r="G26" s="144">
        <f>'Balance Sheet Input'!G23/1000</f>
        <v>726</v>
      </c>
      <c r="H26" s="145">
        <f>H27*('P&amp;L'!H$5)</f>
        <v>1251.3842732230046</v>
      </c>
      <c r="I26" s="145">
        <f>I27*('P&amp;L'!I$5)</f>
        <v>1659.5287076519655</v>
      </c>
      <c r="J26" s="145">
        <f>J27*('P&amp;L'!J$5)</f>
        <v>2253.8834033402291</v>
      </c>
      <c r="K26" s="145">
        <f>K27*('P&amp;L'!K$5)</f>
        <v>2898.3549978343167</v>
      </c>
      <c r="L26" s="145">
        <f>L27*('P&amp;L'!L$5)</f>
        <v>3310.5310473875775</v>
      </c>
      <c r="M26" s="145">
        <f>M27*('P&amp;L'!M$5)</f>
        <v>3543.7786532485488</v>
      </c>
      <c r="N26" s="145">
        <f>N27*('P&amp;L'!N$5)</f>
        <v>3772.6649905733661</v>
      </c>
      <c r="O26" s="145">
        <f>O27*('P&amp;L'!O$5)</f>
        <v>4005.2296362621178</v>
      </c>
      <c r="P26" s="145">
        <f>P27*('P&amp;L'!P$5)</f>
        <v>4198.4536848618318</v>
      </c>
      <c r="Q26" s="145">
        <f>Q27*('P&amp;L'!Q$5)</f>
        <v>4371.4480742812602</v>
      </c>
      <c r="S26" s="8" t="s">
        <v>119</v>
      </c>
    </row>
    <row r="27" spans="2:19" s="8" customFormat="1" ht="11.4" x14ac:dyDescent="0.25">
      <c r="B27" s="175" t="s">
        <v>113</v>
      </c>
      <c r="C27" s="176">
        <f>C26/('P&amp;L'!C$5)</f>
        <v>7.0036640900637048E-2</v>
      </c>
      <c r="D27" s="176">
        <f>D26/('P&amp;L'!D$5)</f>
        <v>9.4835211678865494E-2</v>
      </c>
      <c r="E27" s="176">
        <f>E26/('P&amp;L'!E$5)</f>
        <v>7.2619872637833732E-2</v>
      </c>
      <c r="F27" s="176">
        <f>F26/('P&amp;L'!F$5)</f>
        <v>3.6931694809458605E-2</v>
      </c>
      <c r="G27" s="176">
        <f>G26/('P&amp;L'!G$5)</f>
        <v>2.9538611766620555E-2</v>
      </c>
      <c r="H27" s="177">
        <f>AVERAGE($F$27:$G$27)</f>
        <v>3.3235153288039582E-2</v>
      </c>
      <c r="I27" s="177">
        <f t="shared" ref="I27:Q27" si="10">AVERAGE($F$27:$G$27)</f>
        <v>3.3235153288039582E-2</v>
      </c>
      <c r="J27" s="177">
        <f t="shared" si="10"/>
        <v>3.3235153288039582E-2</v>
      </c>
      <c r="K27" s="177">
        <f t="shared" si="10"/>
        <v>3.3235153288039582E-2</v>
      </c>
      <c r="L27" s="177">
        <f t="shared" si="10"/>
        <v>3.3235153288039582E-2</v>
      </c>
      <c r="M27" s="177">
        <f t="shared" si="10"/>
        <v>3.3235153288039582E-2</v>
      </c>
      <c r="N27" s="177">
        <f t="shared" si="10"/>
        <v>3.3235153288039582E-2</v>
      </c>
      <c r="O27" s="177">
        <f t="shared" si="10"/>
        <v>3.3235153288039582E-2</v>
      </c>
      <c r="P27" s="177">
        <f t="shared" si="10"/>
        <v>3.3235153288039582E-2</v>
      </c>
      <c r="Q27" s="177">
        <f t="shared" si="10"/>
        <v>3.3235153288039582E-2</v>
      </c>
    </row>
    <row r="28" spans="2:19" s="8" customFormat="1" ht="11.4" x14ac:dyDescent="0.2">
      <c r="B28" s="8" t="s">
        <v>108</v>
      </c>
      <c r="C28" s="144">
        <f>('Balance Sheet Input'!C24+'Balance Sheet Input'!C29)/1000</f>
        <v>2649.02</v>
      </c>
      <c r="D28" s="144">
        <f>('Balance Sheet Input'!D24+'Balance Sheet Input'!D29)/1000</f>
        <v>6844.26</v>
      </c>
      <c r="E28" s="144">
        <f>('Balance Sheet Input'!E24+'Balance Sheet Input'!E29)/1000</f>
        <v>10212.249</v>
      </c>
      <c r="F28" s="144">
        <f>('Balance Sheet Input'!F24+'Balance Sheet Input'!F29)/1000</f>
        <v>11971.370999999999</v>
      </c>
      <c r="G28" s="144">
        <f>('Balance Sheet Input'!G24+'Balance Sheet Input'!G29)/1000</f>
        <v>13419</v>
      </c>
      <c r="H28" s="145">
        <f>G28+Financing!H19</f>
        <v>13419</v>
      </c>
      <c r="I28" s="145">
        <f>H28+Financing!I19</f>
        <v>13419</v>
      </c>
      <c r="J28" s="145">
        <f>I28+Financing!J19</f>
        <v>13419</v>
      </c>
      <c r="K28" s="145">
        <f>J28+Financing!K19</f>
        <v>13419</v>
      </c>
      <c r="L28" s="145">
        <f>K28+Financing!L19</f>
        <v>13419</v>
      </c>
      <c r="M28" s="145">
        <f>L28+Financing!M19</f>
        <v>13419</v>
      </c>
      <c r="N28" s="145">
        <f>M28+Financing!N19</f>
        <v>13419</v>
      </c>
      <c r="O28" s="145">
        <f>N28+Financing!O19</f>
        <v>13419</v>
      </c>
      <c r="P28" s="145">
        <f>O28+Financing!P19</f>
        <v>13419</v>
      </c>
      <c r="Q28" s="145">
        <f>P28+Financing!Q19</f>
        <v>13419</v>
      </c>
      <c r="S28" s="8" t="s">
        <v>120</v>
      </c>
    </row>
    <row r="29" spans="2:19" s="8" customFormat="1" ht="11.4" x14ac:dyDescent="0.25">
      <c r="B29" s="8" t="s">
        <v>65</v>
      </c>
      <c r="C29" s="63">
        <f>('Balance Sheet Input'!C30+'Balance Sheet Input'!C26)/1000</f>
        <v>2152.107</v>
      </c>
      <c r="D29" s="63">
        <f>('Balance Sheet Input'!D30+'Balance Sheet Input'!D26)/1000</f>
        <v>5604.8720000000003</v>
      </c>
      <c r="E29" s="63">
        <f>('Balance Sheet Input'!E30+'Balance Sheet Input'!E26)/1000</f>
        <v>6430.4139999999998</v>
      </c>
      <c r="F29" s="63">
        <f>('Balance Sheet Input'!F30+'Balance Sheet Input'!F26)/1000</f>
        <v>4586.1660000000002</v>
      </c>
      <c r="G29" s="63">
        <f>('Balance Sheet Input'!G30+'Balance Sheet Input'!G26)/1000</f>
        <v>4541</v>
      </c>
      <c r="H29" s="145">
        <f>H30*('P&amp;L'!H$5)</f>
        <v>7501.3757747508853</v>
      </c>
      <c r="I29" s="145">
        <f>I30*('P&amp;L'!I$5)</f>
        <v>9947.9821757881818</v>
      </c>
      <c r="J29" s="145">
        <f>J30*('P&amp;L'!J$5)</f>
        <v>13510.818956821344</v>
      </c>
      <c r="K29" s="145">
        <f>K30*('P&amp;L'!K$5)</f>
        <v>17374.079595379411</v>
      </c>
      <c r="L29" s="145">
        <f>L30*('P&amp;L'!L$5)</f>
        <v>19844.853361049358</v>
      </c>
      <c r="M29" s="145">
        <f>M30*('P&amp;L'!M$5)</f>
        <v>21243.047327174365</v>
      </c>
      <c r="N29" s="145">
        <f>N30*('P&amp;L'!N$5)</f>
        <v>22615.097833736763</v>
      </c>
      <c r="O29" s="145">
        <f>O30*('P&amp;L'!O$5)</f>
        <v>24009.197820897331</v>
      </c>
      <c r="P29" s="145">
        <f>P30*('P&amp;L'!P$5)</f>
        <v>25167.472084271329</v>
      </c>
      <c r="Q29" s="145">
        <f>Q30*('P&amp;L'!Q$5)</f>
        <v>26204.480419541866</v>
      </c>
      <c r="S29" s="8" t="s">
        <v>119</v>
      </c>
    </row>
    <row r="30" spans="2:19" s="8" customFormat="1" ht="11.4" x14ac:dyDescent="0.25">
      <c r="B30" s="175" t="s">
        <v>113</v>
      </c>
      <c r="C30" s="176">
        <f>C29/('P&amp;L'!C$5)</f>
        <v>0.53190650082488367</v>
      </c>
      <c r="D30" s="176">
        <f>D29/('P&amp;L'!D$5)</f>
        <v>0.80068090144585857</v>
      </c>
      <c r="E30" s="176">
        <f>E29/('P&amp;L'!E$5)</f>
        <v>0.54686199240038336</v>
      </c>
      <c r="F30" s="176">
        <f>F29/('P&amp;L'!F$5)</f>
        <v>0.21369501559740087</v>
      </c>
      <c r="G30" s="176">
        <f>G29/('P&amp;L'!G$5)</f>
        <v>0.18475872731711288</v>
      </c>
      <c r="H30" s="177">
        <f>AVERAGE($F$30:$G$30)</f>
        <v>0.19922687145725687</v>
      </c>
      <c r="I30" s="177">
        <f t="shared" ref="I30:Q30" si="11">AVERAGE($F$30:$G$30)</f>
        <v>0.19922687145725687</v>
      </c>
      <c r="J30" s="177">
        <f t="shared" si="11"/>
        <v>0.19922687145725687</v>
      </c>
      <c r="K30" s="177">
        <f t="shared" si="11"/>
        <v>0.19922687145725687</v>
      </c>
      <c r="L30" s="177">
        <f t="shared" si="11"/>
        <v>0.19922687145725687</v>
      </c>
      <c r="M30" s="177">
        <f t="shared" si="11"/>
        <v>0.19922687145725687</v>
      </c>
      <c r="N30" s="177">
        <f t="shared" si="11"/>
        <v>0.19922687145725687</v>
      </c>
      <c r="O30" s="177">
        <f t="shared" si="11"/>
        <v>0.19922687145725687</v>
      </c>
      <c r="P30" s="177">
        <f t="shared" si="11"/>
        <v>0.19922687145725687</v>
      </c>
      <c r="Q30" s="177">
        <f t="shared" si="11"/>
        <v>0.19922687145725687</v>
      </c>
    </row>
    <row r="31" spans="2:19" s="8" customFormat="1" ht="12" x14ac:dyDescent="0.25">
      <c r="B31" s="12" t="s">
        <v>29</v>
      </c>
      <c r="C31" s="182">
        <f>C19+C20+C22+C24+C26+C28+C29</f>
        <v>6984.2349999999997</v>
      </c>
      <c r="D31" s="182">
        <f>D19+D20+D22+D24+D26+D28+D29</f>
        <v>17125.990000000002</v>
      </c>
      <c r="E31" s="182">
        <f>E19+E20+E22+E24+E26+E28+E29</f>
        <v>23420.784</v>
      </c>
      <c r="F31" s="182">
        <f>F19+F20+F22+F24+F26+F28+F29</f>
        <v>23981.973999999998</v>
      </c>
      <c r="G31" s="182">
        <f>G19+G20+G22+G24+G26+G28+G29</f>
        <v>26842</v>
      </c>
      <c r="H31" s="183">
        <f t="shared" ref="H31:L31" si="12">H19+H20+H22+H24+H26+H28+H29</f>
        <v>36028.67174613996</v>
      </c>
      <c r="I31" s="183">
        <f t="shared" si="12"/>
        <v>43500.615718939509</v>
      </c>
      <c r="J31" s="183">
        <f t="shared" si="12"/>
        <v>54335.451445606173</v>
      </c>
      <c r="K31" s="183">
        <f t="shared" si="12"/>
        <v>66090.925915841959</v>
      </c>
      <c r="L31" s="183">
        <f t="shared" si="12"/>
        <v>73567.247243992373</v>
      </c>
      <c r="M31" s="183">
        <f>M19+M20+M22+M24+M26+M28+M29</f>
        <v>77821.068029356611</v>
      </c>
      <c r="N31" s="183">
        <f>N19+N20+N22+N24+N26+N28+N29</f>
        <v>81992.749838743606</v>
      </c>
      <c r="O31" s="183">
        <f>O19+O20+O22+O24+O26+O28+O29</f>
        <v>86233.81500892606</v>
      </c>
      <c r="P31" s="183">
        <f>P19+P20+P22+P24+P26+P28+P29</f>
        <v>89750.302074070234</v>
      </c>
      <c r="Q31" s="183">
        <f>Q19+Q20+Q22+Q24+Q26+Q28+Q29</f>
        <v>92902.506232074506</v>
      </c>
    </row>
    <row r="32" spans="2:19" s="8" customFormat="1" ht="12" x14ac:dyDescent="0.25">
      <c r="B32" s="12" t="s">
        <v>111</v>
      </c>
      <c r="C32" s="182">
        <f>('Balance Sheet Input'!C33+'Balance Sheet Input'!C32)/1000</f>
        <v>1083.704</v>
      </c>
      <c r="D32" s="182">
        <f>('Balance Sheet Input'!D33+'Balance Sheet Input'!D32)/1000</f>
        <v>5538.0860000000002</v>
      </c>
      <c r="E32" s="182">
        <f>('Balance Sheet Input'!E33+'Balance Sheet Input'!E32)/1000</f>
        <v>5234.5879999999997</v>
      </c>
      <c r="F32" s="182">
        <f>('Balance Sheet Input'!F33+'Balance Sheet Input'!F32)/1000</f>
        <v>5757.64</v>
      </c>
      <c r="G32" s="182">
        <f>('Balance Sheet Input'!G33+'Balance Sheet Input'!G32)/1000</f>
        <v>7467</v>
      </c>
      <c r="H32" s="183">
        <f>G32+'P&amp;L'!H14+Financing!H20</f>
        <v>8861.4192912866729</v>
      </c>
      <c r="I32" s="183">
        <f>H32+'P&amp;L'!I14+Financing!I20</f>
        <v>10535.854981332848</v>
      </c>
      <c r="J32" s="183">
        <f>I32+'P&amp;L'!J14+Financing!J20</f>
        <v>12761.626038640188</v>
      </c>
      <c r="K32" s="183">
        <f>J32+'P&amp;L'!K14+Financing!K20</f>
        <v>15563.322991266839</v>
      </c>
      <c r="L32" s="183">
        <f>K32+'P&amp;L'!L14+Financing!L20</f>
        <v>18864.11813272339</v>
      </c>
      <c r="M32" s="183">
        <f>L32+'P&amp;L'!M14+Financing!M20</f>
        <v>22375.623041182738</v>
      </c>
      <c r="N32" s="183">
        <f>M32+'P&amp;L'!N14+Financing!N20</f>
        <v>26102.001378477442</v>
      </c>
      <c r="O32" s="183">
        <f>N32+'P&amp;L'!O14+Financing!O20</f>
        <v>30039.407892999479</v>
      </c>
      <c r="P32" s="183">
        <f>O32+'P&amp;L'!P14+Financing!P20</f>
        <v>34174.453492591259</v>
      </c>
      <c r="Q32" s="183">
        <f>P32+'P&amp;L'!Q14+Financing!Q20</f>
        <v>38474.367303257881</v>
      </c>
    </row>
    <row r="33" spans="2:17" s="8" customFormat="1" ht="11.4" x14ac:dyDescent="0.25"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</row>
    <row r="34" spans="2:17" s="8" customFormat="1" ht="12.6" thickBot="1" x14ac:dyDescent="0.3">
      <c r="B34" s="108" t="s">
        <v>110</v>
      </c>
      <c r="C34" s="114">
        <f>C31+C32</f>
        <v>8067.9389999999994</v>
      </c>
      <c r="D34" s="114">
        <f>D31+D32</f>
        <v>22664.076000000001</v>
      </c>
      <c r="E34" s="114">
        <f>E31+E32</f>
        <v>28655.371999999999</v>
      </c>
      <c r="F34" s="114">
        <f>F31+F32</f>
        <v>29739.613999999998</v>
      </c>
      <c r="G34" s="114">
        <f>G31+G32</f>
        <v>34309</v>
      </c>
      <c r="H34" s="114">
        <f t="shared" ref="H34:L34" si="13">H31+H32</f>
        <v>44890.091037426631</v>
      </c>
      <c r="I34" s="114">
        <f t="shared" si="13"/>
        <v>54036.470700272359</v>
      </c>
      <c r="J34" s="114">
        <f t="shared" si="13"/>
        <v>67097.077484246358</v>
      </c>
      <c r="K34" s="114">
        <f t="shared" si="13"/>
        <v>81654.248907108791</v>
      </c>
      <c r="L34" s="114">
        <f t="shared" si="13"/>
        <v>92431.365376715767</v>
      </c>
      <c r="M34" s="114">
        <f>M31+M32</f>
        <v>100196.69107053935</v>
      </c>
      <c r="N34" s="114">
        <f>N31+N32</f>
        <v>108094.75121722106</v>
      </c>
      <c r="O34" s="114">
        <f>O31+O32</f>
        <v>116273.22290192553</v>
      </c>
      <c r="P34" s="114">
        <f>P31+P32</f>
        <v>123924.75556666149</v>
      </c>
      <c r="Q34" s="114">
        <f>Q31+Q32</f>
        <v>131376.87353533239</v>
      </c>
    </row>
    <row r="35" spans="2:17" s="8" customFormat="1" ht="11.4" x14ac:dyDescent="0.25"/>
    <row r="36" spans="2:17" s="8" customFormat="1" ht="11.4" x14ac:dyDescent="0.25">
      <c r="B36" s="8" t="s">
        <v>112</v>
      </c>
      <c r="C36" s="158">
        <f>C17-C34</f>
        <v>0</v>
      </c>
      <c r="D36" s="158">
        <f>D17-D34</f>
        <v>0</v>
      </c>
      <c r="E36" s="158">
        <f>E17-E34</f>
        <v>0</v>
      </c>
      <c r="F36" s="158">
        <f>F17-F34</f>
        <v>0</v>
      </c>
      <c r="G36" s="158">
        <f>G17-G34</f>
        <v>0</v>
      </c>
      <c r="H36" s="158">
        <f t="shared" ref="H36:Q36" si="14">H17-H34</f>
        <v>0</v>
      </c>
      <c r="I36" s="158">
        <f t="shared" si="14"/>
        <v>0</v>
      </c>
      <c r="J36" s="158">
        <f t="shared" si="14"/>
        <v>0</v>
      </c>
      <c r="K36" s="158">
        <f t="shared" si="14"/>
        <v>0</v>
      </c>
      <c r="L36" s="158">
        <f>L17-L34</f>
        <v>0</v>
      </c>
      <c r="M36" s="158">
        <f>M17-M34</f>
        <v>0</v>
      </c>
      <c r="N36" s="158">
        <f t="shared" si="14"/>
        <v>0</v>
      </c>
      <c r="O36" s="158">
        <f t="shared" si="14"/>
        <v>0</v>
      </c>
      <c r="P36" s="158">
        <f t="shared" si="14"/>
        <v>0</v>
      </c>
      <c r="Q36" s="158">
        <f t="shared" si="14"/>
        <v>0</v>
      </c>
    </row>
    <row r="37" spans="2:17" s="8" customFormat="1" ht="11.4" x14ac:dyDescent="0.25">
      <c r="H37" s="158"/>
      <c r="I37" s="158"/>
      <c r="J37" s="158"/>
    </row>
    <row r="38" spans="2:17" s="8" customFormat="1" ht="11.4" x14ac:dyDescent="0.25"/>
    <row r="39" spans="2:17" s="8" customFormat="1" ht="11.4" x14ac:dyDescent="0.25"/>
    <row r="40" spans="2:17" s="8" customFormat="1" ht="11.4" x14ac:dyDescent="0.25"/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38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12" width="9.6640625" style="19" customWidth="1"/>
    <col min="13" max="16384" width="9.109375" style="19"/>
  </cols>
  <sheetData>
    <row r="1" spans="2:17" ht="15.6" x14ac:dyDescent="0.3">
      <c r="B1" s="18" t="s">
        <v>122</v>
      </c>
      <c r="C1" s="18"/>
    </row>
    <row r="2" spans="2:17" ht="15.6" x14ac:dyDescent="0.3">
      <c r="B2" s="18"/>
      <c r="C2" s="18"/>
    </row>
    <row r="3" spans="2:17" x14ac:dyDescent="0.25">
      <c r="C3" s="236" t="s">
        <v>241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2:17" s="23" customFormat="1" ht="24" x14ac:dyDescent="0.25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2:17" s="23" customFormat="1" ht="11.4" x14ac:dyDescent="0.2">
      <c r="B5" s="40" t="s">
        <v>43</v>
      </c>
      <c r="C5" s="137"/>
      <c r="D5" s="162">
        <f>'P&amp;L'!D9</f>
        <v>-667.3400000000006</v>
      </c>
      <c r="E5" s="162">
        <f>'P&amp;L'!E9</f>
        <v>-1632.0859999999989</v>
      </c>
      <c r="F5" s="162">
        <f>'P&amp;L'!F9</f>
        <v>-388.07299999999941</v>
      </c>
      <c r="G5" s="162">
        <f>'P&amp;L'!G9</f>
        <v>-69</v>
      </c>
      <c r="H5" s="149">
        <f>'P&amp;L'!H9</f>
        <v>2268.1418704894595</v>
      </c>
      <c r="I5" s="149">
        <f>'P&amp;L'!I9</f>
        <v>2622.5930081597153</v>
      </c>
      <c r="J5" s="149">
        <f>'P&amp;L'!J9</f>
        <v>3320.4858781105559</v>
      </c>
      <c r="K5" s="149">
        <f>'P&amp;L'!K9</f>
        <v>4049.5059987679124</v>
      </c>
      <c r="L5" s="149">
        <f>'P&amp;L'!L9</f>
        <v>4681.2758580462669</v>
      </c>
      <c r="M5" s="149">
        <f>'P&amp;L'!M9</f>
        <v>4947.9970821004408</v>
      </c>
      <c r="N5" s="149">
        <f>'P&amp;L'!N9</f>
        <v>5219.98876417051</v>
      </c>
      <c r="O5" s="149">
        <f>'P&amp;L'!O9</f>
        <v>5487.1130391418192</v>
      </c>
      <c r="P5" s="149">
        <f>'P&amp;L'!P9</f>
        <v>5737.2890961921294</v>
      </c>
      <c r="Q5" s="149">
        <f>'P&amp;L'!Q9</f>
        <v>5945.9830342615496</v>
      </c>
    </row>
    <row r="6" spans="2:17" s="23" customFormat="1" ht="11.4" x14ac:dyDescent="0.2">
      <c r="B6" s="40" t="str">
        <f>CONCATENATE("Operating taxes (",(Drivers!$C$12*100),"%)")</f>
        <v>Operating taxes (21%)</v>
      </c>
      <c r="C6" s="138"/>
      <c r="D6" s="162">
        <f>'P&amp;L'!D12</f>
        <v>-26.698</v>
      </c>
      <c r="E6" s="162">
        <f>'P&amp;L'!E12</f>
        <v>-31.545999999999999</v>
      </c>
      <c r="F6" s="162">
        <f>'P&amp;L'!F12</f>
        <v>-57.837000000000003</v>
      </c>
      <c r="G6" s="144">
        <f>'P&amp;L'!G12</f>
        <v>-110</v>
      </c>
      <c r="H6" s="149">
        <f>IF(H5*Drivers!$C$12&gt;0,-H5*Drivers!$C$12,0)</f>
        <v>-476.30979280278649</v>
      </c>
      <c r="I6" s="149">
        <f>IF(I5*Drivers!$C$12&gt;0,-I5*Drivers!$C$12,0)</f>
        <v>-550.74453171354014</v>
      </c>
      <c r="J6" s="149">
        <f>IF(J5*Drivers!$C$12&gt;0,-J5*Drivers!$C$12,0)</f>
        <v>-697.30203440321668</v>
      </c>
      <c r="K6" s="149">
        <f>IF(K5*Drivers!$C$12&gt;0,-K5*Drivers!$C$12,0)</f>
        <v>-850.39625974126159</v>
      </c>
      <c r="L6" s="149">
        <f>IF(L5*Drivers!$C$12&gt;0,-L5*Drivers!$C$12,0)</f>
        <v>-983.06793018971598</v>
      </c>
      <c r="M6" s="149">
        <f>IF(M5*Drivers!$C$12&gt;0,-M5*Drivers!$C$12,0)</f>
        <v>-1039.0793872410925</v>
      </c>
      <c r="N6" s="149">
        <f>IF(N5*Drivers!$C$12&gt;0,-N5*Drivers!$C$12,0)</f>
        <v>-1096.197640475807</v>
      </c>
      <c r="O6" s="149">
        <f>IF(O5*Drivers!$C$12&gt;0,-O5*Drivers!$C$12,0)</f>
        <v>-1152.293738219782</v>
      </c>
      <c r="P6" s="149">
        <f>IF(P5*Drivers!$C$12&gt;0,-P5*Drivers!$C$12,0)</f>
        <v>-1204.8307102003471</v>
      </c>
      <c r="Q6" s="149">
        <f>IF(Q5*Drivers!$C$12&gt;0,-Q5*Drivers!$C$12,0)</f>
        <v>-1248.6564371949253</v>
      </c>
    </row>
    <row r="7" spans="2:17" s="23" customFormat="1" ht="12" x14ac:dyDescent="0.25">
      <c r="B7" s="38" t="s">
        <v>123</v>
      </c>
      <c r="C7" s="139"/>
      <c r="D7" s="163">
        <f>SUM(D5:D6)</f>
        <v>-694.03800000000058</v>
      </c>
      <c r="E7" s="163">
        <f>SUM(E5:E6)</f>
        <v>-1663.6319999999989</v>
      </c>
      <c r="F7" s="163">
        <f t="shared" ref="F7:G7" si="0">SUM(F5:F6)</f>
        <v>-445.9099999999994</v>
      </c>
      <c r="G7" s="164">
        <f t="shared" si="0"/>
        <v>-179</v>
      </c>
      <c r="H7" s="165">
        <f t="shared" ref="H7:Q7" si="1">SUM(H5:H6)</f>
        <v>1791.8320776866731</v>
      </c>
      <c r="I7" s="165">
        <f t="shared" si="1"/>
        <v>2071.848476446175</v>
      </c>
      <c r="J7" s="165">
        <f t="shared" si="1"/>
        <v>2623.1838437073393</v>
      </c>
      <c r="K7" s="165">
        <f t="shared" si="1"/>
        <v>3199.1097390266509</v>
      </c>
      <c r="L7" s="165">
        <f t="shared" si="1"/>
        <v>3698.2079278565507</v>
      </c>
      <c r="M7" s="165">
        <f t="shared" si="1"/>
        <v>3908.9176948593486</v>
      </c>
      <c r="N7" s="165">
        <f t="shared" si="1"/>
        <v>4123.7911236947029</v>
      </c>
      <c r="O7" s="165">
        <f t="shared" si="1"/>
        <v>4334.8193009220377</v>
      </c>
      <c r="P7" s="165">
        <f t="shared" si="1"/>
        <v>4532.4583859917821</v>
      </c>
      <c r="Q7" s="165">
        <f t="shared" si="1"/>
        <v>4697.3265970666243</v>
      </c>
    </row>
    <row r="8" spans="2:17" s="23" customFormat="1" ht="11.4" x14ac:dyDescent="0.2">
      <c r="B8" s="40" t="s">
        <v>137</v>
      </c>
      <c r="C8" s="137"/>
      <c r="D8" s="162">
        <f>-'PP&amp;E'!D9</f>
        <v>947</v>
      </c>
      <c r="E8" s="162">
        <f>-'PP&amp;E'!E9</f>
        <v>1636</v>
      </c>
      <c r="F8" s="162">
        <f>-'PP&amp;E'!F9</f>
        <v>1901</v>
      </c>
      <c r="G8" s="144">
        <f>-'PP&amp;E'!G9</f>
        <v>2154</v>
      </c>
      <c r="H8" s="149">
        <f>-'PP&amp;E'!H9</f>
        <v>1291.212800292471</v>
      </c>
      <c r="I8" s="149">
        <f>-'PP&amp;E'!I9</f>
        <v>1572.4720361616176</v>
      </c>
      <c r="J8" s="149">
        <f>-'PP&amp;E'!J9</f>
        <v>1883.7457148021508</v>
      </c>
      <c r="K8" s="149">
        <f>-'PP&amp;E'!K9</f>
        <v>2224.7644766535846</v>
      </c>
      <c r="L8" s="149">
        <f>-'PP&amp;E'!L9</f>
        <v>2594.4738537661847</v>
      </c>
      <c r="M8" s="149">
        <f>-'PP&amp;E'!M9</f>
        <v>2990.8697723433052</v>
      </c>
      <c r="N8" s="149">
        <f>-'PP&amp;E'!N9</f>
        <v>3410.8172253805596</v>
      </c>
      <c r="O8" s="149">
        <f>-'PP&amp;E'!O9</f>
        <v>3849.8524307244847</v>
      </c>
      <c r="P8" s="149">
        <f>-'PP&amp;E'!P9</f>
        <v>4301.9692658902923</v>
      </c>
      <c r="Q8" s="149">
        <f>-'PP&amp;E'!Q9</f>
        <v>4759.3913430522116</v>
      </c>
    </row>
    <row r="9" spans="2:17" s="23" customFormat="1" ht="12" x14ac:dyDescent="0.25">
      <c r="B9" s="38" t="s">
        <v>156</v>
      </c>
      <c r="C9" s="139"/>
      <c r="D9" s="163">
        <f>SUM(D7:D8)</f>
        <v>252.96199999999942</v>
      </c>
      <c r="E9" s="163">
        <f>SUM(E7:E8)</f>
        <v>-27.631999999998925</v>
      </c>
      <c r="F9" s="163">
        <f>SUM(F7:F8)</f>
        <v>1455.0900000000006</v>
      </c>
      <c r="G9" s="164">
        <f>SUM(G7:G8)</f>
        <v>1975</v>
      </c>
      <c r="H9" s="165">
        <f t="shared" ref="H9:Q9" si="2">SUM(H7:H8)</f>
        <v>3083.0448779791441</v>
      </c>
      <c r="I9" s="165">
        <f t="shared" si="2"/>
        <v>3644.3205126077928</v>
      </c>
      <c r="J9" s="165">
        <f t="shared" si="2"/>
        <v>4506.9295585094897</v>
      </c>
      <c r="K9" s="165">
        <f t="shared" si="2"/>
        <v>5423.8742156802355</v>
      </c>
      <c r="L9" s="165">
        <f>SUM(L7:L8)</f>
        <v>6292.6817816227358</v>
      </c>
      <c r="M9" s="165">
        <f t="shared" si="2"/>
        <v>6899.7874672026537</v>
      </c>
      <c r="N9" s="165">
        <f t="shared" si="2"/>
        <v>7534.6083490752626</v>
      </c>
      <c r="O9" s="165">
        <f t="shared" si="2"/>
        <v>8184.6717316465219</v>
      </c>
      <c r="P9" s="165">
        <f t="shared" si="2"/>
        <v>8834.4276518820734</v>
      </c>
      <c r="Q9" s="165">
        <f t="shared" si="2"/>
        <v>9456.7179401188369</v>
      </c>
    </row>
    <row r="10" spans="2:17" s="23" customFormat="1" ht="3.75" customHeight="1" x14ac:dyDescent="0.2">
      <c r="B10" s="40"/>
      <c r="C10" s="137"/>
      <c r="D10" s="162"/>
      <c r="E10" s="162"/>
      <c r="F10" s="162"/>
      <c r="G10" s="144"/>
      <c r="H10" s="149"/>
      <c r="I10" s="149"/>
      <c r="J10" s="149"/>
      <c r="K10" s="149"/>
      <c r="L10" s="149"/>
      <c r="M10" s="149"/>
      <c r="N10" s="149"/>
      <c r="O10" s="149"/>
      <c r="P10" s="149"/>
      <c r="Q10" s="149"/>
    </row>
    <row r="11" spans="2:17" s="23" customFormat="1" ht="11.4" x14ac:dyDescent="0.2">
      <c r="B11" s="40" t="s">
        <v>88</v>
      </c>
      <c r="C11" s="138"/>
      <c r="D11" s="162">
        <f>-('Balance Sheet'!D7-'Balance Sheet'!C7)</f>
        <v>-330.17700000000002</v>
      </c>
      <c r="E11" s="162">
        <f>-('Balance Sheet'!E7-'Balance Sheet'!D7)</f>
        <v>-16.238999999999976</v>
      </c>
      <c r="F11" s="162">
        <f>-('Balance Sheet'!F7-'Balance Sheet'!E7)</f>
        <v>-433.64100000000008</v>
      </c>
      <c r="G11" s="144">
        <f>-('Balance Sheet'!G7-'Balance Sheet'!F7)</f>
        <v>-374.97799999999995</v>
      </c>
      <c r="H11" s="149">
        <f>-('Balance Sheet'!H7-'Balance Sheet'!G7)</f>
        <v>-596.15719474427988</v>
      </c>
      <c r="I11" s="149">
        <f>-('Balance Sheet'!I7-'Balance Sheet'!H7)</f>
        <v>-626.26763739417993</v>
      </c>
      <c r="J11" s="149">
        <f>-('Balance Sheet'!J7-'Balance Sheet'!I7)</f>
        <v>-911.99359747146764</v>
      </c>
      <c r="K11" s="149">
        <f>-('Balance Sheet'!K7-'Balance Sheet'!J7)</f>
        <v>-988.89429526625736</v>
      </c>
      <c r="L11" s="149">
        <f>-('Balance Sheet'!L7-'Balance Sheet'!K7)</f>
        <v>-632.45385449232617</v>
      </c>
      <c r="M11" s="149">
        <f>-('Balance Sheet'!M7-'Balance Sheet'!L7)</f>
        <v>-357.90130828263045</v>
      </c>
      <c r="N11" s="149">
        <f>-('Balance Sheet'!N7-'Balance Sheet'!M7)</f>
        <v>-351.20926225240601</v>
      </c>
      <c r="O11" s="149">
        <f>-('Balance Sheet'!O7-'Balance Sheet'!N7)</f>
        <v>-356.85335609362573</v>
      </c>
      <c r="P11" s="149">
        <f>-('Balance Sheet'!P7-'Balance Sheet'!O7)</f>
        <v>-296.48810126147328</v>
      </c>
      <c r="Q11" s="149">
        <f>-('Balance Sheet'!Q7-'Balance Sheet'!P7)</f>
        <v>-265.44717606093309</v>
      </c>
    </row>
    <row r="12" spans="2:17" s="23" customFormat="1" ht="11.4" x14ac:dyDescent="0.2">
      <c r="B12" s="40" t="s">
        <v>9</v>
      </c>
      <c r="C12" s="138"/>
      <c r="D12" s="162">
        <f>-('Balance Sheet'!D8-'Balance Sheet'!C8)</f>
        <v>-789.61600000000021</v>
      </c>
      <c r="E12" s="162">
        <f>-('Balance Sheet'!E8-'Balance Sheet'!D8)</f>
        <v>-196.08299999999963</v>
      </c>
      <c r="F12" s="162">
        <f>-('Balance Sheet'!F8-'Balance Sheet'!E8)</f>
        <v>-849.90900000000011</v>
      </c>
      <c r="G12" s="144">
        <f>-('Balance Sheet'!G8-'Balance Sheet'!F8)</f>
        <v>-438.55400000000009</v>
      </c>
      <c r="H12" s="149">
        <f>-('Balance Sheet'!H8-'Balance Sheet'!G8)</f>
        <v>-4801.4109236615805</v>
      </c>
      <c r="I12" s="149">
        <f>-('Balance Sheet'!I8-'Balance Sheet'!H8)</f>
        <v>-2830.9496800202705</v>
      </c>
      <c r="J12" s="149">
        <f>-('Balance Sheet'!J8-'Balance Sheet'!I8)</f>
        <v>-4072.3263250774035</v>
      </c>
      <c r="K12" s="149">
        <f>-('Balance Sheet'!K8-'Balance Sheet'!J8)</f>
        <v>-4423.3692094947637</v>
      </c>
      <c r="L12" s="149">
        <f>-('Balance Sheet'!L8-'Balance Sheet'!K8)</f>
        <v>-2783.2675475420474</v>
      </c>
      <c r="M12" s="149">
        <f>-('Balance Sheet'!M8-'Balance Sheet'!L8)</f>
        <v>-1600.1149314752438</v>
      </c>
      <c r="N12" s="149">
        <f>-('Balance Sheet'!N8-'Balance Sheet'!M8)</f>
        <v>-1567.3621357697775</v>
      </c>
      <c r="O12" s="149">
        <f>-('Balance Sheet'!O8-'Balance Sheet'!N8)</f>
        <v>-1595.1026147876109</v>
      </c>
      <c r="P12" s="149">
        <f>-('Balance Sheet'!P8-'Balance Sheet'!O8)</f>
        <v>-1317.4740345467399</v>
      </c>
      <c r="Q12" s="149">
        <f>-('Balance Sheet'!Q8-'Balance Sheet'!P8)</f>
        <v>-1183.764671010711</v>
      </c>
    </row>
    <row r="13" spans="2:17" s="23" customFormat="1" ht="11.4" x14ac:dyDescent="0.2">
      <c r="B13" s="40" t="s">
        <v>20</v>
      </c>
      <c r="C13" s="138"/>
      <c r="D13" s="162">
        <f>'Balance Sheet'!D19-'Balance Sheet'!C19</f>
        <v>944.19299999999987</v>
      </c>
      <c r="E13" s="162">
        <f>'Balance Sheet'!E19-'Balance Sheet'!D19</f>
        <v>529.90900000000011</v>
      </c>
      <c r="F13" s="162">
        <f>'Balance Sheet'!F19-'Balance Sheet'!E19</f>
        <v>1014.201</v>
      </c>
      <c r="G13" s="144">
        <f>'Balance Sheet'!G19-'Balance Sheet'!F19</f>
        <v>366.54899999999998</v>
      </c>
      <c r="H13" s="149">
        <f>'Balance Sheet'!H19-'Balance Sheet'!G19</f>
        <v>3895.9759607555252</v>
      </c>
      <c r="I13" s="149">
        <f>'Balance Sheet'!I19-'Balance Sheet'!H19</f>
        <v>2598.3186199237052</v>
      </c>
      <c r="J13" s="149">
        <f>'Balance Sheet'!J19-'Balance Sheet'!I19</f>
        <v>3737.686116970588</v>
      </c>
      <c r="K13" s="149">
        <f>'Balance Sheet'!K19-'Balance Sheet'!J19</f>
        <v>4059.8823288675158</v>
      </c>
      <c r="L13" s="149">
        <f>'Balance Sheet'!L19-'Balance Sheet'!K19</f>
        <v>2554.5547291240146</v>
      </c>
      <c r="M13" s="149">
        <f>'Balance Sheet'!M19-'Balance Sheet'!L19</f>
        <v>1468.6267473465959</v>
      </c>
      <c r="N13" s="149">
        <f>'Balance Sheet'!N19-'Balance Sheet'!M19</f>
        <v>1438.565386829785</v>
      </c>
      <c r="O13" s="149">
        <f>'Balance Sheet'!O19-'Balance Sheet'!N19</f>
        <v>1464.0263138347109</v>
      </c>
      <c r="P13" s="149">
        <f>'Balance Sheet'!P19-'Balance Sheet'!O19</f>
        <v>1209.2116434949421</v>
      </c>
      <c r="Q13" s="149">
        <f>'Balance Sheet'!Q19-'Balance Sheet'!P19</f>
        <v>1086.4897415884006</v>
      </c>
    </row>
    <row r="14" spans="2:17" s="23" customFormat="1" ht="12" x14ac:dyDescent="0.25">
      <c r="B14" s="39" t="s">
        <v>124</v>
      </c>
      <c r="C14" s="140"/>
      <c r="D14" s="166">
        <f>SUM(D11:D13)</f>
        <v>-175.60000000000025</v>
      </c>
      <c r="E14" s="166">
        <f t="shared" ref="E14:Q14" si="3">SUM(E11:E13)</f>
        <v>317.5870000000005</v>
      </c>
      <c r="F14" s="166">
        <f t="shared" si="3"/>
        <v>-269.34900000000016</v>
      </c>
      <c r="G14" s="167">
        <f t="shared" si="3"/>
        <v>-446.98300000000006</v>
      </c>
      <c r="H14" s="168">
        <f t="shared" si="3"/>
        <v>-1501.5921576503351</v>
      </c>
      <c r="I14" s="168">
        <f t="shared" si="3"/>
        <v>-858.89869749074523</v>
      </c>
      <c r="J14" s="168">
        <f t="shared" si="3"/>
        <v>-1246.6338055782835</v>
      </c>
      <c r="K14" s="168">
        <f t="shared" si="3"/>
        <v>-1352.3811758935053</v>
      </c>
      <c r="L14" s="168">
        <f>SUM(L11:L13)</f>
        <v>-861.16667291035901</v>
      </c>
      <c r="M14" s="168">
        <f t="shared" si="3"/>
        <v>-489.3894924112783</v>
      </c>
      <c r="N14" s="168">
        <f t="shared" si="3"/>
        <v>-480.00601119239855</v>
      </c>
      <c r="O14" s="168">
        <f t="shared" si="3"/>
        <v>-487.92965704652579</v>
      </c>
      <c r="P14" s="168">
        <f t="shared" si="3"/>
        <v>-404.75049231327102</v>
      </c>
      <c r="Q14" s="168">
        <f t="shared" si="3"/>
        <v>-362.72210548324347</v>
      </c>
    </row>
    <row r="15" spans="2:17" s="23" customFormat="1" ht="3.75" customHeight="1" x14ac:dyDescent="0.25">
      <c r="B15" s="41"/>
      <c r="C15" s="138"/>
      <c r="D15" s="162"/>
      <c r="E15" s="162"/>
      <c r="F15" s="162"/>
      <c r="G15" s="144"/>
      <c r="H15" s="149"/>
      <c r="I15" s="149"/>
      <c r="J15" s="149"/>
      <c r="K15" s="149"/>
      <c r="L15" s="149"/>
      <c r="M15" s="149"/>
      <c r="N15" s="149"/>
      <c r="O15" s="149"/>
      <c r="P15" s="149"/>
      <c r="Q15" s="149"/>
    </row>
    <row r="16" spans="2:17" s="23" customFormat="1" ht="11.4" x14ac:dyDescent="0.2">
      <c r="B16" s="43" t="s">
        <v>81</v>
      </c>
      <c r="C16" s="138"/>
      <c r="D16" s="162">
        <f>-'PP&amp;E'!D8</f>
        <v>-3526.6230000000005</v>
      </c>
      <c r="E16" s="162">
        <f>-'PP&amp;E'!E8</f>
        <v>-5680.5650000000005</v>
      </c>
      <c r="F16" s="162">
        <f>-'PP&amp;E'!F8</f>
        <v>-3203.5549999999985</v>
      </c>
      <c r="G16" s="144">
        <f>-'PP&amp;E'!G8</f>
        <v>-1219.9230000000007</v>
      </c>
      <c r="H16" s="149">
        <f>-'PP&amp;E'!H8</f>
        <v>-2516.1280029247109</v>
      </c>
      <c r="I16" s="149">
        <f>-'PP&amp;E'!I8</f>
        <v>-2812.5923586914651</v>
      </c>
      <c r="J16" s="149">
        <f>-'PP&amp;E'!J8</f>
        <v>-3112.7367864053331</v>
      </c>
      <c r="K16" s="149">
        <f>-'PP&amp;E'!K8</f>
        <v>-3410.1876185143383</v>
      </c>
      <c r="L16" s="149">
        <f>-'PP&amp;E'!L8</f>
        <v>-3697.0937711259999</v>
      </c>
      <c r="M16" s="149">
        <f>-'PP&amp;E'!M8</f>
        <v>-3963.9591857712062</v>
      </c>
      <c r="N16" s="149">
        <f>-'PP&amp;E'!N8</f>
        <v>-4199.4745303725458</v>
      </c>
      <c r="O16" s="149">
        <f>-'PP&amp;E'!O8</f>
        <v>-4390.352053439251</v>
      </c>
      <c r="P16" s="149">
        <f>-'PP&amp;E'!P8</f>
        <v>-4521.1683516580724</v>
      </c>
      <c r="Q16" s="149">
        <f>-'PP&amp;E'!Q8</f>
        <v>-4574.2207716191933</v>
      </c>
    </row>
    <row r="17" spans="2:17" s="23" customFormat="1" ht="11.4" x14ac:dyDescent="0.2">
      <c r="B17" s="43" t="s">
        <v>18</v>
      </c>
      <c r="C17" s="138"/>
      <c r="D17" s="162">
        <f>-('Balance Sheet'!D6-'Balance Sheet'!C6)-('Balance Sheet'!D9-'Balance Sheet'!C9)-('Balance Sheet'!D11-'Balance Sheet'!C11)-('Balance Sheet'!D12-'Balance Sheet'!C12)-('Balance Sheet'!D14-'Balance Sheet'!C14)-('Balance Sheet'!D15-'Balance Sheet'!C15)</f>
        <v>-8700.4130000000005</v>
      </c>
      <c r="E17" s="162">
        <f>-('Balance Sheet'!E6-'Balance Sheet'!D6)-('Balance Sheet'!E9-'Balance Sheet'!D9)-('Balance Sheet'!E11-'Balance Sheet'!D11)-('Balance Sheet'!E12-'Balance Sheet'!D12)-('Balance Sheet'!E14-'Balance Sheet'!D14)-('Balance Sheet'!E15-'Balance Sheet'!D15)</f>
        <v>-1759.7109999999998</v>
      </c>
      <c r="F17" s="162">
        <f>-('Balance Sheet'!F6-'Balance Sheet'!E6)-('Balance Sheet'!F9-'Balance Sheet'!E9)-('Balance Sheet'!F11-'Balance Sheet'!E11)-('Balance Sheet'!F12-'Balance Sheet'!E12)-('Balance Sheet'!F14-'Balance Sheet'!E14)-('Balance Sheet'!F15-'Balance Sheet'!E15)</f>
        <v>1819.5670000000005</v>
      </c>
      <c r="G17" s="144">
        <f>-('Balance Sheet'!G6-'Balance Sheet'!F6)-('Balance Sheet'!G9-'Balance Sheet'!F9)-('Balance Sheet'!G11-'Balance Sheet'!F11)-('Balance Sheet'!G12-'Balance Sheet'!F12)-('Balance Sheet'!G14-'Balance Sheet'!F14)-('Balance Sheet'!G15-'Balance Sheet'!F15)</f>
        <v>-2107.5490000000004</v>
      </c>
      <c r="H17" s="149">
        <f>-('Balance Sheet'!H6-'Balance Sheet'!G6)-('Balance Sheet'!H9-'Balance Sheet'!G9)-('Balance Sheet'!H11-'Balance Sheet'!G11)-('Balance Sheet'!H12-'Balance Sheet'!G12)-('Balance Sheet'!H14-'Balance Sheet'!G14)-('Balance Sheet'!H15-'Balance Sheet'!G15)</f>
        <v>-1043.940377735476</v>
      </c>
      <c r="I17" s="149">
        <f>-('Balance Sheet'!I6-'Balance Sheet'!H6)-('Balance Sheet'!I9-'Balance Sheet'!H9)-('Balance Sheet'!I11-'Balance Sheet'!H11)-('Balance Sheet'!I12-'Balance Sheet'!H12)-('Balance Sheet'!I14-'Balance Sheet'!H14)-('Balance Sheet'!I15-'Balance Sheet'!H15)</f>
        <v>-1117.0592305938692</v>
      </c>
      <c r="J17" s="149">
        <f>-('Balance Sheet'!J6-'Balance Sheet'!I6)-('Balance Sheet'!J9-'Balance Sheet'!I9)-('Balance Sheet'!J11-'Balance Sheet'!I11)-('Balance Sheet'!J12-'Balance Sheet'!I12)-('Balance Sheet'!J14-'Balance Sheet'!I14)-('Balance Sheet'!J15-'Balance Sheet'!I15)</f>
        <v>-1626.7020766663034</v>
      </c>
      <c r="K17" s="149">
        <f>-('Balance Sheet'!K6-'Balance Sheet'!J6)-('Balance Sheet'!K9-'Balance Sheet'!J9)-('Balance Sheet'!K11-'Balance Sheet'!J11)-('Balance Sheet'!K12-'Balance Sheet'!J12)-('Balance Sheet'!K14-'Balance Sheet'!J14)-('Balance Sheet'!K15-'Balance Sheet'!J15)</f>
        <v>-1763.8680887377714</v>
      </c>
      <c r="L17" s="149">
        <f>-('Balance Sheet'!L6-'Balance Sheet'!K6)-('Balance Sheet'!L9-'Balance Sheet'!K9)-('Balance Sheet'!L11-'Balance Sheet'!K11)-('Balance Sheet'!L12-'Balance Sheet'!K12)-('Balance Sheet'!L14-'Balance Sheet'!K14)-('Balance Sheet'!L15-'Balance Sheet'!K15)</f>
        <v>-1128.0934442420394</v>
      </c>
      <c r="M17" s="149">
        <f>-('Balance Sheet'!M6-'Balance Sheet'!L6)-('Balance Sheet'!M9-'Balance Sheet'!L9)-('Balance Sheet'!M11-'Balance Sheet'!L11)-('Balance Sheet'!M12-'Balance Sheet'!L12)-('Balance Sheet'!M14-'Balance Sheet'!L14)-('Balance Sheet'!M15-'Balance Sheet'!L15)</f>
        <v>-638.38036038751534</v>
      </c>
      <c r="N17" s="149">
        <f>-('Balance Sheet'!N6-'Balance Sheet'!M6)-('Balance Sheet'!N9-'Balance Sheet'!M9)-('Balance Sheet'!N11-'Balance Sheet'!M11)-('Balance Sheet'!N12-'Balance Sheet'!M12)-('Balance Sheet'!N14-'Balance Sheet'!M14)-('Balance Sheet'!N15-'Balance Sheet'!M15)</f>
        <v>-626.44391126693517</v>
      </c>
      <c r="O17" s="149">
        <f>-('Balance Sheet'!O6-'Balance Sheet'!N6)-('Balance Sheet'!O9-'Balance Sheet'!N9)-('Balance Sheet'!O11-'Balance Sheet'!N11)-('Balance Sheet'!O12-'Balance Sheet'!N12)-('Balance Sheet'!O14-'Balance Sheet'!N14)-('Balance Sheet'!O15-'Balance Sheet'!N15)</f>
        <v>-636.5111520873379</v>
      </c>
      <c r="P17" s="149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-528.83903063143816</v>
      </c>
      <c r="Q17" s="149">
        <f>-('Balance Sheet'!Q6-'Balance Sheet'!P6)-('Balance Sheet'!Q9-'Balance Sheet'!P9)-('Balance Sheet'!Q11-'Balance Sheet'!P11)-('Balance Sheet'!Q12-'Balance Sheet'!P12)-('Balance Sheet'!Q14-'Balance Sheet'!P14)-('Balance Sheet'!Q15-'Balance Sheet'!P15)</f>
        <v>-473.47204381775691</v>
      </c>
    </row>
    <row r="18" spans="2:17" s="23" customFormat="1" ht="11.4" x14ac:dyDescent="0.2">
      <c r="B18" s="40" t="s">
        <v>131</v>
      </c>
      <c r="C18" s="138"/>
      <c r="D18" s="162">
        <f>('Balance Sheet'!D20-'Balance Sheet'!C20)+('Balance Sheet'!D22-'Balance Sheet'!C22)+('Balance Sheet'!D24-'Balance Sheet'!C24)+('Balance Sheet'!D26-'Balance Sheet'!C26)+('Balance Sheet'!D29-'Balance Sheet'!C29)</f>
        <v>5002.3220000000001</v>
      </c>
      <c r="E18" s="162">
        <f>('Balance Sheet'!E20-'Balance Sheet'!D20)+('Balance Sheet'!E22-'Balance Sheet'!D22)+('Balance Sheet'!E24-'Balance Sheet'!D24)+('Balance Sheet'!E26-'Balance Sheet'!D26)+('Balance Sheet'!E29-'Balance Sheet'!D29)</f>
        <v>2396.8959999999993</v>
      </c>
      <c r="F18" s="162">
        <f>('Balance Sheet'!F20-'Balance Sheet'!E20)+('Balance Sheet'!F22-'Balance Sheet'!E22)+('Balance Sheet'!F24-'Balance Sheet'!E24)+('Balance Sheet'!F26-'Balance Sheet'!E26)+('Balance Sheet'!F29-'Balance Sheet'!E29)</f>
        <v>-2212.1329999999994</v>
      </c>
      <c r="G18" s="144">
        <f>('Balance Sheet'!G20-'Balance Sheet'!F20)+('Balance Sheet'!G22-'Balance Sheet'!F22)+('Balance Sheet'!G24-'Balance Sheet'!F24)+('Balance Sheet'!G26-'Balance Sheet'!F26)+('Balance Sheet'!G29-'Balance Sheet'!F29)</f>
        <v>1045.848</v>
      </c>
      <c r="H18" s="149">
        <f>('Balance Sheet'!H20-'Balance Sheet'!G20)+('Balance Sheet'!H22-'Balance Sheet'!G22)+('Balance Sheet'!H24-'Balance Sheet'!G24)+('Balance Sheet'!H26-'Balance Sheet'!G26)+('Balance Sheet'!H29-'Balance Sheet'!G29)</f>
        <v>5290.6957853844333</v>
      </c>
      <c r="I18" s="149">
        <f>('Balance Sheet'!I20-'Balance Sheet'!H20)+('Balance Sheet'!I22-'Balance Sheet'!H22)+('Balance Sheet'!I24-'Balance Sheet'!H24)+('Balance Sheet'!I26-'Balance Sheet'!H26)+('Balance Sheet'!I29-'Balance Sheet'!H29)</f>
        <v>4873.6253528758434</v>
      </c>
      <c r="J18" s="149">
        <f>('Balance Sheet'!J20-'Balance Sheet'!I20)+('Balance Sheet'!J22-'Balance Sheet'!I22)+('Balance Sheet'!J24-'Balance Sheet'!I24)+('Balance Sheet'!J26-'Balance Sheet'!I26)+('Balance Sheet'!J29-'Balance Sheet'!I29)</f>
        <v>7097.14960969608</v>
      </c>
      <c r="K18" s="149">
        <f>('Balance Sheet'!K20-'Balance Sheet'!J20)+('Balance Sheet'!K22-'Balance Sheet'!J22)+('Balance Sheet'!K24-'Balance Sheet'!J24)+('Balance Sheet'!K26-'Balance Sheet'!J26)+('Balance Sheet'!K29-'Balance Sheet'!J29)</f>
        <v>7695.5921413682663</v>
      </c>
      <c r="L18" s="149">
        <f>('Balance Sheet'!L20-'Balance Sheet'!K20)+('Balance Sheet'!L22-'Balance Sheet'!K22)+('Balance Sheet'!L24-'Balance Sheet'!K24)+('Balance Sheet'!L26-'Balance Sheet'!K26)+('Balance Sheet'!L29-'Balance Sheet'!K29)</f>
        <v>4921.766599026404</v>
      </c>
      <c r="M18" s="149">
        <f>('Balance Sheet'!M20-'Balance Sheet'!L20)+('Balance Sheet'!M22-'Balance Sheet'!L22)+('Balance Sheet'!M24-'Balance Sheet'!L24)+('Balance Sheet'!M26-'Balance Sheet'!L26)+('Balance Sheet'!M29-'Balance Sheet'!L29)</f>
        <v>2785.1940380176352</v>
      </c>
      <c r="N18" s="149">
        <f>('Balance Sheet'!N20-'Balance Sheet'!M20)+('Balance Sheet'!N22-'Balance Sheet'!M22)+('Balance Sheet'!N24-'Balance Sheet'!M24)+('Balance Sheet'!N26-'Balance Sheet'!M26)+('Balance Sheet'!N29-'Balance Sheet'!M29)</f>
        <v>2733.1164225572215</v>
      </c>
      <c r="O18" s="149">
        <f>('Balance Sheet'!O20-'Balance Sheet'!N20)+('Balance Sheet'!O22-'Balance Sheet'!N22)+('Balance Sheet'!O24-'Balance Sheet'!N24)+('Balance Sheet'!O26-'Balance Sheet'!N26)+('Balance Sheet'!O29-'Balance Sheet'!N29)</f>
        <v>2777.0388563477209</v>
      </c>
      <c r="P18" s="149">
        <f>('Balance Sheet'!P20-'Balance Sheet'!O20)+('Balance Sheet'!P22-'Balance Sheet'!O22)+('Balance Sheet'!P24-'Balance Sheet'!O24)+('Balance Sheet'!P26-'Balance Sheet'!O26)+('Balance Sheet'!P29-'Balance Sheet'!O29)</f>
        <v>2307.2754216492599</v>
      </c>
      <c r="Q18" s="149">
        <f>('Balance Sheet'!Q20-'Balance Sheet'!P20)+('Balance Sheet'!Q22-'Balance Sheet'!P22)+('Balance Sheet'!Q24-'Balance Sheet'!P24)+('Balance Sheet'!Q26-'Balance Sheet'!P26)+('Balance Sheet'!Q29-'Balance Sheet'!P29)</f>
        <v>2065.714416415859</v>
      </c>
    </row>
    <row r="19" spans="2:17" s="23" customFormat="1" ht="3.75" customHeight="1" x14ac:dyDescent="0.2">
      <c r="B19" s="40"/>
      <c r="C19" s="138"/>
      <c r="D19" s="169"/>
      <c r="E19" s="169"/>
      <c r="F19" s="169"/>
      <c r="G19" s="170"/>
      <c r="H19" s="171"/>
      <c r="I19" s="171"/>
      <c r="J19" s="171"/>
      <c r="K19" s="171"/>
      <c r="L19" s="171"/>
      <c r="M19" s="171"/>
      <c r="N19" s="171"/>
      <c r="O19" s="171"/>
      <c r="P19" s="171"/>
      <c r="Q19" s="171"/>
    </row>
    <row r="20" spans="2:17" s="23" customFormat="1" ht="12.6" thickBot="1" x14ac:dyDescent="0.3">
      <c r="B20" s="42" t="s">
        <v>125</v>
      </c>
      <c r="C20" s="141"/>
      <c r="D20" s="172">
        <f>D9+D14+D17+D18+D16</f>
        <v>-7147.3520000000017</v>
      </c>
      <c r="E20" s="172">
        <f>E9+E14+E17+E18+E16</f>
        <v>-4753.4249999999993</v>
      </c>
      <c r="F20" s="173">
        <f>F9+F14+F17+F18+F16</f>
        <v>-2410.3799999999969</v>
      </c>
      <c r="G20" s="174">
        <f t="shared" ref="G20:K20" si="4">G9+G14+G17+G18+G16</f>
        <v>-753.60700000000134</v>
      </c>
      <c r="H20" s="174">
        <f>H9+H14+H17+H18+H16</f>
        <v>3312.0801250530558</v>
      </c>
      <c r="I20" s="174">
        <f>I9+I14+I17+I18+I16</f>
        <v>3729.3955787075565</v>
      </c>
      <c r="J20" s="174">
        <f t="shared" si="4"/>
        <v>5618.0064995556504</v>
      </c>
      <c r="K20" s="174">
        <f t="shared" si="4"/>
        <v>6593.0294739028859</v>
      </c>
      <c r="L20" s="174">
        <f t="shared" ref="L20:Q20" si="5">L9+L14+L17+L18+L16</f>
        <v>5528.0944923707411</v>
      </c>
      <c r="M20" s="174">
        <f t="shared" si="5"/>
        <v>4593.2524666502886</v>
      </c>
      <c r="N20" s="174">
        <f t="shared" si="5"/>
        <v>4961.8003188006051</v>
      </c>
      <c r="O20" s="174">
        <f t="shared" si="5"/>
        <v>5446.917725421129</v>
      </c>
      <c r="P20" s="174">
        <f t="shared" si="5"/>
        <v>5686.9451989285517</v>
      </c>
      <c r="Q20" s="174">
        <f t="shared" si="5"/>
        <v>6112.0174356145017</v>
      </c>
    </row>
    <row r="21" spans="2:17" s="23" customFormat="1" ht="3.75" customHeight="1" x14ac:dyDescent="0.2">
      <c r="B21" s="40"/>
      <c r="C21" s="143"/>
      <c r="D21" s="169"/>
      <c r="E21" s="169"/>
      <c r="F21" s="169"/>
      <c r="G21" s="170"/>
      <c r="H21" s="171"/>
      <c r="I21" s="171"/>
      <c r="J21" s="171"/>
      <c r="K21" s="171"/>
      <c r="L21" s="171"/>
      <c r="M21" s="171"/>
      <c r="N21" s="171"/>
      <c r="O21" s="171"/>
      <c r="P21" s="171"/>
      <c r="Q21" s="171"/>
    </row>
    <row r="22" spans="2:17" s="23" customFormat="1" ht="11.4" x14ac:dyDescent="0.2">
      <c r="B22" s="40" t="s">
        <v>126</v>
      </c>
      <c r="C22" s="143"/>
      <c r="D22" s="162">
        <f>'P&amp;L'!D10</f>
        <v>-79.007999999999996</v>
      </c>
      <c r="E22" s="162">
        <f>'P&amp;L'!E10</f>
        <v>-576.94600000000003</v>
      </c>
      <c r="F22" s="162">
        <f>'P&amp;L'!F10</f>
        <v>-616.67200000000003</v>
      </c>
      <c r="G22" s="144">
        <f>'P&amp;L'!G10</f>
        <v>-596</v>
      </c>
      <c r="H22" s="149">
        <f>'P&amp;L'!H10</f>
        <v>-503.05416000000002</v>
      </c>
      <c r="I22" s="149">
        <f>'P&amp;L'!I10</f>
        <v>-503.05416000000002</v>
      </c>
      <c r="J22" s="149">
        <f>'P&amp;L'!J10</f>
        <v>-503.05416000000002</v>
      </c>
      <c r="K22" s="149">
        <f>'P&amp;L'!K10</f>
        <v>-503.05416000000002</v>
      </c>
      <c r="L22" s="149">
        <f>'P&amp;L'!L10</f>
        <v>-503.05416000000002</v>
      </c>
      <c r="M22" s="149">
        <f>'P&amp;L'!M10</f>
        <v>-503.05416000000002</v>
      </c>
      <c r="N22" s="149">
        <f>'P&amp;L'!N10</f>
        <v>-503.05416000000002</v>
      </c>
      <c r="O22" s="149">
        <f>'P&amp;L'!O10</f>
        <v>-503.05416000000002</v>
      </c>
      <c r="P22" s="149">
        <f>'P&amp;L'!P10</f>
        <v>-503.05416000000002</v>
      </c>
      <c r="Q22" s="149">
        <f>'P&amp;L'!Q10</f>
        <v>-503.05416000000002</v>
      </c>
    </row>
    <row r="23" spans="2:17" s="23" customFormat="1" ht="11.4" x14ac:dyDescent="0.2">
      <c r="B23" s="40" t="s">
        <v>127</v>
      </c>
      <c r="C23" s="143"/>
      <c r="D23" s="162">
        <f>'Balance Sheet'!D28-'Balance Sheet'!C28</f>
        <v>4195.24</v>
      </c>
      <c r="E23" s="162">
        <f>'Balance Sheet'!E28-'Balance Sheet'!D28</f>
        <v>3367.9889999999996</v>
      </c>
      <c r="F23" s="162">
        <f>'Balance Sheet'!F28-'Balance Sheet'!E28</f>
        <v>1759.1219999999994</v>
      </c>
      <c r="G23" s="144">
        <f>'Balance Sheet'!G28-'Balance Sheet'!F28</f>
        <v>1447.6290000000008</v>
      </c>
      <c r="H23" s="149">
        <f>'Balance Sheet'!H28-'Balance Sheet'!G28</f>
        <v>0</v>
      </c>
      <c r="I23" s="149">
        <f>'Balance Sheet'!I28-'Balance Sheet'!H28</f>
        <v>0</v>
      </c>
      <c r="J23" s="149">
        <f>'Balance Sheet'!J28-'Balance Sheet'!I28</f>
        <v>0</v>
      </c>
      <c r="K23" s="149">
        <f>'Balance Sheet'!K28-'Balance Sheet'!J28</f>
        <v>0</v>
      </c>
      <c r="L23" s="149">
        <f>'Balance Sheet'!L28-'Balance Sheet'!K28</f>
        <v>0</v>
      </c>
      <c r="M23" s="149">
        <f>'Balance Sheet'!M28-'Balance Sheet'!L28</f>
        <v>0</v>
      </c>
      <c r="N23" s="149">
        <f>'Balance Sheet'!N28-'Balance Sheet'!M28</f>
        <v>0</v>
      </c>
      <c r="O23" s="149">
        <f>'Balance Sheet'!O28-'Balance Sheet'!N28</f>
        <v>0</v>
      </c>
      <c r="P23" s="149">
        <f>'Balance Sheet'!P28-'Balance Sheet'!O28</f>
        <v>0</v>
      </c>
      <c r="Q23" s="149">
        <f>'Balance Sheet'!Q28-'Balance Sheet'!P28</f>
        <v>0</v>
      </c>
    </row>
    <row r="24" spans="2:17" s="23" customFormat="1" ht="11.4" x14ac:dyDescent="0.2">
      <c r="B24" s="40" t="s">
        <v>133</v>
      </c>
      <c r="C24" s="143"/>
      <c r="D24" s="162">
        <f>'Balance Sheet'!D32-'Balance Sheet'!C32-'P&amp;L'!D14</f>
        <v>5129.2960000000012</v>
      </c>
      <c r="E24" s="162">
        <f>'Balance Sheet'!E32-'Balance Sheet'!D32-'P&amp;L'!E14</f>
        <v>1657.9019999999982</v>
      </c>
      <c r="F24" s="162">
        <f>'Balance Sheet'!F32-'Balance Sheet'!E32-'P&amp;L'!F14</f>
        <v>1499.143</v>
      </c>
      <c r="G24" s="144">
        <f>'Balance Sheet'!G32-'Balance Sheet'!F32-'P&amp;L'!G14</f>
        <v>2571.3599999999997</v>
      </c>
      <c r="H24" s="149">
        <f>'Balance Sheet'!H32-'Balance Sheet'!G32-'P&amp;L'!H14</f>
        <v>0</v>
      </c>
      <c r="I24" s="149">
        <f>'Balance Sheet'!I32-'Balance Sheet'!H32-'P&amp;L'!I14</f>
        <v>0</v>
      </c>
      <c r="J24" s="149">
        <f>'Balance Sheet'!J32-'Balance Sheet'!I32-'P&amp;L'!J14</f>
        <v>0</v>
      </c>
      <c r="K24" s="149">
        <f>'Balance Sheet'!K32-'Balance Sheet'!J32-'P&amp;L'!K14</f>
        <v>0</v>
      </c>
      <c r="L24" s="149">
        <f>'Balance Sheet'!L32-'Balance Sheet'!K32-'P&amp;L'!L14</f>
        <v>0</v>
      </c>
      <c r="M24" s="149">
        <f>'Balance Sheet'!M32-'Balance Sheet'!L32-'P&amp;L'!M14</f>
        <v>0</v>
      </c>
      <c r="N24" s="149">
        <f>'Balance Sheet'!N32-'Balance Sheet'!M32-'P&amp;L'!N14</f>
        <v>0</v>
      </c>
      <c r="O24" s="149">
        <f>'Balance Sheet'!O32-'Balance Sheet'!N32-'P&amp;L'!O14</f>
        <v>0</v>
      </c>
      <c r="P24" s="149">
        <f>'Balance Sheet'!P32-'Balance Sheet'!O32-'P&amp;L'!P14</f>
        <v>0</v>
      </c>
      <c r="Q24" s="149">
        <f>'Balance Sheet'!Q32-'Balance Sheet'!P32-'P&amp;L'!Q14</f>
        <v>0</v>
      </c>
    </row>
    <row r="25" spans="2:17" s="23" customFormat="1" ht="11.4" x14ac:dyDescent="0.2">
      <c r="B25" s="40" t="s">
        <v>136</v>
      </c>
      <c r="C25" s="143"/>
      <c r="D25" s="162">
        <f>'P&amp;L'!D12-D6</f>
        <v>0</v>
      </c>
      <c r="E25" s="162">
        <f>'P&amp;L'!E12-E6</f>
        <v>0</v>
      </c>
      <c r="F25" s="162">
        <f>'P&amp;L'!F12-F6</f>
        <v>0</v>
      </c>
      <c r="G25" s="144">
        <f>'P&amp;L'!G12-G6</f>
        <v>0</v>
      </c>
      <c r="H25" s="149">
        <f>'P&amp;L'!H12-H6</f>
        <v>105.64137360000001</v>
      </c>
      <c r="I25" s="149">
        <f>'P&amp;L'!I12-I6</f>
        <v>105.64137359999995</v>
      </c>
      <c r="J25" s="149">
        <f>'P&amp;L'!J12-J6</f>
        <v>105.64137359999995</v>
      </c>
      <c r="K25" s="149">
        <f>'P&amp;L'!K12-K6</f>
        <v>105.64137360000007</v>
      </c>
      <c r="L25" s="149">
        <f>'P&amp;L'!L12-L6</f>
        <v>105.64137359999995</v>
      </c>
      <c r="M25" s="149">
        <f>'P&amp;L'!M12-M6</f>
        <v>105.64137359999984</v>
      </c>
      <c r="N25" s="149">
        <f>'P&amp;L'!N12-N6</f>
        <v>105.64137359999995</v>
      </c>
      <c r="O25" s="149">
        <f>'P&amp;L'!O12-O6</f>
        <v>105.64137359999995</v>
      </c>
      <c r="P25" s="149">
        <f>'P&amp;L'!P12-P6</f>
        <v>105.64137359999995</v>
      </c>
      <c r="Q25" s="149">
        <f>'P&amp;L'!Q12-Q6</f>
        <v>105.64137359999972</v>
      </c>
    </row>
    <row r="26" spans="2:17" s="23" customFormat="1" ht="11.4" x14ac:dyDescent="0.2">
      <c r="B26" s="40" t="s">
        <v>247</v>
      </c>
      <c r="C26" s="143"/>
      <c r="D26" s="162">
        <f>'P&amp;L'!D13</f>
        <v>98.132000000000005</v>
      </c>
      <c r="E26" s="162">
        <f>'P&amp;L'!E13</f>
        <v>279.178</v>
      </c>
      <c r="F26" s="162">
        <f>'P&amp;L'!F13</f>
        <v>86.491</v>
      </c>
      <c r="G26" s="162">
        <f>'P&amp;L'!G13</f>
        <v>-87</v>
      </c>
      <c r="H26" s="149">
        <f>'P&amp;L'!H13</f>
        <v>0</v>
      </c>
      <c r="I26" s="149">
        <f>'P&amp;L'!I13</f>
        <v>0</v>
      </c>
      <c r="J26" s="149">
        <f>'P&amp;L'!J13</f>
        <v>0</v>
      </c>
      <c r="K26" s="149">
        <f>'P&amp;L'!K13</f>
        <v>0</v>
      </c>
      <c r="L26" s="149">
        <f>'P&amp;L'!L13</f>
        <v>0</v>
      </c>
      <c r="M26" s="149">
        <f>'P&amp;L'!M13</f>
        <v>0</v>
      </c>
      <c r="N26" s="149">
        <f>'P&amp;L'!N13</f>
        <v>0</v>
      </c>
      <c r="O26" s="149">
        <f>'P&amp;L'!O13</f>
        <v>0</v>
      </c>
      <c r="P26" s="149">
        <f>'P&amp;L'!P13</f>
        <v>0</v>
      </c>
      <c r="Q26" s="149">
        <f>'P&amp;L'!Q13</f>
        <v>0</v>
      </c>
    </row>
    <row r="27" spans="2:17" s="23" customFormat="1" ht="3.75" customHeight="1" x14ac:dyDescent="0.2">
      <c r="B27" s="40"/>
      <c r="C27" s="143"/>
      <c r="D27" s="169"/>
      <c r="E27" s="169"/>
      <c r="F27" s="169"/>
      <c r="G27" s="170"/>
      <c r="H27" s="171"/>
      <c r="I27" s="171"/>
      <c r="J27" s="171"/>
      <c r="K27" s="171"/>
      <c r="L27" s="171"/>
      <c r="M27" s="171"/>
      <c r="N27" s="171"/>
      <c r="O27" s="171"/>
      <c r="P27" s="171"/>
      <c r="Q27" s="171"/>
    </row>
    <row r="28" spans="2:17" s="23" customFormat="1" ht="12.6" thickBot="1" x14ac:dyDescent="0.3">
      <c r="B28" s="42" t="s">
        <v>128</v>
      </c>
      <c r="C28" s="142"/>
      <c r="D28" s="172">
        <f>SUM(D20:D27)</f>
        <v>2196.3079999999995</v>
      </c>
      <c r="E28" s="172">
        <f t="shared" ref="E28:Q28" si="6">SUM(E20:E27)</f>
        <v>-25.302000000001385</v>
      </c>
      <c r="F28" s="172">
        <f t="shared" si="6"/>
        <v>317.70400000000245</v>
      </c>
      <c r="G28" s="174">
        <f t="shared" si="6"/>
        <v>2582.3819999999992</v>
      </c>
      <c r="H28" s="174">
        <f t="shared" si="6"/>
        <v>2914.6673386530556</v>
      </c>
      <c r="I28" s="174">
        <f t="shared" si="6"/>
        <v>3331.9827923075563</v>
      </c>
      <c r="J28" s="174">
        <f t="shared" si="6"/>
        <v>5220.5937131556511</v>
      </c>
      <c r="K28" s="174">
        <f t="shared" si="6"/>
        <v>6195.6166875028866</v>
      </c>
      <c r="L28" s="174">
        <f t="shared" si="6"/>
        <v>5130.6817059707409</v>
      </c>
      <c r="M28" s="174">
        <f t="shared" si="6"/>
        <v>4195.8396802502884</v>
      </c>
      <c r="N28" s="174">
        <f t="shared" si="6"/>
        <v>4564.3875324006058</v>
      </c>
      <c r="O28" s="174">
        <f t="shared" si="6"/>
        <v>5049.5049390211298</v>
      </c>
      <c r="P28" s="174">
        <f t="shared" si="6"/>
        <v>5289.5324125285515</v>
      </c>
      <c r="Q28" s="174">
        <f t="shared" si="6"/>
        <v>5714.6046492145015</v>
      </c>
    </row>
    <row r="30" spans="2:17" x14ac:dyDescent="0.25">
      <c r="B30" s="37" t="s">
        <v>129</v>
      </c>
      <c r="C30" s="37"/>
      <c r="D30" s="37">
        <f>C32</f>
        <v>1196.9079999999999</v>
      </c>
      <c r="E30" s="37">
        <f t="shared" ref="E30:Q30" si="7">D32</f>
        <v>3393.2159999999994</v>
      </c>
      <c r="F30" s="37">
        <f t="shared" si="7"/>
        <v>3367.9139999999979</v>
      </c>
      <c r="G30" s="37">
        <f t="shared" si="7"/>
        <v>3685.6180000000004</v>
      </c>
      <c r="H30" s="37">
        <f>G32</f>
        <v>6268</v>
      </c>
      <c r="I30" s="37">
        <f t="shared" si="7"/>
        <v>9182.6673386530565</v>
      </c>
      <c r="J30" s="37">
        <f t="shared" si="7"/>
        <v>12514.650130960614</v>
      </c>
      <c r="K30" s="37">
        <f t="shared" si="7"/>
        <v>17735.243844116267</v>
      </c>
      <c r="L30" s="37">
        <f t="shared" si="7"/>
        <v>23930.860531619153</v>
      </c>
      <c r="M30" s="37">
        <f t="shared" si="7"/>
        <v>29061.542237589892</v>
      </c>
      <c r="N30" s="37">
        <f t="shared" si="7"/>
        <v>33257.381917840183</v>
      </c>
      <c r="O30" s="37">
        <f t="shared" si="7"/>
        <v>37821.76945024079</v>
      </c>
      <c r="P30" s="37">
        <f t="shared" si="7"/>
        <v>42871.274389261918</v>
      </c>
      <c r="Q30" s="37">
        <f t="shared" si="7"/>
        <v>48160.806801790473</v>
      </c>
    </row>
    <row r="31" spans="2:17" x14ac:dyDescent="0.25">
      <c r="B31" s="37" t="s">
        <v>128</v>
      </c>
      <c r="C31" s="37">
        <f t="shared" ref="C31:I31" si="8">C28</f>
        <v>0</v>
      </c>
      <c r="D31" s="37">
        <f>D28</f>
        <v>2196.3079999999995</v>
      </c>
      <c r="E31" s="37">
        <f t="shared" si="8"/>
        <v>-25.302000000001385</v>
      </c>
      <c r="F31" s="37">
        <f t="shared" si="8"/>
        <v>317.70400000000245</v>
      </c>
      <c r="G31" s="37">
        <f t="shared" si="8"/>
        <v>2582.3819999999992</v>
      </c>
      <c r="H31" s="37">
        <f t="shared" si="8"/>
        <v>2914.6673386530556</v>
      </c>
      <c r="I31" s="37">
        <f t="shared" si="8"/>
        <v>3331.9827923075563</v>
      </c>
      <c r="J31" s="37">
        <f t="shared" ref="J31:Q31" si="9">J28</f>
        <v>5220.5937131556511</v>
      </c>
      <c r="K31" s="37">
        <f t="shared" si="9"/>
        <v>6195.6166875028866</v>
      </c>
      <c r="L31" s="37">
        <f t="shared" si="9"/>
        <v>5130.6817059707409</v>
      </c>
      <c r="M31" s="37">
        <f t="shared" si="9"/>
        <v>4195.8396802502884</v>
      </c>
      <c r="N31" s="37">
        <f t="shared" si="9"/>
        <v>4564.3875324006058</v>
      </c>
      <c r="O31" s="37">
        <f t="shared" si="9"/>
        <v>5049.5049390211298</v>
      </c>
      <c r="P31" s="37">
        <f t="shared" si="9"/>
        <v>5289.5324125285515</v>
      </c>
      <c r="Q31" s="37">
        <f t="shared" si="9"/>
        <v>5714.6046492145015</v>
      </c>
    </row>
    <row r="32" spans="2:17" x14ac:dyDescent="0.25">
      <c r="B32" s="37" t="s">
        <v>130</v>
      </c>
      <c r="C32" s="37">
        <f>'Balance Sheet'!C5</f>
        <v>1196.9079999999999</v>
      </c>
      <c r="D32" s="37">
        <f>D30+D31</f>
        <v>3393.2159999999994</v>
      </c>
      <c r="E32" s="37">
        <f t="shared" ref="E32:L32" si="10">E30+E31</f>
        <v>3367.9139999999979</v>
      </c>
      <c r="F32" s="37">
        <f t="shared" si="10"/>
        <v>3685.6180000000004</v>
      </c>
      <c r="G32" s="37">
        <f t="shared" si="10"/>
        <v>6268</v>
      </c>
      <c r="H32" s="37">
        <f t="shared" si="10"/>
        <v>9182.6673386530565</v>
      </c>
      <c r="I32" s="37">
        <f t="shared" si="10"/>
        <v>12514.650130960614</v>
      </c>
      <c r="J32" s="37">
        <f t="shared" si="10"/>
        <v>17735.243844116267</v>
      </c>
      <c r="K32" s="37">
        <f t="shared" si="10"/>
        <v>23930.860531619153</v>
      </c>
      <c r="L32" s="37">
        <f t="shared" si="10"/>
        <v>29061.542237589892</v>
      </c>
      <c r="M32" s="37">
        <f>M30+M31</f>
        <v>33257.381917840183</v>
      </c>
      <c r="N32" s="37">
        <f>N30+N31</f>
        <v>37821.76945024079</v>
      </c>
      <c r="O32" s="37">
        <f>O30+O31</f>
        <v>42871.274389261918</v>
      </c>
      <c r="P32" s="37">
        <f>P30+P31</f>
        <v>48160.806801790473</v>
      </c>
      <c r="Q32" s="37">
        <f>Q30+Q31</f>
        <v>53875.411451004977</v>
      </c>
    </row>
    <row r="33" spans="2:17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</row>
    <row r="34" spans="2:17" outlineLevel="1" x14ac:dyDescent="0.25">
      <c r="B34" s="191" t="s">
        <v>112</v>
      </c>
      <c r="C34" s="191">
        <f>'Balance Sheet'!C5-C32</f>
        <v>0</v>
      </c>
      <c r="D34" s="191">
        <f>'Balance Sheet'!D5-D32</f>
        <v>0</v>
      </c>
      <c r="E34" s="191">
        <f>'Balance Sheet'!E5-E32</f>
        <v>0</v>
      </c>
      <c r="F34" s="191">
        <f>'Balance Sheet'!F5-F32</f>
        <v>0</v>
      </c>
      <c r="G34" s="191">
        <f>'Balance Sheet'!G5-G32</f>
        <v>0</v>
      </c>
      <c r="H34" s="191">
        <f>'Balance Sheet'!H5-H32</f>
        <v>0</v>
      </c>
      <c r="I34" s="191">
        <f>'Balance Sheet'!I5-I32</f>
        <v>0</v>
      </c>
      <c r="J34" s="191">
        <f>'Balance Sheet'!J5-J32</f>
        <v>0</v>
      </c>
      <c r="K34" s="191">
        <f>'Balance Sheet'!K5-K32</f>
        <v>0</v>
      </c>
      <c r="L34" s="191">
        <f>'Balance Sheet'!L5-L32</f>
        <v>0</v>
      </c>
      <c r="M34" s="191">
        <f>'Balance Sheet'!M5-M32</f>
        <v>0</v>
      </c>
      <c r="N34" s="191">
        <f>'Balance Sheet'!N5-N32</f>
        <v>0</v>
      </c>
      <c r="O34" s="191">
        <f>'Balance Sheet'!O5-O32</f>
        <v>0</v>
      </c>
      <c r="P34" s="191">
        <f>'Balance Sheet'!P5-P32</f>
        <v>0</v>
      </c>
      <c r="Q34" s="191">
        <f>'Balance Sheet'!Q5-Q32</f>
        <v>0</v>
      </c>
    </row>
    <row r="38" spans="2:17" x14ac:dyDescent="0.25">
      <c r="B38" s="8"/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8" width="10.33203125" style="1" bestFit="1" customWidth="1"/>
    <col min="9" max="9" width="9.109375" style="1"/>
    <col min="10" max="10" width="10.33203125" style="1" bestFit="1" customWidth="1"/>
    <col min="11" max="11" width="9.109375" style="1"/>
    <col min="12" max="13" width="10.33203125" style="1" bestFit="1" customWidth="1"/>
    <col min="14" max="16384" width="9.109375" style="1"/>
  </cols>
  <sheetData>
    <row r="1" spans="2:13" ht="15.6" x14ac:dyDescent="0.25">
      <c r="B1" s="2" t="s">
        <v>158</v>
      </c>
    </row>
    <row r="3" spans="2:13" ht="24" x14ac:dyDescent="0.25">
      <c r="B3" s="5" t="s">
        <v>37</v>
      </c>
      <c r="C3" s="6" t="s">
        <v>46</v>
      </c>
      <c r="D3" s="6" t="s">
        <v>47</v>
      </c>
      <c r="E3" s="6" t="s">
        <v>157</v>
      </c>
      <c r="F3" s="6" t="s">
        <v>329</v>
      </c>
      <c r="G3" s="6" t="s">
        <v>328</v>
      </c>
    </row>
    <row r="4" spans="2:13" x14ac:dyDescent="0.25">
      <c r="B4" s="7" t="s">
        <v>79</v>
      </c>
      <c r="C4" s="71">
        <v>3740973</v>
      </c>
      <c r="D4" s="71">
        <v>6350766</v>
      </c>
      <c r="E4" s="71">
        <v>9641300</v>
      </c>
      <c r="F4" s="71">
        <v>18514983</v>
      </c>
      <c r="G4" s="71">
        <v>20821000</v>
      </c>
      <c r="H4" s="204"/>
      <c r="J4" s="202"/>
      <c r="K4" s="202"/>
      <c r="L4" s="202"/>
      <c r="M4" s="202"/>
    </row>
    <row r="5" spans="2:13" x14ac:dyDescent="0.25">
      <c r="B5" s="8" t="s">
        <v>3</v>
      </c>
      <c r="C5" s="72">
        <v>14477</v>
      </c>
      <c r="D5" s="72">
        <v>181394</v>
      </c>
      <c r="E5" s="72">
        <v>1116266</v>
      </c>
      <c r="F5" s="72">
        <v>1555244</v>
      </c>
      <c r="G5" s="72">
        <v>1531000</v>
      </c>
    </row>
    <row r="6" spans="2:13" x14ac:dyDescent="0.25">
      <c r="B6" s="8" t="s">
        <v>2</v>
      </c>
      <c r="C6" s="72">
        <v>290575</v>
      </c>
      <c r="D6" s="72">
        <v>467972</v>
      </c>
      <c r="E6" s="72">
        <v>1001185</v>
      </c>
      <c r="F6" s="72">
        <v>1391041</v>
      </c>
      <c r="G6" s="72">
        <v>2226000</v>
      </c>
    </row>
    <row r="7" spans="2:13" x14ac:dyDescent="0.25">
      <c r="B7" s="9" t="s">
        <v>0</v>
      </c>
      <c r="C7" s="74">
        <f>SUM(C4:C6)</f>
        <v>4046025</v>
      </c>
      <c r="D7" s="74">
        <f>SUM(D4:D6)</f>
        <v>7000132</v>
      </c>
      <c r="E7" s="74">
        <f>SUM(E4:E6)</f>
        <v>11758751</v>
      </c>
      <c r="F7" s="74">
        <f>SUM(F4:F6)</f>
        <v>21461268</v>
      </c>
      <c r="G7" s="74">
        <f>SUM(G4:G6)</f>
        <v>24578000</v>
      </c>
    </row>
    <row r="8" spans="2:13" x14ac:dyDescent="0.25">
      <c r="B8" s="8" t="s">
        <v>42</v>
      </c>
      <c r="C8" s="72">
        <v>-2823302</v>
      </c>
      <c r="D8" s="72">
        <v>-4750081</v>
      </c>
      <c r="E8" s="72">
        <v>-7432704</v>
      </c>
      <c r="F8" s="72">
        <v>-14173997</v>
      </c>
      <c r="G8" s="72">
        <v>-16398000</v>
      </c>
    </row>
    <row r="9" spans="2:13" x14ac:dyDescent="0.25">
      <c r="B9" s="8" t="s">
        <v>40</v>
      </c>
      <c r="C9" s="72">
        <v>-12287</v>
      </c>
      <c r="D9" s="72">
        <v>-178332</v>
      </c>
      <c r="E9" s="72">
        <v>-874538</v>
      </c>
      <c r="F9" s="72">
        <v>-1364896</v>
      </c>
      <c r="G9" s="72">
        <v>-1341000</v>
      </c>
      <c r="I9" s="202"/>
      <c r="J9" s="202"/>
    </row>
    <row r="10" spans="2:13" x14ac:dyDescent="0.25">
      <c r="B10" s="8" t="s">
        <v>41</v>
      </c>
      <c r="C10" s="72">
        <v>-286933</v>
      </c>
      <c r="D10" s="72">
        <v>-472462</v>
      </c>
      <c r="E10" s="72">
        <v>-1229022</v>
      </c>
      <c r="F10" s="72">
        <v>-1880354</v>
      </c>
      <c r="G10" s="72">
        <v>-2770000</v>
      </c>
      <c r="I10" s="202"/>
      <c r="J10" s="202"/>
    </row>
    <row r="11" spans="2:13" x14ac:dyDescent="0.25">
      <c r="B11" s="9" t="s">
        <v>1</v>
      </c>
      <c r="C11" s="74">
        <f>SUM(C7:C10)</f>
        <v>923503</v>
      </c>
      <c r="D11" s="74">
        <f>SUM(D7:D10)</f>
        <v>1599257</v>
      </c>
      <c r="E11" s="74">
        <f>SUM(E7:E10)</f>
        <v>2222487</v>
      </c>
      <c r="F11" s="74">
        <f>SUM(F7:F10)</f>
        <v>4042021</v>
      </c>
      <c r="G11" s="74">
        <f>SUM(G7:G10)</f>
        <v>4069000</v>
      </c>
    </row>
    <row r="12" spans="2:13" x14ac:dyDescent="0.25">
      <c r="B12" s="8" t="s">
        <v>4</v>
      </c>
      <c r="C12" s="72">
        <v>-717900</v>
      </c>
      <c r="D12" s="72">
        <v>-834408</v>
      </c>
      <c r="E12" s="72">
        <v>-1378073</v>
      </c>
      <c r="F12" s="72">
        <v>-1460370</v>
      </c>
      <c r="G12" s="72">
        <v>-1343000</v>
      </c>
    </row>
    <row r="13" spans="2:13" x14ac:dyDescent="0.25">
      <c r="B13" s="8" t="s">
        <v>33</v>
      </c>
      <c r="C13" s="72">
        <v>-922232</v>
      </c>
      <c r="D13" s="72">
        <v>-1432189</v>
      </c>
      <c r="E13" s="72">
        <v>-2476500</v>
      </c>
      <c r="F13" s="72">
        <v>-2834491</v>
      </c>
      <c r="G13" s="72">
        <v>-2646000</v>
      </c>
    </row>
    <row r="14" spans="2:13" x14ac:dyDescent="0.25">
      <c r="B14" s="8" t="s">
        <v>161</v>
      </c>
      <c r="C14" s="72"/>
      <c r="D14" s="72"/>
      <c r="E14" s="72"/>
      <c r="F14" s="72">
        <v>-135233</v>
      </c>
      <c r="G14" s="72">
        <v>-149000</v>
      </c>
    </row>
    <row r="15" spans="2:13" x14ac:dyDescent="0.25">
      <c r="B15" s="9" t="s">
        <v>43</v>
      </c>
      <c r="C15" s="74">
        <f>SUM(C11:C14)</f>
        <v>-716629</v>
      </c>
      <c r="D15" s="74">
        <f>SUM(D11:D14)</f>
        <v>-667340</v>
      </c>
      <c r="E15" s="74">
        <f>SUM(E11:E14)</f>
        <v>-1632086</v>
      </c>
      <c r="F15" s="74">
        <f>SUM(F11:F14)</f>
        <v>-388073</v>
      </c>
      <c r="G15" s="74">
        <f>SUM(G11:G14)</f>
        <v>-69000</v>
      </c>
    </row>
    <row r="16" spans="2:13" x14ac:dyDescent="0.25">
      <c r="B16" s="8" t="s">
        <v>34</v>
      </c>
      <c r="C16" s="72">
        <v>1508</v>
      </c>
      <c r="D16" s="72">
        <v>8530</v>
      </c>
      <c r="E16" s="72">
        <v>19686</v>
      </c>
      <c r="F16" s="72">
        <v>24533</v>
      </c>
      <c r="G16" s="72">
        <v>44000</v>
      </c>
    </row>
    <row r="17" spans="2:7" x14ac:dyDescent="0.25">
      <c r="B17" s="8" t="s">
        <v>5</v>
      </c>
      <c r="C17" s="72">
        <v>-118851</v>
      </c>
      <c r="D17" s="72">
        <v>-198810</v>
      </c>
      <c r="E17" s="72">
        <v>-471259</v>
      </c>
      <c r="F17" s="72">
        <v>-663071</v>
      </c>
      <c r="G17" s="72">
        <v>-685000</v>
      </c>
    </row>
    <row r="18" spans="2:7" x14ac:dyDescent="0.25">
      <c r="B18" s="8" t="s">
        <v>35</v>
      </c>
      <c r="C18" s="72">
        <v>-41652</v>
      </c>
      <c r="D18" s="72">
        <v>111272</v>
      </c>
      <c r="E18" s="72">
        <v>-125373</v>
      </c>
      <c r="F18" s="72">
        <v>21866</v>
      </c>
      <c r="G18" s="72">
        <v>45000</v>
      </c>
    </row>
    <row r="19" spans="2:7" x14ac:dyDescent="0.25">
      <c r="B19" s="9" t="s">
        <v>44</v>
      </c>
      <c r="C19" s="74">
        <f>SUM(C15:C18)</f>
        <v>-875624</v>
      </c>
      <c r="D19" s="74">
        <f>SUM(D15:D18)</f>
        <v>-746348</v>
      </c>
      <c r="E19" s="74">
        <f>SUM(E15:E18)</f>
        <v>-2209032</v>
      </c>
      <c r="F19" s="74">
        <f>SUM(F15:F18)</f>
        <v>-1004745</v>
      </c>
      <c r="G19" s="74">
        <f>SUM(G15:G18)</f>
        <v>-665000</v>
      </c>
    </row>
    <row r="20" spans="2:7" x14ac:dyDescent="0.25">
      <c r="B20" s="8" t="s">
        <v>6</v>
      </c>
      <c r="C20" s="72">
        <v>-13039</v>
      </c>
      <c r="D20" s="72">
        <v>-26698</v>
      </c>
      <c r="E20" s="72">
        <v>-31546</v>
      </c>
      <c r="F20" s="72">
        <v>-57837</v>
      </c>
      <c r="G20" s="72">
        <v>-110000</v>
      </c>
    </row>
    <row r="21" spans="2:7" x14ac:dyDescent="0.25">
      <c r="B21" s="9" t="s">
        <v>57</v>
      </c>
      <c r="C21" s="74">
        <f>SUM(C19:C20)</f>
        <v>-888663</v>
      </c>
      <c r="D21" s="74">
        <f>SUM(D19:D20)</f>
        <v>-773046</v>
      </c>
      <c r="E21" s="74">
        <f>SUM(E19:E20)</f>
        <v>-2240578</v>
      </c>
      <c r="F21" s="74">
        <f>SUM(F19:F20)</f>
        <v>-1062582</v>
      </c>
      <c r="G21" s="74">
        <f>SUM(G19:G20)</f>
        <v>-775000</v>
      </c>
    </row>
    <row r="22" spans="2:7" s="3" customFormat="1" x14ac:dyDescent="0.25">
      <c r="B22" s="8" t="s">
        <v>58</v>
      </c>
      <c r="C22" s="72">
        <v>0</v>
      </c>
      <c r="D22" s="72">
        <v>98132</v>
      </c>
      <c r="E22" s="72">
        <v>279178</v>
      </c>
      <c r="F22" s="72">
        <v>86491</v>
      </c>
      <c r="G22" s="72">
        <v>-87000</v>
      </c>
    </row>
    <row r="23" spans="2:7" s="3" customFormat="1" ht="13.8" thickBot="1" x14ac:dyDescent="0.3">
      <c r="B23" s="10" t="s">
        <v>36</v>
      </c>
      <c r="C23" s="76">
        <f>SUM(C21:C22)</f>
        <v>-888663</v>
      </c>
      <c r="D23" s="76">
        <f>SUM(D21:D22)</f>
        <v>-674914</v>
      </c>
      <c r="E23" s="76">
        <f>SUM(E21:E22)</f>
        <v>-1961400</v>
      </c>
      <c r="F23" s="76">
        <f>SUM(F21:F22)</f>
        <v>-976091</v>
      </c>
      <c r="G23" s="76">
        <f>SUM(G21:G22)</f>
        <v>-862000</v>
      </c>
    </row>
    <row r="25" spans="2:7" x14ac:dyDescent="0.2">
      <c r="B25" s="70" t="s">
        <v>162</v>
      </c>
      <c r="C25" s="69"/>
      <c r="D25" s="69"/>
      <c r="E25" s="69"/>
      <c r="F25" s="69"/>
      <c r="G25" s="69"/>
    </row>
    <row r="26" spans="2:7" x14ac:dyDescent="0.2">
      <c r="B26" s="69" t="s">
        <v>314</v>
      </c>
      <c r="C26" s="77"/>
      <c r="D26" s="77">
        <f t="shared" ref="D26:D28" si="0">D4/C4-1</f>
        <v>0.69762412078355007</v>
      </c>
      <c r="E26" s="77">
        <f t="shared" ref="E26:G28" si="1">E4/D4-1</f>
        <v>0.51813182850698647</v>
      </c>
      <c r="F26" s="77">
        <f t="shared" si="1"/>
        <v>0.92038241730886905</v>
      </c>
      <c r="G26" s="77">
        <f t="shared" si="1"/>
        <v>0.12454869658805512</v>
      </c>
    </row>
    <row r="27" spans="2:7" x14ac:dyDescent="0.2">
      <c r="B27" s="69" t="s">
        <v>315</v>
      </c>
      <c r="C27" s="77"/>
      <c r="D27" s="77">
        <f t="shared" si="0"/>
        <v>11.529805899012226</v>
      </c>
      <c r="E27" s="77">
        <f t="shared" si="1"/>
        <v>5.1538198617374338</v>
      </c>
      <c r="F27" s="77">
        <f t="shared" si="1"/>
        <v>0.39325572936916475</v>
      </c>
      <c r="G27" s="77">
        <f>G5/F5-1</f>
        <v>-1.5588550735447293E-2</v>
      </c>
    </row>
    <row r="28" spans="2:7" x14ac:dyDescent="0.2">
      <c r="B28" s="69" t="s">
        <v>316</v>
      </c>
      <c r="C28" s="77"/>
      <c r="D28" s="77">
        <f t="shared" si="0"/>
        <v>0.61050331239783184</v>
      </c>
      <c r="E28" s="77">
        <f t="shared" si="1"/>
        <v>1.1394121870539262</v>
      </c>
      <c r="F28" s="77">
        <f t="shared" si="1"/>
        <v>0.38939456743758649</v>
      </c>
      <c r="G28" s="77">
        <f t="shared" si="1"/>
        <v>0.60024039550236119</v>
      </c>
    </row>
    <row r="29" spans="2:7" x14ac:dyDescent="0.2">
      <c r="B29" s="69" t="s">
        <v>59</v>
      </c>
      <c r="C29" s="77">
        <f t="shared" ref="C29:F29" si="2">(C4+C8)/C4</f>
        <v>0.24530275946926108</v>
      </c>
      <c r="D29" s="77">
        <f t="shared" si="2"/>
        <v>0.2520459736667986</v>
      </c>
      <c r="E29" s="77">
        <f t="shared" si="2"/>
        <v>0.2290765768101812</v>
      </c>
      <c r="F29" s="77">
        <f t="shared" si="2"/>
        <v>0.23445800625363794</v>
      </c>
      <c r="G29" s="77">
        <f>(G4+G8)/G4</f>
        <v>0.21242975841698286</v>
      </c>
    </row>
    <row r="30" spans="2:7" x14ac:dyDescent="0.2">
      <c r="B30" s="69" t="s">
        <v>60</v>
      </c>
      <c r="C30" s="77">
        <f t="shared" ref="C30:F30" si="3">(C5+C9)/C5</f>
        <v>0.15127443531118326</v>
      </c>
      <c r="D30" s="77">
        <f t="shared" si="3"/>
        <v>1.688038193104513E-2</v>
      </c>
      <c r="E30" s="77">
        <f t="shared" si="3"/>
        <v>0.21655053544585251</v>
      </c>
      <c r="F30" s="77">
        <f t="shared" si="3"/>
        <v>0.12239108461437562</v>
      </c>
      <c r="G30" s="77">
        <f t="shared" ref="G30:G31" si="4">(G5+G9)/G5</f>
        <v>0.12410189418680601</v>
      </c>
    </row>
    <row r="31" spans="2:7" x14ac:dyDescent="0.2">
      <c r="B31" s="69" t="s">
        <v>61</v>
      </c>
      <c r="C31" s="77">
        <f t="shared" ref="C31:F31" si="5">(C6+C10)/C6</f>
        <v>1.2533769250623763E-2</v>
      </c>
      <c r="D31" s="77">
        <f t="shared" si="5"/>
        <v>-9.5945911293838088E-3</v>
      </c>
      <c r="E31" s="77">
        <f>(E6+E10)/E6</f>
        <v>-0.22756733271073779</v>
      </c>
      <c r="F31" s="77">
        <f t="shared" si="5"/>
        <v>-0.35176030037935618</v>
      </c>
      <c r="G31" s="77">
        <f t="shared" si="4"/>
        <v>-0.24438454627133874</v>
      </c>
    </row>
    <row r="32" spans="2:7" x14ac:dyDescent="0.2">
      <c r="B32" s="69" t="s">
        <v>62</v>
      </c>
      <c r="C32" s="77">
        <f>(SUM(C4:C6)+SUM(C8:C10))/SUM(C4:C6)</f>
        <v>0.22824945471172323</v>
      </c>
      <c r="D32" s="77">
        <f>(SUM(D4:D6)+SUM(D8:D10))/SUM(D4:D6)</f>
        <v>0.22846097759299397</v>
      </c>
      <c r="E32" s="77">
        <f>(SUM(E4:E6)+SUM(E8:E10))/SUM(E4:E6)</f>
        <v>0.18900706376042831</v>
      </c>
      <c r="F32" s="77">
        <f>(SUM(F4:F6)+SUM(F8:F10))/SUM(F4:F6)</f>
        <v>0.18834026954977684</v>
      </c>
      <c r="G32" s="77">
        <f>(SUM(G4:G6)+SUM(G8:G10))/SUM(G4:G6)</f>
        <v>0.1655545609895028</v>
      </c>
    </row>
    <row r="33" spans="2:7" x14ac:dyDescent="0.2">
      <c r="B33" s="69" t="s">
        <v>56</v>
      </c>
      <c r="C33" s="77">
        <f>C15/C7</f>
        <v>-0.17711927138364197</v>
      </c>
      <c r="D33" s="77">
        <f>D15/D7</f>
        <v>-9.533248801594027E-2</v>
      </c>
      <c r="E33" s="77">
        <f>E15/E7</f>
        <v>-0.13879756446921956</v>
      </c>
      <c r="F33" s="77">
        <f>F15/F7</f>
        <v>-1.8082482358451512E-2</v>
      </c>
      <c r="G33" s="77">
        <f>G15/G7</f>
        <v>-2.8073887216209618E-3</v>
      </c>
    </row>
    <row r="34" spans="2:7" x14ac:dyDescent="0.2">
      <c r="B34" s="69" t="s">
        <v>63</v>
      </c>
      <c r="C34" s="77">
        <f>C23/C7</f>
        <v>-0.21963853411681836</v>
      </c>
      <c r="D34" s="77">
        <f>D23/D7</f>
        <v>-9.6414467612896446E-2</v>
      </c>
      <c r="E34" s="77">
        <f>E23/E7</f>
        <v>-0.16680343005817538</v>
      </c>
      <c r="F34" s="77">
        <f>F23/F7</f>
        <v>-4.5481515817238756E-2</v>
      </c>
      <c r="G34" s="77">
        <f>G23/G7</f>
        <v>-3.5072015623728539E-2</v>
      </c>
    </row>
    <row r="35" spans="2:7" x14ac:dyDescent="0.2">
      <c r="B35" s="69" t="s">
        <v>54</v>
      </c>
      <c r="C35" s="77">
        <f>C23/'Balance Sheet Input'!C18</f>
        <v>-0.11014746145205113</v>
      </c>
      <c r="D35" s="77">
        <f>D23/'Balance Sheet Input'!D18</f>
        <v>-2.9779021214012873E-2</v>
      </c>
      <c r="E35" s="77">
        <f>E23/'Balance Sheet Input'!E18</f>
        <v>-6.8447898704647764E-2</v>
      </c>
      <c r="F35" s="77">
        <f>F23/'Balance Sheet Input'!F18</f>
        <v>-3.2821239710777682E-2</v>
      </c>
      <c r="G35" s="77">
        <f>G23/'Balance Sheet Input'!G18</f>
        <v>-2.5124602873881487E-2</v>
      </c>
    </row>
    <row r="36" spans="2:7" x14ac:dyDescent="0.2">
      <c r="B36" s="69" t="s">
        <v>55</v>
      </c>
      <c r="C36" s="77">
        <f>C23/'Balance Sheet Input'!C32</f>
        <v>-0.82002373341798129</v>
      </c>
      <c r="D36" s="77">
        <f>D23/'Balance Sheet Input'!D32</f>
        <v>-0.1420001342335255</v>
      </c>
      <c r="E36" s="77">
        <f>E23/'Balance Sheet Input'!E32</f>
        <v>-0.46289544000555077</v>
      </c>
      <c r="F36" s="77">
        <f>F23/'Balance Sheet Input'!F32</f>
        <v>-0.19826179613722095</v>
      </c>
      <c r="G36" s="77">
        <f>G23/'Balance Sheet Input'!G32</f>
        <v>-0.13025083106678756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A1:Q22"/>
  <sheetViews>
    <sheetView showOutlineSymbols="0" workbookViewId="0">
      <selection activeCell="B1" sqref="B1"/>
    </sheetView>
  </sheetViews>
  <sheetFormatPr defaultColWidth="9.109375" defaultRowHeight="11.4" outlineLevelRow="1" x14ac:dyDescent="0.2"/>
  <cols>
    <col min="1" max="1" width="2" style="49" customWidth="1"/>
    <col min="2" max="2" width="22.6640625" style="49" customWidth="1"/>
    <col min="3" max="12" width="9.6640625" style="49" customWidth="1"/>
    <col min="13" max="18" width="9.109375" style="49"/>
    <col min="19" max="19" width="9.6640625" style="49" bestFit="1" customWidth="1"/>
    <col min="20" max="16384" width="9.109375" style="49"/>
  </cols>
  <sheetData>
    <row r="1" spans="1:17" ht="15.6" x14ac:dyDescent="0.3">
      <c r="A1" s="8"/>
      <c r="B1" s="48" t="s">
        <v>138</v>
      </c>
    </row>
    <row r="2" spans="1:17" ht="12" thickBot="1" x14ac:dyDescent="0.25"/>
    <row r="3" spans="1:17" ht="13.2" thickTop="1" thickBot="1" x14ac:dyDescent="0.3">
      <c r="B3" s="50" t="s">
        <v>139</v>
      </c>
      <c r="C3" s="51">
        <f>Drivers!C13</f>
        <v>0.02</v>
      </c>
      <c r="D3" s="49" t="s">
        <v>75</v>
      </c>
    </row>
    <row r="4" spans="1:17" ht="12" outlineLevel="1" thickTop="1" x14ac:dyDescent="0.2">
      <c r="H4" s="49">
        <v>1</v>
      </c>
      <c r="I4" s="49">
        <v>2</v>
      </c>
      <c r="J4" s="49">
        <v>3</v>
      </c>
      <c r="K4" s="49">
        <v>4</v>
      </c>
      <c r="L4" s="49">
        <v>5</v>
      </c>
      <c r="M4" s="49">
        <v>6</v>
      </c>
      <c r="N4" s="49">
        <v>7</v>
      </c>
      <c r="O4" s="49">
        <v>8</v>
      </c>
      <c r="P4" s="49">
        <v>9</v>
      </c>
      <c r="Q4" s="49">
        <v>10</v>
      </c>
    </row>
    <row r="5" spans="1:17" ht="28.5" customHeight="1" x14ac:dyDescent="0.25">
      <c r="B5" s="5" t="s">
        <v>244</v>
      </c>
      <c r="C5" s="6" t="s">
        <v>46</v>
      </c>
      <c r="D5" s="6" t="s">
        <v>47</v>
      </c>
      <c r="E5" s="6" t="s">
        <v>157</v>
      </c>
      <c r="F5" s="6" t="s">
        <v>329</v>
      </c>
      <c r="G5" s="6" t="s">
        <v>328</v>
      </c>
      <c r="H5" s="92" t="s">
        <v>175</v>
      </c>
      <c r="I5" s="92" t="s">
        <v>176</v>
      </c>
      <c r="J5" s="92" t="s">
        <v>177</v>
      </c>
      <c r="K5" s="92" t="s">
        <v>178</v>
      </c>
      <c r="L5" s="92" t="s">
        <v>253</v>
      </c>
      <c r="M5" s="92" t="s">
        <v>254</v>
      </c>
      <c r="N5" s="92" t="s">
        <v>255</v>
      </c>
      <c r="O5" s="92" t="s">
        <v>256</v>
      </c>
      <c r="P5" s="92" t="s">
        <v>257</v>
      </c>
      <c r="Q5" s="92" t="s">
        <v>333</v>
      </c>
    </row>
    <row r="6" spans="1:17" x14ac:dyDescent="0.2">
      <c r="B6" s="49" t="s">
        <v>125</v>
      </c>
      <c r="C6" s="52"/>
      <c r="D6" s="52"/>
      <c r="E6" s="52"/>
      <c r="F6" s="52"/>
      <c r="G6" s="52"/>
      <c r="H6" s="133">
        <f>'Cash Flow'!H20</f>
        <v>3312.0801250530558</v>
      </c>
      <c r="I6" s="133">
        <f>'Cash Flow'!I20</f>
        <v>3729.3955787075565</v>
      </c>
      <c r="J6" s="133">
        <f>'Cash Flow'!J20</f>
        <v>5618.0064995556504</v>
      </c>
      <c r="K6" s="133">
        <f>'Cash Flow'!K20</f>
        <v>6593.0294739028859</v>
      </c>
      <c r="L6" s="133">
        <f>'Cash Flow'!L20</f>
        <v>5528.0944923707411</v>
      </c>
      <c r="M6" s="133">
        <f>'Cash Flow'!M20</f>
        <v>4593.2524666502886</v>
      </c>
      <c r="N6" s="133">
        <f>'Cash Flow'!N20</f>
        <v>4961.8003188006051</v>
      </c>
      <c r="O6" s="133">
        <f>'Cash Flow'!O20</f>
        <v>5446.917725421129</v>
      </c>
      <c r="P6" s="133">
        <f>'Cash Flow'!P20</f>
        <v>5686.9451989285517</v>
      </c>
      <c r="Q6" s="133">
        <f>'Cash Flow'!Q20</f>
        <v>6112.0174356145017</v>
      </c>
    </row>
    <row r="7" spans="1:17" x14ac:dyDescent="0.2">
      <c r="B7" s="49" t="s">
        <v>259</v>
      </c>
      <c r="C7" s="52"/>
      <c r="D7" s="52"/>
      <c r="E7" s="52"/>
      <c r="F7" s="52"/>
      <c r="G7" s="52"/>
      <c r="H7" s="133"/>
      <c r="I7" s="133"/>
      <c r="J7" s="133"/>
      <c r="K7" s="133"/>
      <c r="L7" s="133"/>
      <c r="M7" s="133"/>
      <c r="N7" s="133"/>
      <c r="O7" s="133"/>
      <c r="P7" s="133"/>
      <c r="Q7" s="133">
        <f>Q6*(1+$C$3)/(Q9-C3)</f>
        <v>84586.56192428105</v>
      </c>
    </row>
    <row r="8" spans="1:17" x14ac:dyDescent="0.2">
      <c r="C8" s="52"/>
      <c r="D8" s="52"/>
      <c r="E8" s="52"/>
      <c r="F8" s="52"/>
      <c r="G8" s="52"/>
      <c r="H8" s="133"/>
      <c r="I8" s="133"/>
      <c r="J8" s="134"/>
      <c r="K8" s="134"/>
      <c r="L8" s="134"/>
      <c r="M8" s="134"/>
      <c r="N8" s="134"/>
      <c r="O8" s="134"/>
      <c r="P8" s="134"/>
      <c r="Q8" s="134"/>
    </row>
    <row r="9" spans="1:17" x14ac:dyDescent="0.2">
      <c r="B9" s="49" t="s">
        <v>140</v>
      </c>
      <c r="C9" s="52"/>
      <c r="D9" s="52"/>
      <c r="E9" s="52"/>
      <c r="F9" s="52"/>
      <c r="G9" s="52"/>
      <c r="H9" s="135">
        <f>WACC!H24</f>
        <v>6.6100835869347563E-2</v>
      </c>
      <c r="I9" s="135">
        <f>WACC!I24</f>
        <v>6.948182292943117E-2</v>
      </c>
      <c r="J9" s="135">
        <f>WACC!J24</f>
        <v>7.3306535993851479E-2</v>
      </c>
      <c r="K9" s="135">
        <f>WACC!K24</f>
        <v>7.7285773672637087E-2</v>
      </c>
      <c r="L9" s="135">
        <f>WACC!L24</f>
        <v>8.108768379468842E-2</v>
      </c>
      <c r="M9" s="135">
        <f>WACC!M24</f>
        <v>8.4362537871956564E-2</v>
      </c>
      <c r="N9" s="135">
        <f>WACC!N24</f>
        <v>8.720132714225981E-2</v>
      </c>
      <c r="O9" s="135">
        <f>WACC!O24</f>
        <v>8.9671915812162106E-2</v>
      </c>
      <c r="P9" s="135">
        <f>WACC!P24</f>
        <v>9.182643920507344E-2</v>
      </c>
      <c r="Q9" s="135">
        <f>WACC!Q24</f>
        <v>9.3702697479387836E-2</v>
      </c>
    </row>
    <row r="10" spans="1:17" ht="12" x14ac:dyDescent="0.25">
      <c r="B10" s="57" t="s">
        <v>141</v>
      </c>
      <c r="C10" s="58"/>
      <c r="D10" s="58"/>
      <c r="E10" s="58"/>
      <c r="F10" s="58"/>
      <c r="G10" s="58"/>
      <c r="H10" s="136">
        <f>H6/(1+H9)^H4</f>
        <v>3106.7231293860054</v>
      </c>
      <c r="I10" s="136">
        <f t="shared" ref="I10:Q10" si="0">I6/(1+I9)^I4</f>
        <v>3260.5557953182797</v>
      </c>
      <c r="J10" s="136">
        <f t="shared" si="0"/>
        <v>4543.7132455932206</v>
      </c>
      <c r="K10" s="136">
        <f t="shared" si="0"/>
        <v>4895.0971836340495</v>
      </c>
      <c r="L10" s="136">
        <f t="shared" si="0"/>
        <v>3743.4398508048939</v>
      </c>
      <c r="M10" s="136">
        <f t="shared" si="0"/>
        <v>2825.3566989024675</v>
      </c>
      <c r="N10" s="136">
        <f t="shared" si="0"/>
        <v>2763.5636116067017</v>
      </c>
      <c r="O10" s="136">
        <f t="shared" si="0"/>
        <v>2740.2157100515783</v>
      </c>
      <c r="P10" s="136">
        <f t="shared" si="0"/>
        <v>2579.2686660369463</v>
      </c>
      <c r="Q10" s="136">
        <f t="shared" si="0"/>
        <v>2495.6963967452907</v>
      </c>
    </row>
    <row r="11" spans="1:17" x14ac:dyDescent="0.2">
      <c r="B11" s="49" t="s">
        <v>269</v>
      </c>
      <c r="C11" s="52"/>
      <c r="D11" s="52"/>
      <c r="E11" s="52"/>
      <c r="F11" s="52"/>
      <c r="G11" s="52"/>
      <c r="H11" s="135"/>
      <c r="I11" s="135"/>
      <c r="J11" s="135"/>
      <c r="K11" s="135"/>
      <c r="L11" s="135"/>
      <c r="M11" s="135"/>
      <c r="N11" s="135"/>
      <c r="O11" s="135"/>
      <c r="P11" s="135"/>
      <c r="Q11" s="133">
        <f>Q7/(1+Q9)^Q4</f>
        <v>34538.903075998249</v>
      </c>
    </row>
    <row r="13" spans="1:17" ht="12" x14ac:dyDescent="0.25">
      <c r="B13" s="237" t="s">
        <v>142</v>
      </c>
      <c r="C13" s="237"/>
      <c r="D13" s="237"/>
      <c r="E13" s="237"/>
      <c r="F13" s="237"/>
      <c r="G13" s="237"/>
      <c r="H13" s="237"/>
      <c r="I13" s="237"/>
      <c r="J13" s="237"/>
      <c r="K13" s="237"/>
    </row>
    <row r="14" spans="1:17" x14ac:dyDescent="0.2">
      <c r="B14" s="49" t="s">
        <v>143</v>
      </c>
      <c r="E14" s="54"/>
      <c r="F14" s="54">
        <f>SUM(H10:Q10)</f>
        <v>32953.630288079439</v>
      </c>
      <c r="G14" s="60"/>
    </row>
    <row r="15" spans="1:17" x14ac:dyDescent="0.2">
      <c r="B15" s="49" t="s">
        <v>144</v>
      </c>
      <c r="E15" s="54"/>
      <c r="F15" s="54">
        <f>Q7</f>
        <v>84586.56192428105</v>
      </c>
    </row>
    <row r="16" spans="1:17" x14ac:dyDescent="0.2">
      <c r="B16" s="49" t="s">
        <v>145</v>
      </c>
      <c r="E16" s="54"/>
      <c r="F16" s="54">
        <f>Q11</f>
        <v>34538.903075998249</v>
      </c>
      <c r="G16" s="60"/>
    </row>
    <row r="17" spans="2:7" ht="12" x14ac:dyDescent="0.25">
      <c r="B17" s="53" t="s">
        <v>146</v>
      </c>
      <c r="C17" s="53"/>
      <c r="D17" s="53"/>
      <c r="E17" s="55"/>
      <c r="F17" s="55">
        <f>F16+F14</f>
        <v>67492.533364077681</v>
      </c>
    </row>
    <row r="18" spans="2:7" x14ac:dyDescent="0.2">
      <c r="B18" s="56" t="s">
        <v>147</v>
      </c>
      <c r="E18" s="54"/>
      <c r="F18" s="54">
        <f>'Balance Sheet'!G5</f>
        <v>6268</v>
      </c>
      <c r="G18" s="54"/>
    </row>
    <row r="19" spans="2:7" x14ac:dyDescent="0.2">
      <c r="B19" s="56" t="s">
        <v>148</v>
      </c>
      <c r="E19" s="54"/>
      <c r="F19" s="54">
        <f>'Balance Sheet'!G28</f>
        <v>13419</v>
      </c>
    </row>
    <row r="20" spans="2:7" ht="12" x14ac:dyDescent="0.25">
      <c r="B20" s="53" t="s">
        <v>149</v>
      </c>
      <c r="C20" s="53"/>
      <c r="D20" s="53"/>
      <c r="E20" s="55"/>
      <c r="F20" s="55">
        <f>F17+F18-F19</f>
        <v>60341.533364077681</v>
      </c>
    </row>
    <row r="21" spans="2:7" x14ac:dyDescent="0.2">
      <c r="B21" s="49" t="s">
        <v>388</v>
      </c>
      <c r="F21" s="54">
        <v>932</v>
      </c>
    </row>
    <row r="22" spans="2:7" ht="12" x14ac:dyDescent="0.25">
      <c r="B22" s="61" t="s">
        <v>153</v>
      </c>
      <c r="C22" s="61"/>
      <c r="D22" s="61"/>
      <c r="E22" s="61"/>
      <c r="F22" s="61">
        <f>F20/F21</f>
        <v>64.744134510812955</v>
      </c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CD7F-9C67-416B-BFE7-B54E9E17C393}">
  <sheetPr>
    <tabColor rgb="FF002060"/>
  </sheetPr>
  <dimension ref="B14"/>
  <sheetViews>
    <sheetView workbookViewId="0">
      <selection activeCell="Q6" sqref="Q6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260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4F47-5902-4E90-9D34-98686EDEF78A}">
  <dimension ref="A1:C34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190"/>
      <c r="B1" s="2" t="s">
        <v>262</v>
      </c>
    </row>
    <row r="8" spans="1:3" x14ac:dyDescent="0.2">
      <c r="B8" s="8" t="s">
        <v>261</v>
      </c>
      <c r="C8" s="162">
        <f>'Revenue automotive'!G11</f>
        <v>20821</v>
      </c>
    </row>
    <row r="9" spans="1:3" x14ac:dyDescent="0.2">
      <c r="B9" s="8" t="s">
        <v>166</v>
      </c>
      <c r="C9" s="162">
        <f>'Revenue automotive'!H5-'Revenue automotive'!G5</f>
        <v>11360.221024468407</v>
      </c>
    </row>
    <row r="10" spans="1:3" x14ac:dyDescent="0.2">
      <c r="B10" s="8" t="s">
        <v>172</v>
      </c>
      <c r="C10" s="162">
        <f>'Revenue automotive'!H6-'Revenue automotive'!G6</f>
        <v>930.34468986492539</v>
      </c>
    </row>
    <row r="11" spans="1:3" x14ac:dyDescent="0.2">
      <c r="B11" s="8" t="s">
        <v>167</v>
      </c>
      <c r="C11" s="162">
        <f>'Revenue automotive'!H7-'Revenue automotive'!G7</f>
        <v>107.604</v>
      </c>
    </row>
    <row r="12" spans="1:3" x14ac:dyDescent="0.2">
      <c r="B12" s="8" t="s">
        <v>169</v>
      </c>
      <c r="C12" s="162">
        <f>'Revenue automotive'!H8-'Revenue automotive'!G8</f>
        <v>0</v>
      </c>
    </row>
    <row r="13" spans="1:3" x14ac:dyDescent="0.2">
      <c r="B13" s="8" t="s">
        <v>168</v>
      </c>
      <c r="C13" s="162">
        <f>'Revenue automotive'!H9-'Revenue automotive'!G9</f>
        <v>0</v>
      </c>
    </row>
    <row r="14" spans="1:3" x14ac:dyDescent="0.2">
      <c r="B14" s="8" t="s">
        <v>165</v>
      </c>
      <c r="C14" s="162">
        <f>'Revenue automotive'!H10-'Revenue automotive'!G10</f>
        <v>0</v>
      </c>
    </row>
    <row r="15" spans="1:3" x14ac:dyDescent="0.2">
      <c r="B15" s="8" t="s">
        <v>263</v>
      </c>
      <c r="C15" s="162">
        <f>'Revenue automotive'!H11</f>
        <v>33219.169714333329</v>
      </c>
    </row>
    <row r="27" spans="2:3" x14ac:dyDescent="0.2">
      <c r="B27" s="8" t="str">
        <f>B15</f>
        <v>Revenue 2020</v>
      </c>
      <c r="C27" s="162">
        <f>'Revenue automotive'!H11</f>
        <v>33219.169714333329</v>
      </c>
    </row>
    <row r="28" spans="2:3" x14ac:dyDescent="0.2">
      <c r="B28" s="8" t="s">
        <v>166</v>
      </c>
      <c r="C28" s="162">
        <f>'Revenue automotive'!I5-'Revenue automotive'!H5</f>
        <v>2606.5820293333381</v>
      </c>
    </row>
    <row r="29" spans="2:3" x14ac:dyDescent="0.2">
      <c r="B29" s="8" t="s">
        <v>172</v>
      </c>
      <c r="C29" s="162">
        <f>'Revenue automotive'!I6-'Revenue automotive'!H6</f>
        <v>281.82981684000151</v>
      </c>
    </row>
    <row r="30" spans="2:3" x14ac:dyDescent="0.2">
      <c r="B30" s="8" t="s">
        <v>167</v>
      </c>
      <c r="C30" s="162">
        <f>'Revenue automotive'!I7-'Revenue automotive'!H7</f>
        <v>8801.7510000000002</v>
      </c>
    </row>
    <row r="31" spans="2:3" x14ac:dyDescent="0.2">
      <c r="B31" s="8" t="s">
        <v>169</v>
      </c>
      <c r="C31" s="162">
        <f>'Revenue automotive'!I8-'Revenue automotive'!H8</f>
        <v>0</v>
      </c>
    </row>
    <row r="32" spans="2:3" x14ac:dyDescent="0.2">
      <c r="B32" s="8" t="s">
        <v>168</v>
      </c>
      <c r="C32" s="162">
        <f>'Revenue automotive'!I9-'Revenue automotive'!H9</f>
        <v>14.6</v>
      </c>
    </row>
    <row r="33" spans="2:3" x14ac:dyDescent="0.2">
      <c r="B33" s="8" t="s">
        <v>165</v>
      </c>
      <c r="C33" s="162">
        <f>'Revenue automotive'!I10-'Revenue automotive'!H10</f>
        <v>43.75</v>
      </c>
    </row>
    <row r="34" spans="2:3" x14ac:dyDescent="0.2">
      <c r="B34" s="8" t="s">
        <v>370</v>
      </c>
      <c r="C34" s="162">
        <f>'Revenue automotive'!I11</f>
        <v>44967.682560506662</v>
      </c>
    </row>
  </sheetData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3FD1-114B-41A7-8C0F-0A15336A1B8E}">
  <dimension ref="A1:C32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190"/>
      <c r="B1" s="2" t="s">
        <v>267</v>
      </c>
    </row>
    <row r="8" spans="1:3" x14ac:dyDescent="0.2">
      <c r="B8" s="8" t="s">
        <v>264</v>
      </c>
      <c r="C8" s="162">
        <f>'Cash Flow'!G28</f>
        <v>2582.3819999999992</v>
      </c>
    </row>
    <row r="9" spans="1:3" x14ac:dyDescent="0.2">
      <c r="B9" s="8" t="s">
        <v>123</v>
      </c>
      <c r="C9" s="162">
        <f>'Cash Flow'!H7-'Cash Flow'!G7</f>
        <v>1970.8320776866731</v>
      </c>
    </row>
    <row r="10" spans="1:3" x14ac:dyDescent="0.2">
      <c r="B10" s="8" t="s">
        <v>137</v>
      </c>
      <c r="C10" s="162">
        <f>'Cash Flow'!H8-'Cash Flow'!G8</f>
        <v>-862.787199707529</v>
      </c>
    </row>
    <row r="11" spans="1:3" x14ac:dyDescent="0.2">
      <c r="B11" s="8" t="s">
        <v>265</v>
      </c>
      <c r="C11" s="162">
        <f>'Cash Flow'!H14-'Cash Flow'!G14</f>
        <v>-1054.609157650335</v>
      </c>
    </row>
    <row r="12" spans="1:3" x14ac:dyDescent="0.2">
      <c r="B12" s="8" t="s">
        <v>81</v>
      </c>
      <c r="C12" s="162">
        <f>'Cash Flow'!H16-'Cash Flow'!G16</f>
        <v>-1296.2050029247102</v>
      </c>
    </row>
    <row r="13" spans="1:3" x14ac:dyDescent="0.2">
      <c r="B13" s="8" t="s">
        <v>266</v>
      </c>
      <c r="C13" s="162">
        <f>'Cash Flow'!H17-'Cash Flow'!G17+'Cash Flow'!H18-'Cash Flow'!G18+'Cash Flow'!H22-'Cash Flow'!G22+'Cash Flow'!H23-'Cash Flow'!G23+'Cash Flow'!H24-'Cash Flow'!G24+'Cash Flow'!H25-'Cash Flow'!G25+'Cash Flow'!H26-'Cash Flow'!G26</f>
        <v>1575.0546212489576</v>
      </c>
    </row>
    <row r="14" spans="1:3" x14ac:dyDescent="0.2">
      <c r="B14" s="8" t="s">
        <v>369</v>
      </c>
      <c r="C14" s="162">
        <f>'Cash Flow'!H28</f>
        <v>2914.6673386530556</v>
      </c>
    </row>
    <row r="26" spans="2:3" x14ac:dyDescent="0.2">
      <c r="B26" s="8" t="s">
        <v>268</v>
      </c>
      <c r="C26" s="162">
        <f>'Cash Flow'!P28</f>
        <v>5289.5324125285515</v>
      </c>
    </row>
    <row r="27" spans="2:3" x14ac:dyDescent="0.2">
      <c r="B27" s="8" t="s">
        <v>123</v>
      </c>
      <c r="C27" s="162">
        <f>'Cash Flow'!Q7-'Cash Flow'!P7</f>
        <v>164.86821107484229</v>
      </c>
    </row>
    <row r="28" spans="2:3" x14ac:dyDescent="0.2">
      <c r="B28" s="8" t="s">
        <v>137</v>
      </c>
      <c r="C28" s="162">
        <f>'Cash Flow'!Q8-'Cash Flow'!P8</f>
        <v>457.42207716191933</v>
      </c>
    </row>
    <row r="29" spans="2:3" x14ac:dyDescent="0.2">
      <c r="B29" s="8" t="s">
        <v>265</v>
      </c>
      <c r="C29" s="162">
        <f>'Cash Flow'!Q14-'Cash Flow'!P14</f>
        <v>42.028386830027557</v>
      </c>
    </row>
    <row r="30" spans="2:3" x14ac:dyDescent="0.2">
      <c r="B30" s="8" t="s">
        <v>81</v>
      </c>
      <c r="C30" s="162">
        <f>'Cash Flow'!Q16-'Cash Flow'!P16</f>
        <v>-53.052419961120904</v>
      </c>
    </row>
    <row r="31" spans="2:3" x14ac:dyDescent="0.2">
      <c r="B31" s="8" t="s">
        <v>266</v>
      </c>
      <c r="C31" s="162">
        <f>'Cash Flow'!Q17-'Cash Flow'!P17+'Cash Flow'!Q18-'Cash Flow'!P18+'Cash Flow'!Q22-'Cash Flow'!P22+'Cash Flow'!Q23-'Cash Flow'!P23+'Cash Flow'!Q24-'Cash Flow'!P24+'Cash Flow'!Q25-'Cash Flow'!P25</f>
        <v>-186.1940184197199</v>
      </c>
    </row>
    <row r="32" spans="2:3" x14ac:dyDescent="0.2">
      <c r="B32" s="8" t="s">
        <v>368</v>
      </c>
      <c r="C32" s="162">
        <f>'Cash Flow'!Q28</f>
        <v>5714.6046492145015</v>
      </c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63B0-147D-49D4-BAB2-0102D6E24226}">
  <dimension ref="A1:C14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190"/>
      <c r="B1" s="2" t="s">
        <v>303</v>
      </c>
    </row>
    <row r="8" spans="1:3" x14ac:dyDescent="0.2">
      <c r="B8" s="8" t="s">
        <v>264</v>
      </c>
      <c r="C8" s="162">
        <f>'Cash Flow'!G28</f>
        <v>2582.3819999999992</v>
      </c>
    </row>
    <row r="9" spans="1:3" x14ac:dyDescent="0.2">
      <c r="B9" s="8" t="s">
        <v>123</v>
      </c>
      <c r="C9" s="162">
        <f>'Cash Flow'!H7-'Cash Flow'!G7</f>
        <v>1970.8320776866731</v>
      </c>
    </row>
    <row r="10" spans="1:3" x14ac:dyDescent="0.2">
      <c r="B10" s="8" t="s">
        <v>137</v>
      </c>
      <c r="C10" s="162">
        <f>'Cash Flow'!H8-'Cash Flow'!G8</f>
        <v>-862.787199707529</v>
      </c>
    </row>
    <row r="11" spans="1:3" x14ac:dyDescent="0.2">
      <c r="B11" s="8" t="s">
        <v>265</v>
      </c>
      <c r="C11" s="162">
        <f>'Cash Flow'!H14-'Cash Flow'!G14</f>
        <v>-1054.609157650335</v>
      </c>
    </row>
    <row r="12" spans="1:3" x14ac:dyDescent="0.2">
      <c r="B12" s="8" t="s">
        <v>81</v>
      </c>
      <c r="C12" s="162">
        <f>'Cash Flow'!H16-'Cash Flow'!G16</f>
        <v>-1296.2050029247102</v>
      </c>
    </row>
    <row r="13" spans="1:3" x14ac:dyDescent="0.2">
      <c r="B13" s="8" t="s">
        <v>266</v>
      </c>
      <c r="C13" s="162">
        <f>'Cash Flow'!H17-'Cash Flow'!G17+'Cash Flow'!H18-'Cash Flow'!G18+'Cash Flow'!H22-'Cash Flow'!G22+'Cash Flow'!H23-'Cash Flow'!G23+'Cash Flow'!H24-'Cash Flow'!G24+'Cash Flow'!H25-'Cash Flow'!G25+'Cash Flow'!H26-'Cash Flow'!G26</f>
        <v>1575.0546212489576</v>
      </c>
    </row>
    <row r="14" spans="1:3" x14ac:dyDescent="0.2">
      <c r="B14" s="8" t="s">
        <v>369</v>
      </c>
      <c r="C14" s="162">
        <f>'Cash Flow'!H28</f>
        <v>2914.6673386530556</v>
      </c>
    </row>
  </sheetData>
  <pageMargins left="0.7" right="0.7" top="0.75" bottom="0.75" header="0.3" footer="0.3"/>
  <pageSetup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FB41-806E-43D0-9B12-F237AF5BE0EB}">
  <dimension ref="A1:C16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190"/>
      <c r="B1" s="2" t="s">
        <v>367</v>
      </c>
    </row>
    <row r="3" spans="1:3" ht="12" x14ac:dyDescent="0.25">
      <c r="B3" s="196" t="s">
        <v>310</v>
      </c>
      <c r="C3" s="162">
        <f>'P&amp;L'!F14</f>
        <v>-976.09099999999944</v>
      </c>
    </row>
    <row r="4" spans="1:3" x14ac:dyDescent="0.2">
      <c r="B4" s="25" t="s">
        <v>304</v>
      </c>
      <c r="C4" s="162">
        <f>'P&amp;L'!G5-'P&amp;L'!F5</f>
        <v>3116.732</v>
      </c>
    </row>
    <row r="5" spans="1:3" ht="22.8" x14ac:dyDescent="0.2">
      <c r="B5" s="197" t="s">
        <v>306</v>
      </c>
      <c r="C5" s="162">
        <f>'P&amp;L'!G6-'P&amp;L'!F6</f>
        <v>-3089.7530000000006</v>
      </c>
    </row>
    <row r="6" spans="1:3" ht="22.8" x14ac:dyDescent="0.2">
      <c r="B6" s="197" t="s">
        <v>307</v>
      </c>
      <c r="C6" s="162">
        <f>'P&amp;L'!G8-'P&amp;L'!F8</f>
        <v>292.09400000000005</v>
      </c>
    </row>
    <row r="7" spans="1:3" ht="22.8" x14ac:dyDescent="0.2">
      <c r="B7" s="197" t="s">
        <v>308</v>
      </c>
      <c r="C7" s="162">
        <f>'P&amp;L'!G10-'P&amp;L'!F10</f>
        <v>20.672000000000025</v>
      </c>
    </row>
    <row r="8" spans="1:3" x14ac:dyDescent="0.2">
      <c r="B8" s="25" t="s">
        <v>305</v>
      </c>
      <c r="C8" s="162">
        <f>'P&amp;L'!G12-'P&amp;L'!F12</f>
        <v>-52.162999999999997</v>
      </c>
    </row>
    <row r="9" spans="1:3" ht="22.8" x14ac:dyDescent="0.2">
      <c r="B9" s="197" t="s">
        <v>309</v>
      </c>
      <c r="C9" s="162">
        <f>'P&amp;L'!G13-'P&amp;L'!F13</f>
        <v>-173.49099999999999</v>
      </c>
    </row>
    <row r="10" spans="1:3" ht="12" x14ac:dyDescent="0.25">
      <c r="B10" s="196" t="s">
        <v>311</v>
      </c>
      <c r="C10" s="162">
        <f>'P&amp;L'!G14</f>
        <v>-862</v>
      </c>
    </row>
    <row r="11" spans="1:3" x14ac:dyDescent="0.2">
      <c r="B11" s="25" t="s">
        <v>304</v>
      </c>
      <c r="C11" s="162">
        <f>'P&amp;L'!H5-'P&amp;L'!G5</f>
        <v>13074.429714333332</v>
      </c>
    </row>
    <row r="12" spans="1:3" ht="22.8" x14ac:dyDescent="0.2">
      <c r="B12" s="197" t="s">
        <v>306</v>
      </c>
      <c r="C12" s="162">
        <f>'P&amp;L'!H6-'P&amp;L'!G6</f>
        <v>-9728.0220106688721</v>
      </c>
    </row>
    <row r="13" spans="1:3" ht="22.8" x14ac:dyDescent="0.2">
      <c r="B13" s="197" t="s">
        <v>307</v>
      </c>
      <c r="C13" s="162">
        <f>'P&amp;L'!H8-'P&amp;L'!G8</f>
        <v>-1009.2658331749999</v>
      </c>
    </row>
    <row r="14" spans="1:3" ht="22.8" x14ac:dyDescent="0.2">
      <c r="B14" s="197" t="s">
        <v>308</v>
      </c>
      <c r="C14" s="162">
        <f>'P&amp;L'!H10-'P&amp;L'!G10</f>
        <v>92.945839999999976</v>
      </c>
    </row>
    <row r="15" spans="1:3" x14ac:dyDescent="0.2">
      <c r="B15" s="25" t="s">
        <v>305</v>
      </c>
      <c r="C15" s="162">
        <f>'P&amp;L'!H12-'P&amp;L'!G12</f>
        <v>-260.66841920278648</v>
      </c>
    </row>
    <row r="16" spans="1:3" ht="12" x14ac:dyDescent="0.25">
      <c r="B16" s="196" t="s">
        <v>363</v>
      </c>
      <c r="C16" s="162">
        <f>'P&amp;L'!H14</f>
        <v>1394.4192912866729</v>
      </c>
    </row>
  </sheetData>
  <pageMargins left="0.7" right="0.7" top="0.75" bottom="0.75" header="0.3" footer="0.3"/>
  <pageSetup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4C42-E73B-4608-8B01-88995DABF4B7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F665-D816-4A68-8A3C-34859DE4CC7E}">
  <dimension ref="A1:S27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5" width="6.5546875" style="8" bestFit="1" customWidth="1"/>
    <col min="6" max="7" width="7.5546875" style="8" bestFit="1" customWidth="1"/>
    <col min="8" max="10" width="10.44140625" style="8" bestFit="1" customWidth="1"/>
    <col min="11" max="17" width="9.109375" style="8"/>
    <col min="18" max="18" width="2" style="8" customWidth="1"/>
    <col min="19" max="16384" width="9.109375" style="8"/>
  </cols>
  <sheetData>
    <row r="1" spans="1:19" ht="15.6" x14ac:dyDescent="0.25">
      <c r="A1" s="190"/>
      <c r="B1" s="2" t="s">
        <v>291</v>
      </c>
    </row>
    <row r="3" spans="1:19" ht="12" x14ac:dyDescent="0.25">
      <c r="C3" s="236" t="s">
        <v>206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9" ht="27" customHeight="1" x14ac:dyDescent="0.25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  <c r="S4" s="6" t="s">
        <v>285</v>
      </c>
    </row>
    <row r="5" spans="1:19" x14ac:dyDescent="0.25">
      <c r="B5" s="8" t="s">
        <v>166</v>
      </c>
      <c r="C5" s="83">
        <f>'Revenue automotive'!C5</f>
        <v>0</v>
      </c>
      <c r="D5" s="83">
        <f>'Revenue automotive'!D5</f>
        <v>0</v>
      </c>
      <c r="E5" s="83">
        <f>'Revenue automotive'!E5</f>
        <v>88.268788561549911</v>
      </c>
      <c r="F5" s="150">
        <f>'Revenue automotive'!F5</f>
        <v>8136.4830442748871</v>
      </c>
      <c r="G5" s="150">
        <f>'Revenue automotive'!G5</f>
        <v>14705.599268864924</v>
      </c>
      <c r="H5" s="84">
        <f>'Revenue automotive'!H5</f>
        <v>26065.82029333333</v>
      </c>
      <c r="I5" s="84">
        <f>'Revenue automotive'!I5</f>
        <v>28672.402322666669</v>
      </c>
      <c r="J5" s="84">
        <f>'Revenue automotive'!J5</f>
        <v>31539.64255493334</v>
      </c>
      <c r="K5" s="84">
        <f>'Revenue automotive'!K5</f>
        <v>34062.813959328007</v>
      </c>
      <c r="L5" s="84">
        <f>'Revenue automotive'!L5</f>
        <v>36787.839076074248</v>
      </c>
      <c r="M5" s="84">
        <f>'Revenue automotive'!M5</f>
        <v>38259.352639117227</v>
      </c>
      <c r="N5" s="84">
        <f>'Revenue automotive'!N5</f>
        <v>39789.72674468191</v>
      </c>
      <c r="O5" s="84">
        <f>'Revenue automotive'!O5</f>
        <v>41381.315814469192</v>
      </c>
      <c r="P5" s="84">
        <f>'Revenue automotive'!P5</f>
        <v>43036.568447047961</v>
      </c>
      <c r="Q5" s="84">
        <f>'Revenue automotive'!Q5</f>
        <v>44758.031184929881</v>
      </c>
      <c r="S5" s="93" t="s">
        <v>286</v>
      </c>
    </row>
    <row r="6" spans="1:19" x14ac:dyDescent="0.25">
      <c r="B6" s="8" t="s">
        <v>172</v>
      </c>
      <c r="C6" s="83">
        <f>'Revenue automotive'!C6</f>
        <v>3740.973</v>
      </c>
      <c r="D6" s="83">
        <f>'Revenue automotive'!D6</f>
        <v>6350.7659999999996</v>
      </c>
      <c r="E6" s="83">
        <f>'Revenue automotive'!E6</f>
        <v>9553.0312114384506</v>
      </c>
      <c r="F6" s="150">
        <f>'Revenue automotive'!F6</f>
        <v>10378.49995572511</v>
      </c>
      <c r="G6" s="150">
        <f>'Revenue automotive'!G6</f>
        <v>6115.4007311350751</v>
      </c>
      <c r="H6" s="84">
        <f>'Revenue automotive'!H6</f>
        <v>7045.7454210000005</v>
      </c>
      <c r="I6" s="84">
        <f>'Revenue automotive'!I6</f>
        <v>7327.575237840002</v>
      </c>
      <c r="J6" s="84">
        <f>'Revenue automotive'!J6</f>
        <v>7620.6782473536014</v>
      </c>
      <c r="K6" s="84">
        <f>'Revenue automotive'!K6</f>
        <v>7925.5053772477468</v>
      </c>
      <c r="L6" s="84">
        <f>'Revenue automotive'!L6</f>
        <v>8242.5255923376553</v>
      </c>
      <c r="M6" s="84">
        <f>'Revenue automotive'!M6</f>
        <v>8572.2266160311628</v>
      </c>
      <c r="N6" s="84">
        <f>'Revenue automotive'!N6</f>
        <v>8915.1156806724084</v>
      </c>
      <c r="O6" s="84">
        <f>'Revenue automotive'!O6</f>
        <v>9271.720307899308</v>
      </c>
      <c r="P6" s="84">
        <f>'Revenue automotive'!P6</f>
        <v>9642.5891202152779</v>
      </c>
      <c r="Q6" s="84">
        <f>'Revenue automotive'!Q6</f>
        <v>10028.292685023891</v>
      </c>
      <c r="S6" s="93" t="s">
        <v>286</v>
      </c>
    </row>
    <row r="7" spans="1:19" x14ac:dyDescent="0.25">
      <c r="B7" s="8" t="s">
        <v>167</v>
      </c>
      <c r="C7" s="83">
        <f>'Revenue automotive'!C7</f>
        <v>0</v>
      </c>
      <c r="D7" s="83">
        <f>'Revenue automotive'!D7</f>
        <v>0</v>
      </c>
      <c r="E7" s="83">
        <f>'Revenue automotive'!E7</f>
        <v>0</v>
      </c>
      <c r="F7" s="83">
        <f>'Revenue automotive'!F7</f>
        <v>0</v>
      </c>
      <c r="G7" s="83">
        <f>'Revenue automotive'!G7</f>
        <v>0</v>
      </c>
      <c r="H7" s="84">
        <f>'Revenue automotive'!H7</f>
        <v>107.604</v>
      </c>
      <c r="I7" s="84">
        <f>'Revenue automotive'!I7</f>
        <v>8909.3549999999996</v>
      </c>
      <c r="J7" s="84">
        <f>'Revenue automotive'!J7</f>
        <v>18349.715</v>
      </c>
      <c r="K7" s="84">
        <f>'Revenue automotive'!K7</f>
        <v>29359.544000000002</v>
      </c>
      <c r="L7" s="84">
        <f>'Revenue automotive'!L7</f>
        <v>32295.4984</v>
      </c>
      <c r="M7" s="84">
        <f>'Revenue automotive'!M7</f>
        <v>35525.048240000011</v>
      </c>
      <c r="N7" s="84">
        <f>'Revenue automotive'!N7</f>
        <v>38367.052099200009</v>
      </c>
      <c r="O7" s="84">
        <f>'Revenue automotive'!O7</f>
        <v>41436.41626713601</v>
      </c>
      <c r="P7" s="84">
        <f>'Revenue automotive'!P7</f>
        <v>43093.872917821456</v>
      </c>
      <c r="Q7" s="84">
        <f>'Revenue automotive'!Q7</f>
        <v>44817.627834534316</v>
      </c>
      <c r="S7" s="93" t="s">
        <v>286</v>
      </c>
    </row>
    <row r="8" spans="1:19" x14ac:dyDescent="0.25">
      <c r="B8" s="8" t="s">
        <v>169</v>
      </c>
      <c r="C8" s="83">
        <f>'Revenue automotive'!C8</f>
        <v>0</v>
      </c>
      <c r="D8" s="83">
        <f>'Revenue automotive'!D8</f>
        <v>0</v>
      </c>
      <c r="E8" s="83">
        <f>'Revenue automotive'!E8</f>
        <v>0</v>
      </c>
      <c r="F8" s="83">
        <f>'Revenue automotive'!F8</f>
        <v>0</v>
      </c>
      <c r="G8" s="83">
        <f>'Revenue automotive'!G8</f>
        <v>0</v>
      </c>
      <c r="H8" s="84">
        <f>'Revenue automotive'!H8</f>
        <v>0</v>
      </c>
      <c r="I8" s="84">
        <f>'Revenue automotive'!I8</f>
        <v>0</v>
      </c>
      <c r="J8" s="84">
        <f>'Revenue automotive'!J8</f>
        <v>112.5</v>
      </c>
      <c r="K8" s="84">
        <f>'Revenue automotive'!K8</f>
        <v>225</v>
      </c>
      <c r="L8" s="84">
        <f>'Revenue automotive'!L8</f>
        <v>337.5</v>
      </c>
      <c r="M8" s="84">
        <f>'Revenue automotive'!M8</f>
        <v>371.25000000000006</v>
      </c>
      <c r="N8" s="84">
        <f>'Revenue automotive'!N8</f>
        <v>408.37500000000011</v>
      </c>
      <c r="O8" s="84">
        <f>'Revenue automotive'!O8</f>
        <v>441.04500000000019</v>
      </c>
      <c r="P8" s="84">
        <f>'Revenue automotive'!P8</f>
        <v>476.32860000000022</v>
      </c>
      <c r="Q8" s="84">
        <f>'Revenue automotive'!Q8</f>
        <v>495.38174400000025</v>
      </c>
      <c r="S8" s="93" t="s">
        <v>286</v>
      </c>
    </row>
    <row r="9" spans="1:19" x14ac:dyDescent="0.25">
      <c r="B9" s="8" t="s">
        <v>168</v>
      </c>
      <c r="C9" s="83">
        <f>'Revenue automotive'!C9</f>
        <v>0</v>
      </c>
      <c r="D9" s="83">
        <f>'Revenue automotive'!D9</f>
        <v>0</v>
      </c>
      <c r="E9" s="83">
        <f>'Revenue automotive'!E9</f>
        <v>0</v>
      </c>
      <c r="F9" s="83">
        <f>'Revenue automotive'!F9</f>
        <v>0</v>
      </c>
      <c r="G9" s="83">
        <f>'Revenue automotive'!G9</f>
        <v>0</v>
      </c>
      <c r="H9" s="84">
        <f>'Revenue automotive'!H9</f>
        <v>0</v>
      </c>
      <c r="I9" s="84">
        <f>'Revenue automotive'!I9</f>
        <v>14.6</v>
      </c>
      <c r="J9" s="84">
        <f>'Revenue automotive'!J9</f>
        <v>1208.8452380952383</v>
      </c>
      <c r="K9" s="84">
        <f>'Revenue automotive'!K9</f>
        <v>2489.73866213152</v>
      </c>
      <c r="L9" s="84">
        <f>'Revenue automotive'!L9</f>
        <v>3983.5818594104317</v>
      </c>
      <c r="M9" s="84">
        <f>'Revenue automotive'!M9</f>
        <v>4381.9400453514754</v>
      </c>
      <c r="N9" s="84">
        <f>'Revenue automotive'!N9</f>
        <v>4820.134049886623</v>
      </c>
      <c r="O9" s="84">
        <f>'Revenue automotive'!O9</f>
        <v>5205.7447738775536</v>
      </c>
      <c r="P9" s="84">
        <f>'Revenue automotive'!P9</f>
        <v>5622.2043557877587</v>
      </c>
      <c r="Q9" s="84">
        <f>'Revenue automotive'!Q9</f>
        <v>5847.0925300192694</v>
      </c>
      <c r="S9" s="93" t="s">
        <v>287</v>
      </c>
    </row>
    <row r="10" spans="1:19" x14ac:dyDescent="0.25">
      <c r="B10" s="8" t="s">
        <v>165</v>
      </c>
      <c r="C10" s="83">
        <f>'Revenue automotive'!C10</f>
        <v>0</v>
      </c>
      <c r="D10" s="83">
        <f>'Revenue automotive'!D10</f>
        <v>0</v>
      </c>
      <c r="E10" s="83">
        <f>'Revenue automotive'!E10</f>
        <v>0</v>
      </c>
      <c r="F10" s="83">
        <f>'Revenue automotive'!F10</f>
        <v>0</v>
      </c>
      <c r="G10" s="83">
        <f>'Revenue automotive'!G10</f>
        <v>0</v>
      </c>
      <c r="H10" s="84">
        <f>'Revenue automotive'!H10</f>
        <v>0</v>
      </c>
      <c r="I10" s="84">
        <f>'Revenue automotive'!I10</f>
        <v>43.75</v>
      </c>
      <c r="J10" s="84">
        <f>'Revenue automotive'!J10</f>
        <v>3622.3958333333335</v>
      </c>
      <c r="K10" s="84">
        <f>'Revenue automotive'!K10</f>
        <v>7460.6894841269859</v>
      </c>
      <c r="L10" s="84">
        <f>'Revenue automotive'!L10</f>
        <v>11937.103174603179</v>
      </c>
      <c r="M10" s="84">
        <f>'Revenue automotive'!M10</f>
        <v>13130.813492063495</v>
      </c>
      <c r="N10" s="84">
        <f>'Revenue automotive'!N10</f>
        <v>14443.894841269848</v>
      </c>
      <c r="O10" s="84">
        <f>'Revenue automotive'!O10</f>
        <v>15599.406428571436</v>
      </c>
      <c r="P10" s="84">
        <f>'Revenue automotive'!P10</f>
        <v>16847.358942857154</v>
      </c>
      <c r="Q10" s="84">
        <f>'Revenue automotive'!Q10</f>
        <v>17521.253300571443</v>
      </c>
      <c r="S10" s="93" t="s">
        <v>288</v>
      </c>
    </row>
    <row r="11" spans="1:19" ht="12.6" thickBot="1" x14ac:dyDescent="0.3">
      <c r="B11" s="108" t="s">
        <v>68</v>
      </c>
      <c r="C11" s="114">
        <f>SUM(C5:C10)</f>
        <v>3740.973</v>
      </c>
      <c r="D11" s="114">
        <f t="shared" ref="D11:Q11" si="0">SUM(D5:D10)</f>
        <v>6350.7659999999996</v>
      </c>
      <c r="E11" s="114">
        <f t="shared" si="0"/>
        <v>9641.3000000000011</v>
      </c>
      <c r="F11" s="114">
        <f>'P&amp;L Input'!F4/1000</f>
        <v>18514.983</v>
      </c>
      <c r="G11" s="114">
        <f>'P&amp;L Input'!G4/1000</f>
        <v>20821</v>
      </c>
      <c r="H11" s="114">
        <f t="shared" si="0"/>
        <v>33219.169714333329</v>
      </c>
      <c r="I11" s="114">
        <f t="shared" si="0"/>
        <v>44967.682560506662</v>
      </c>
      <c r="J11" s="114">
        <f t="shared" si="0"/>
        <v>62453.77687371552</v>
      </c>
      <c r="K11" s="114">
        <f t="shared" si="0"/>
        <v>81523.291482834262</v>
      </c>
      <c r="L11" s="114">
        <f t="shared" si="0"/>
        <v>93584.048102425513</v>
      </c>
      <c r="M11" s="114">
        <f t="shared" si="0"/>
        <v>100240.63103256337</v>
      </c>
      <c r="N11" s="114">
        <f t="shared" si="0"/>
        <v>106744.2984157108</v>
      </c>
      <c r="O11" s="114">
        <f t="shared" si="0"/>
        <v>113335.6485919535</v>
      </c>
      <c r="P11" s="114">
        <f t="shared" si="0"/>
        <v>118718.9223837296</v>
      </c>
      <c r="Q11" s="114">
        <f t="shared" si="0"/>
        <v>123467.67927907882</v>
      </c>
    </row>
    <row r="12" spans="1:19" x14ac:dyDescent="0.2">
      <c r="C12" s="162"/>
    </row>
    <row r="13" spans="1:19" ht="13.2" x14ac:dyDescent="0.25">
      <c r="B13" s="1"/>
    </row>
    <row r="14" spans="1:19" ht="13.2" x14ac:dyDescent="0.25">
      <c r="B14" s="1"/>
    </row>
    <row r="21" spans="3:3" x14ac:dyDescent="0.2">
      <c r="C21" s="162"/>
    </row>
    <row r="22" spans="3:3" x14ac:dyDescent="0.2">
      <c r="C22" s="162"/>
    </row>
    <row r="23" spans="3:3" x14ac:dyDescent="0.2">
      <c r="C23" s="162"/>
    </row>
    <row r="24" spans="3:3" x14ac:dyDescent="0.2">
      <c r="C24" s="162"/>
    </row>
    <row r="25" spans="3:3" x14ac:dyDescent="0.2">
      <c r="C25" s="162"/>
    </row>
    <row r="26" spans="3:3" x14ac:dyDescent="0.2">
      <c r="C26" s="162"/>
    </row>
    <row r="27" spans="3:3" x14ac:dyDescent="0.2">
      <c r="C27" s="162"/>
    </row>
  </sheetData>
  <mergeCells count="1">
    <mergeCell ref="C3:Q3"/>
  </mergeCells>
  <pageMargins left="0.7" right="0.7" top="0.75" bottom="0.75" header="0.3" footer="0.3"/>
  <pageSetup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6311-EAA7-408C-8FF7-DE61FB3BF95F}">
  <dimension ref="A1:S32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5" width="6.5546875" style="8" bestFit="1" customWidth="1"/>
    <col min="6" max="7" width="7.5546875" style="8" bestFit="1" customWidth="1"/>
    <col min="8" max="10" width="10.44140625" style="8" bestFit="1" customWidth="1"/>
    <col min="11" max="17" width="9.109375" style="8"/>
    <col min="18" max="18" width="2" style="8" customWidth="1"/>
    <col min="19" max="16384" width="9.109375" style="8"/>
  </cols>
  <sheetData>
    <row r="1" spans="1:19" ht="15.6" x14ac:dyDescent="0.25">
      <c r="A1" s="190"/>
      <c r="B1" s="2" t="s">
        <v>284</v>
      </c>
    </row>
    <row r="3" spans="1:19" ht="12" x14ac:dyDescent="0.25">
      <c r="C3" s="236" t="s">
        <v>206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9" ht="27" customHeight="1" x14ac:dyDescent="0.25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  <c r="S4" s="6" t="s">
        <v>285</v>
      </c>
    </row>
    <row r="5" spans="1:19" x14ac:dyDescent="0.25">
      <c r="B5" s="8" t="s">
        <v>166</v>
      </c>
      <c r="C5" s="83">
        <f>'Revenue automotive'!C5</f>
        <v>0</v>
      </c>
      <c r="D5" s="83">
        <f>'Revenue automotive'!D5</f>
        <v>0</v>
      </c>
      <c r="E5" s="83">
        <f>'Revenue automotive'!E5</f>
        <v>88.268788561549911</v>
      </c>
      <c r="F5" s="150">
        <f>'Revenue automotive'!F5</f>
        <v>8136.4830442748871</v>
      </c>
      <c r="G5" s="150">
        <f>'Revenue automotive'!G5</f>
        <v>14705.599268864924</v>
      </c>
      <c r="H5" s="84">
        <f>'Revenue automotive'!H5</f>
        <v>26065.82029333333</v>
      </c>
      <c r="I5" s="84">
        <f>'Revenue automotive'!I5</f>
        <v>28672.402322666669</v>
      </c>
      <c r="J5" s="84">
        <f>'Revenue automotive'!J5</f>
        <v>31539.64255493334</v>
      </c>
      <c r="K5" s="84">
        <f>'Revenue automotive'!K5</f>
        <v>34062.813959328007</v>
      </c>
      <c r="L5" s="84">
        <f>'Revenue automotive'!L5</f>
        <v>36787.839076074248</v>
      </c>
      <c r="M5" s="84">
        <f>'Revenue automotive'!M5</f>
        <v>38259.352639117227</v>
      </c>
      <c r="N5" s="84">
        <f>'Revenue automotive'!N5</f>
        <v>39789.72674468191</v>
      </c>
      <c r="O5" s="84">
        <f>'Revenue automotive'!O5</f>
        <v>41381.315814469192</v>
      </c>
      <c r="P5" s="84">
        <f>'Revenue automotive'!P5</f>
        <v>43036.568447047961</v>
      </c>
      <c r="Q5" s="84">
        <f>'Revenue automotive'!Q5</f>
        <v>44758.031184929881</v>
      </c>
      <c r="S5" s="93" t="s">
        <v>286</v>
      </c>
    </row>
    <row r="6" spans="1:19" x14ac:dyDescent="0.25">
      <c r="B6" s="8" t="s">
        <v>172</v>
      </c>
      <c r="C6" s="83">
        <f>'Revenue automotive'!C6</f>
        <v>3740.973</v>
      </c>
      <c r="D6" s="83">
        <f>'Revenue automotive'!D6</f>
        <v>6350.7659999999996</v>
      </c>
      <c r="E6" s="83">
        <f>'Revenue automotive'!E6</f>
        <v>9553.0312114384506</v>
      </c>
      <c r="F6" s="150">
        <f>'Revenue automotive'!F6</f>
        <v>10378.49995572511</v>
      </c>
      <c r="G6" s="150">
        <f>'Revenue automotive'!G6</f>
        <v>6115.4007311350751</v>
      </c>
      <c r="H6" s="84">
        <f>'Revenue automotive'!H6</f>
        <v>7045.7454210000005</v>
      </c>
      <c r="I6" s="84">
        <f>'Revenue automotive'!I6</f>
        <v>7327.575237840002</v>
      </c>
      <c r="J6" s="84">
        <f>'Revenue automotive'!J6</f>
        <v>7620.6782473536014</v>
      </c>
      <c r="K6" s="84">
        <f>'Revenue automotive'!K6</f>
        <v>7925.5053772477468</v>
      </c>
      <c r="L6" s="84">
        <f>'Revenue automotive'!L6</f>
        <v>8242.5255923376553</v>
      </c>
      <c r="M6" s="84">
        <f>'Revenue automotive'!M6</f>
        <v>8572.2266160311628</v>
      </c>
      <c r="N6" s="84">
        <f>'Revenue automotive'!N6</f>
        <v>8915.1156806724084</v>
      </c>
      <c r="O6" s="84">
        <f>'Revenue automotive'!O6</f>
        <v>9271.720307899308</v>
      </c>
      <c r="P6" s="84">
        <f>'Revenue automotive'!P6</f>
        <v>9642.5891202152779</v>
      </c>
      <c r="Q6" s="84">
        <f>'Revenue automotive'!Q6</f>
        <v>10028.292685023891</v>
      </c>
      <c r="S6" s="93" t="s">
        <v>286</v>
      </c>
    </row>
    <row r="7" spans="1:19" x14ac:dyDescent="0.25">
      <c r="B7" s="8" t="s">
        <v>167</v>
      </c>
      <c r="C7" s="83">
        <f>'Revenue automotive'!C7</f>
        <v>0</v>
      </c>
      <c r="D7" s="83">
        <f>'Revenue automotive'!D7</f>
        <v>0</v>
      </c>
      <c r="E7" s="83">
        <f>'Revenue automotive'!E7</f>
        <v>0</v>
      </c>
      <c r="F7" s="83">
        <f>'Revenue automotive'!F7</f>
        <v>0</v>
      </c>
      <c r="G7" s="83">
        <f>'Revenue automotive'!G7</f>
        <v>0</v>
      </c>
      <c r="H7" s="84">
        <f>'Revenue automotive'!H7</f>
        <v>107.604</v>
      </c>
      <c r="I7" s="84">
        <f>'Revenue automotive'!I7</f>
        <v>8909.3549999999996</v>
      </c>
      <c r="J7" s="84">
        <f>'Revenue automotive'!J7</f>
        <v>18349.715</v>
      </c>
      <c r="K7" s="84">
        <f>'Revenue automotive'!K7</f>
        <v>29359.544000000002</v>
      </c>
      <c r="L7" s="84">
        <f>'Revenue automotive'!L7</f>
        <v>32295.4984</v>
      </c>
      <c r="M7" s="84">
        <f>'Revenue automotive'!M7</f>
        <v>35525.048240000011</v>
      </c>
      <c r="N7" s="84">
        <f>'Revenue automotive'!N7</f>
        <v>38367.052099200009</v>
      </c>
      <c r="O7" s="84">
        <f>'Revenue automotive'!O7</f>
        <v>41436.41626713601</v>
      </c>
      <c r="P7" s="84">
        <f>'Revenue automotive'!P7</f>
        <v>43093.872917821456</v>
      </c>
      <c r="Q7" s="84">
        <f>'Revenue automotive'!Q7</f>
        <v>44817.627834534316</v>
      </c>
      <c r="S7" s="93" t="s">
        <v>286</v>
      </c>
    </row>
    <row r="8" spans="1:19" x14ac:dyDescent="0.25">
      <c r="B8" s="8" t="s">
        <v>169</v>
      </c>
      <c r="C8" s="83">
        <f>'Revenue automotive'!C8</f>
        <v>0</v>
      </c>
      <c r="D8" s="83">
        <f>'Revenue automotive'!D8</f>
        <v>0</v>
      </c>
      <c r="E8" s="83">
        <f>'Revenue automotive'!E8</f>
        <v>0</v>
      </c>
      <c r="F8" s="83">
        <f>'Revenue automotive'!F8</f>
        <v>0</v>
      </c>
      <c r="G8" s="83">
        <f>'Revenue automotive'!G8</f>
        <v>0</v>
      </c>
      <c r="H8" s="84">
        <f>'Revenue automotive'!H8</f>
        <v>0</v>
      </c>
      <c r="I8" s="84">
        <f>'Revenue automotive'!I8</f>
        <v>0</v>
      </c>
      <c r="J8" s="84">
        <f>'Revenue automotive'!J8</f>
        <v>112.5</v>
      </c>
      <c r="K8" s="84">
        <f>'Revenue automotive'!K8</f>
        <v>225</v>
      </c>
      <c r="L8" s="84">
        <f>'Revenue automotive'!L8</f>
        <v>337.5</v>
      </c>
      <c r="M8" s="84">
        <f>'Revenue automotive'!M8</f>
        <v>371.25000000000006</v>
      </c>
      <c r="N8" s="84">
        <f>'Revenue automotive'!N8</f>
        <v>408.37500000000011</v>
      </c>
      <c r="O8" s="84">
        <f>'Revenue automotive'!O8</f>
        <v>441.04500000000019</v>
      </c>
      <c r="P8" s="84">
        <f>'Revenue automotive'!P8</f>
        <v>476.32860000000022</v>
      </c>
      <c r="Q8" s="84">
        <f>'Revenue automotive'!Q8</f>
        <v>495.38174400000025</v>
      </c>
      <c r="S8" s="93" t="s">
        <v>286</v>
      </c>
    </row>
    <row r="9" spans="1:19" x14ac:dyDescent="0.25">
      <c r="B9" s="8" t="s">
        <v>168</v>
      </c>
      <c r="C9" s="83">
        <f>'Revenue automotive'!C9</f>
        <v>0</v>
      </c>
      <c r="D9" s="83">
        <f>'Revenue automotive'!D9</f>
        <v>0</v>
      </c>
      <c r="E9" s="83">
        <f>'Revenue automotive'!E9</f>
        <v>0</v>
      </c>
      <c r="F9" s="83">
        <f>'Revenue automotive'!F9</f>
        <v>0</v>
      </c>
      <c r="G9" s="83">
        <f>'Revenue automotive'!G9</f>
        <v>0</v>
      </c>
      <c r="H9" s="84">
        <f>'Revenue automotive'!H9</f>
        <v>0</v>
      </c>
      <c r="I9" s="84">
        <f>'Revenue automotive'!I9</f>
        <v>14.6</v>
      </c>
      <c r="J9" s="84">
        <f>'Revenue automotive'!J9</f>
        <v>1208.8452380952383</v>
      </c>
      <c r="K9" s="84">
        <f>'Revenue automotive'!K9</f>
        <v>2489.73866213152</v>
      </c>
      <c r="L9" s="84">
        <f>'Revenue automotive'!L9</f>
        <v>3983.5818594104317</v>
      </c>
      <c r="M9" s="84">
        <f>'Revenue automotive'!M9</f>
        <v>4381.9400453514754</v>
      </c>
      <c r="N9" s="84">
        <f>'Revenue automotive'!N9</f>
        <v>4820.134049886623</v>
      </c>
      <c r="O9" s="84">
        <f>'Revenue automotive'!O9</f>
        <v>5205.7447738775536</v>
      </c>
      <c r="P9" s="84">
        <f>'Revenue automotive'!P9</f>
        <v>5622.2043557877587</v>
      </c>
      <c r="Q9" s="84">
        <f>'Revenue automotive'!Q9</f>
        <v>5847.0925300192694</v>
      </c>
      <c r="S9" s="93" t="s">
        <v>287</v>
      </c>
    </row>
    <row r="10" spans="1:19" x14ac:dyDescent="0.25">
      <c r="B10" s="8" t="s">
        <v>165</v>
      </c>
      <c r="C10" s="83">
        <f>'Revenue automotive'!C10</f>
        <v>0</v>
      </c>
      <c r="D10" s="83">
        <f>'Revenue automotive'!D10</f>
        <v>0</v>
      </c>
      <c r="E10" s="83">
        <f>'Revenue automotive'!E10</f>
        <v>0</v>
      </c>
      <c r="F10" s="83">
        <f>'Revenue automotive'!F10</f>
        <v>0</v>
      </c>
      <c r="G10" s="83">
        <f>'Revenue automotive'!G10</f>
        <v>0</v>
      </c>
      <c r="H10" s="84">
        <f>'Revenue automotive'!H10</f>
        <v>0</v>
      </c>
      <c r="I10" s="84">
        <f>'Revenue automotive'!I10</f>
        <v>43.75</v>
      </c>
      <c r="J10" s="84">
        <f>'Revenue automotive'!J10</f>
        <v>3622.3958333333335</v>
      </c>
      <c r="K10" s="84">
        <f>'Revenue automotive'!K10</f>
        <v>7460.6894841269859</v>
      </c>
      <c r="L10" s="84">
        <f>'Revenue automotive'!L10</f>
        <v>11937.103174603179</v>
      </c>
      <c r="M10" s="84">
        <f>'Revenue automotive'!M10</f>
        <v>13130.813492063495</v>
      </c>
      <c r="N10" s="84">
        <f>'Revenue automotive'!N10</f>
        <v>14443.894841269848</v>
      </c>
      <c r="O10" s="84">
        <f>'Revenue automotive'!O10</f>
        <v>15599.406428571436</v>
      </c>
      <c r="P10" s="84">
        <f>'Revenue automotive'!P10</f>
        <v>16847.358942857154</v>
      </c>
      <c r="Q10" s="84">
        <f>'Revenue automotive'!Q10</f>
        <v>17521.253300571443</v>
      </c>
      <c r="S10" s="93" t="s">
        <v>288</v>
      </c>
    </row>
    <row r="11" spans="1:19" ht="12.6" thickBot="1" x14ac:dyDescent="0.3">
      <c r="B11" s="108" t="s">
        <v>68</v>
      </c>
      <c r="C11" s="114">
        <f>SUM(C5:C10)</f>
        <v>3740.973</v>
      </c>
      <c r="D11" s="114">
        <f t="shared" ref="D11:Q11" si="0">SUM(D5:D10)</f>
        <v>6350.7659999999996</v>
      </c>
      <c r="E11" s="114">
        <f t="shared" si="0"/>
        <v>9641.3000000000011</v>
      </c>
      <c r="F11" s="114">
        <f>'P&amp;L Input'!F4/1000</f>
        <v>18514.983</v>
      </c>
      <c r="G11" s="114">
        <f>'P&amp;L Input'!G4/1000</f>
        <v>20821</v>
      </c>
      <c r="H11" s="114">
        <f t="shared" si="0"/>
        <v>33219.169714333329</v>
      </c>
      <c r="I11" s="114">
        <f t="shared" si="0"/>
        <v>44967.682560506662</v>
      </c>
      <c r="J11" s="114">
        <f t="shared" si="0"/>
        <v>62453.77687371552</v>
      </c>
      <c r="K11" s="114">
        <f t="shared" si="0"/>
        <v>81523.291482834262</v>
      </c>
      <c r="L11" s="114">
        <f t="shared" si="0"/>
        <v>93584.048102425513</v>
      </c>
      <c r="M11" s="114">
        <f t="shared" si="0"/>
        <v>100240.63103256337</v>
      </c>
      <c r="N11" s="114">
        <f t="shared" si="0"/>
        <v>106744.2984157108</v>
      </c>
      <c r="O11" s="114">
        <f t="shared" si="0"/>
        <v>113335.6485919535</v>
      </c>
      <c r="P11" s="114">
        <f t="shared" si="0"/>
        <v>118718.9223837296</v>
      </c>
      <c r="Q11" s="114">
        <f t="shared" si="0"/>
        <v>123467.67927907882</v>
      </c>
    </row>
    <row r="12" spans="1:19" x14ac:dyDescent="0.2">
      <c r="C12" s="162"/>
    </row>
    <row r="13" spans="1:19" ht="24" x14ac:dyDescent="0.25">
      <c r="B13" s="6"/>
      <c r="C13" s="6" t="s">
        <v>46</v>
      </c>
      <c r="D13" s="6" t="s">
        <v>47</v>
      </c>
      <c r="E13" s="6" t="s">
        <v>157</v>
      </c>
      <c r="F13" s="6" t="s">
        <v>329</v>
      </c>
      <c r="G13" s="6" t="s">
        <v>328</v>
      </c>
      <c r="H13" s="92" t="s">
        <v>175</v>
      </c>
      <c r="I13" s="92" t="s">
        <v>176</v>
      </c>
      <c r="J13" s="92" t="s">
        <v>177</v>
      </c>
      <c r="K13" s="92" t="s">
        <v>178</v>
      </c>
      <c r="L13" s="92" t="s">
        <v>253</v>
      </c>
      <c r="M13" s="92" t="s">
        <v>254</v>
      </c>
      <c r="N13" s="92" t="s">
        <v>255</v>
      </c>
      <c r="O13" s="92" t="s">
        <v>256</v>
      </c>
      <c r="P13" s="92" t="s">
        <v>257</v>
      </c>
      <c r="Q13" s="92" t="s">
        <v>333</v>
      </c>
    </row>
    <row r="14" spans="1:19" x14ac:dyDescent="0.2">
      <c r="B14" s="8" t="s">
        <v>286</v>
      </c>
      <c r="C14" s="162"/>
      <c r="H14" s="84">
        <f t="shared" ref="H14:Q16" si="1">SUMIF($S$5:$S$10,$B14,H$5:H$10)</f>
        <v>33219.169714333329</v>
      </c>
      <c r="I14" s="84">
        <f t="shared" si="1"/>
        <v>44909.332560506664</v>
      </c>
      <c r="J14" s="84">
        <f t="shared" si="1"/>
        <v>57622.535802286948</v>
      </c>
      <c r="K14" s="84">
        <f t="shared" si="1"/>
        <v>71572.863336575756</v>
      </c>
      <c r="L14" s="84">
        <f t="shared" si="1"/>
        <v>77663.363068411898</v>
      </c>
      <c r="M14" s="84">
        <f t="shared" si="1"/>
        <v>82727.877495148394</v>
      </c>
      <c r="N14" s="84">
        <f t="shared" si="1"/>
        <v>87480.269524554329</v>
      </c>
      <c r="O14" s="84">
        <f t="shared" si="1"/>
        <v>92530.497389504511</v>
      </c>
      <c r="P14" s="84">
        <f t="shared" si="1"/>
        <v>96249.359085084681</v>
      </c>
      <c r="Q14" s="84">
        <f t="shared" si="1"/>
        <v>100099.33344848809</v>
      </c>
    </row>
    <row r="15" spans="1:19" x14ac:dyDescent="0.25">
      <c r="B15" s="8" t="s">
        <v>287</v>
      </c>
      <c r="H15" s="84">
        <f t="shared" si="1"/>
        <v>0</v>
      </c>
      <c r="I15" s="84">
        <f t="shared" si="1"/>
        <v>14.6</v>
      </c>
      <c r="J15" s="84">
        <f t="shared" si="1"/>
        <v>1208.8452380952383</v>
      </c>
      <c r="K15" s="84">
        <f t="shared" si="1"/>
        <v>2489.73866213152</v>
      </c>
      <c r="L15" s="84">
        <f t="shared" si="1"/>
        <v>3983.5818594104317</v>
      </c>
      <c r="M15" s="84">
        <f t="shared" si="1"/>
        <v>4381.9400453514754</v>
      </c>
      <c r="N15" s="84">
        <f t="shared" si="1"/>
        <v>4820.134049886623</v>
      </c>
      <c r="O15" s="84">
        <f t="shared" si="1"/>
        <v>5205.7447738775536</v>
      </c>
      <c r="P15" s="84">
        <f t="shared" si="1"/>
        <v>5622.2043557877587</v>
      </c>
      <c r="Q15" s="84">
        <f t="shared" si="1"/>
        <v>5847.0925300192694</v>
      </c>
    </row>
    <row r="16" spans="1:19" x14ac:dyDescent="0.25">
      <c r="B16" s="8" t="s">
        <v>288</v>
      </c>
      <c r="H16" s="84">
        <f t="shared" si="1"/>
        <v>0</v>
      </c>
      <c r="I16" s="84">
        <f t="shared" si="1"/>
        <v>43.75</v>
      </c>
      <c r="J16" s="84">
        <f t="shared" si="1"/>
        <v>3622.3958333333335</v>
      </c>
      <c r="K16" s="84">
        <f t="shared" si="1"/>
        <v>7460.6894841269859</v>
      </c>
      <c r="L16" s="84">
        <f t="shared" si="1"/>
        <v>11937.103174603179</v>
      </c>
      <c r="M16" s="84">
        <f t="shared" si="1"/>
        <v>13130.813492063495</v>
      </c>
      <c r="N16" s="84">
        <f t="shared" si="1"/>
        <v>14443.894841269848</v>
      </c>
      <c r="O16" s="84">
        <f t="shared" si="1"/>
        <v>15599.406428571436</v>
      </c>
      <c r="P16" s="84">
        <f t="shared" si="1"/>
        <v>16847.358942857154</v>
      </c>
      <c r="Q16" s="84">
        <f t="shared" si="1"/>
        <v>17521.253300571443</v>
      </c>
    </row>
    <row r="17" spans="2:17" ht="12.6" thickBot="1" x14ac:dyDescent="0.3">
      <c r="B17" s="108" t="s">
        <v>68</v>
      </c>
      <c r="C17" s="114"/>
      <c r="D17" s="114"/>
      <c r="E17" s="114"/>
      <c r="F17" s="114"/>
      <c r="G17" s="114"/>
      <c r="H17" s="114">
        <f t="shared" ref="H17:Q17" si="2">SUM(H14:H16)</f>
        <v>33219.169714333329</v>
      </c>
      <c r="I17" s="114">
        <f t="shared" si="2"/>
        <v>44967.682560506662</v>
      </c>
      <c r="J17" s="114">
        <f t="shared" si="2"/>
        <v>62453.77687371552</v>
      </c>
      <c r="K17" s="114">
        <f t="shared" si="2"/>
        <v>81523.291482834262</v>
      </c>
      <c r="L17" s="114">
        <f t="shared" si="2"/>
        <v>93584.048102425513</v>
      </c>
      <c r="M17" s="114">
        <f t="shared" si="2"/>
        <v>100240.63103256337</v>
      </c>
      <c r="N17" s="114">
        <f t="shared" si="2"/>
        <v>106744.2984157108</v>
      </c>
      <c r="O17" s="114">
        <f t="shared" si="2"/>
        <v>113335.6485919535</v>
      </c>
      <c r="P17" s="114">
        <f t="shared" si="2"/>
        <v>118718.9223837296</v>
      </c>
      <c r="Q17" s="114">
        <f t="shared" si="2"/>
        <v>123467.67927907882</v>
      </c>
    </row>
    <row r="18" spans="2:17" ht="13.2" x14ac:dyDescent="0.25">
      <c r="B18" s="1"/>
    </row>
    <row r="19" spans="2:17" ht="13.2" x14ac:dyDescent="0.25">
      <c r="B19" s="1"/>
    </row>
    <row r="26" spans="2:17" x14ac:dyDescent="0.2">
      <c r="C26" s="162"/>
    </row>
    <row r="27" spans="2:17" x14ac:dyDescent="0.2">
      <c r="C27" s="162"/>
    </row>
    <row r="28" spans="2:17" x14ac:dyDescent="0.2">
      <c r="C28" s="162"/>
    </row>
    <row r="29" spans="2:17" x14ac:dyDescent="0.2">
      <c r="C29" s="162"/>
    </row>
    <row r="30" spans="2:17" x14ac:dyDescent="0.2">
      <c r="C30" s="162"/>
    </row>
    <row r="31" spans="2:17" x14ac:dyDescent="0.2">
      <c r="C31" s="162"/>
    </row>
    <row r="32" spans="2:17" x14ac:dyDescent="0.2">
      <c r="C32" s="162"/>
    </row>
  </sheetData>
  <mergeCells count="1">
    <mergeCell ref="C3:Q3"/>
  </mergeCells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61EF-C59E-4207-A5A7-4E145A079BEC}">
  <dimension ref="A1:Q24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5" width="7.33203125" style="8" bestFit="1" customWidth="1"/>
    <col min="6" max="6" width="8.109375" style="8" bestFit="1" customWidth="1"/>
    <col min="7" max="7" width="7.5546875" style="8" bestFit="1" customWidth="1"/>
    <col min="8" max="10" width="10.5546875" style="8" bestFit="1" customWidth="1"/>
    <col min="11" max="17" width="9.33203125" style="8" bestFit="1" customWidth="1"/>
    <col min="18" max="18" width="2" style="8" customWidth="1"/>
    <col min="19" max="16384" width="9.109375" style="8"/>
  </cols>
  <sheetData>
    <row r="1" spans="1:17" ht="15.6" x14ac:dyDescent="0.25">
      <c r="A1" s="190"/>
      <c r="B1" s="2" t="s">
        <v>284</v>
      </c>
    </row>
    <row r="3" spans="1:17" x14ac:dyDescent="0.2">
      <c r="C3" s="162"/>
    </row>
    <row r="4" spans="1:17" ht="24" x14ac:dyDescent="0.25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">
      <c r="B5" s="8" t="s">
        <v>289</v>
      </c>
      <c r="C5" s="162">
        <f>'P&amp;L'!C5</f>
        <v>4046.0250000000001</v>
      </c>
      <c r="D5" s="63">
        <f>'P&amp;L'!D5</f>
        <v>7000.1319999999996</v>
      </c>
      <c r="E5" s="63">
        <f>'P&amp;L'!E5</f>
        <v>11758.751</v>
      </c>
      <c r="F5" s="63">
        <f>'P&amp;L'!F5</f>
        <v>21461.268</v>
      </c>
      <c r="G5" s="63">
        <f>'P&amp;L'!G5</f>
        <v>24578</v>
      </c>
      <c r="H5" s="193">
        <f>'P&amp;L'!H5</f>
        <v>37652.429714333332</v>
      </c>
      <c r="I5" s="193">
        <f>'P&amp;L'!I5</f>
        <v>49932.933760506661</v>
      </c>
      <c r="J5" s="193">
        <f>'P&amp;L'!J5</f>
        <v>67816.248169715516</v>
      </c>
      <c r="K5" s="193">
        <f>'P&amp;L'!K5</f>
        <v>87207.51105659426</v>
      </c>
      <c r="L5" s="193">
        <f>'P&amp;L'!L5</f>
        <v>99609.320850611111</v>
      </c>
      <c r="M5" s="193">
        <f>'P&amp;L'!M5</f>
        <v>106627.42014564011</v>
      </c>
      <c r="N5" s="193">
        <f>'P&amp;L'!N5</f>
        <v>113514.29487557214</v>
      </c>
      <c r="O5" s="193">
        <f>'P&amp;L'!O5</f>
        <v>120511.84483940653</v>
      </c>
      <c r="P5" s="193">
        <f>'P&amp;L'!P5</f>
        <v>126325.69040602981</v>
      </c>
      <c r="Q5" s="193">
        <f>'P&amp;L'!Q5</f>
        <v>131530.85338271703</v>
      </c>
    </row>
    <row r="6" spans="1:17" x14ac:dyDescent="0.25">
      <c r="B6" s="175" t="s">
        <v>207</v>
      </c>
      <c r="C6" s="194">
        <f t="shared" ref="C6:Q6" si="0">C8/C5</f>
        <v>0.22824945471172328</v>
      </c>
      <c r="D6" s="194">
        <f t="shared" si="0"/>
        <v>0.22846097759299391</v>
      </c>
      <c r="E6" s="194">
        <f t="shared" si="0"/>
        <v>0.18900706376042839</v>
      </c>
      <c r="F6" s="194">
        <f t="shared" si="0"/>
        <v>0.18834026954977687</v>
      </c>
      <c r="G6" s="194">
        <f t="shared" si="0"/>
        <v>0.1655545609895028</v>
      </c>
      <c r="H6" s="195">
        <f t="shared" si="0"/>
        <v>0.19694367030028875</v>
      </c>
      <c r="I6" s="195">
        <f t="shared" si="0"/>
        <v>0.18922705544775781</v>
      </c>
      <c r="J6" s="195">
        <f t="shared" si="0"/>
        <v>0.18566772986814825</v>
      </c>
      <c r="K6" s="195">
        <f t="shared" si="0"/>
        <v>0.1831400350366344</v>
      </c>
      <c r="L6" s="195">
        <f t="shared" si="0"/>
        <v>0.18370110938254045</v>
      </c>
      <c r="M6" s="195">
        <f t="shared" si="0"/>
        <v>0.18310929236280324</v>
      </c>
      <c r="N6" s="195">
        <f t="shared" si="0"/>
        <v>0.18269004457555291</v>
      </c>
      <c r="O6" s="195">
        <f t="shared" si="0"/>
        <v>0.1822364779504218</v>
      </c>
      <c r="P6" s="195">
        <f t="shared" si="0"/>
        <v>0.18212139128866495</v>
      </c>
      <c r="Q6" s="195">
        <f t="shared" si="0"/>
        <v>0.18191074030605481</v>
      </c>
    </row>
    <row r="7" spans="1:17" x14ac:dyDescent="0.25">
      <c r="B7" s="175" t="s">
        <v>290</v>
      </c>
      <c r="C7" s="194">
        <f t="shared" ref="C7:Q7" si="1">C9/C5</f>
        <v>-0.17711927138364195</v>
      </c>
      <c r="D7" s="194">
        <f t="shared" si="1"/>
        <v>-9.5332488015940367E-2</v>
      </c>
      <c r="E7" s="194">
        <f t="shared" si="1"/>
        <v>-0.13879756446921945</v>
      </c>
      <c r="F7" s="194">
        <f t="shared" si="1"/>
        <v>-1.8082482358451488E-2</v>
      </c>
      <c r="G7" s="194">
        <f t="shared" si="1"/>
        <v>-2.8073887216209618E-3</v>
      </c>
      <c r="H7" s="195">
        <f t="shared" si="1"/>
        <v>6.0238924491665277E-2</v>
      </c>
      <c r="I7" s="195">
        <f t="shared" si="1"/>
        <v>5.2522309639134332E-2</v>
      </c>
      <c r="J7" s="195">
        <f t="shared" si="1"/>
        <v>4.8962984059524761E-2</v>
      </c>
      <c r="K7" s="195">
        <f t="shared" si="1"/>
        <v>4.6435289228010893E-2</v>
      </c>
      <c r="L7" s="195">
        <f t="shared" si="1"/>
        <v>4.6996363573916955E-2</v>
      </c>
      <c r="M7" s="195">
        <f t="shared" si="1"/>
        <v>4.6404546554179756E-2</v>
      </c>
      <c r="N7" s="195">
        <f t="shared" si="1"/>
        <v>4.5985298766929417E-2</v>
      </c>
      <c r="O7" s="195">
        <f t="shared" si="1"/>
        <v>4.5531732141798328E-2</v>
      </c>
      <c r="P7" s="195">
        <f t="shared" si="1"/>
        <v>4.541664548004145E-2</v>
      </c>
      <c r="Q7" s="195">
        <f t="shared" si="1"/>
        <v>4.5205994497431304E-2</v>
      </c>
    </row>
    <row r="8" spans="1:17" x14ac:dyDescent="0.2">
      <c r="B8" s="8" t="s">
        <v>76</v>
      </c>
      <c r="C8" s="162">
        <f>'P&amp;L'!C7</f>
        <v>923.50300000000016</v>
      </c>
      <c r="D8" s="63">
        <f>'P&amp;L'!D7</f>
        <v>1599.2569999999996</v>
      </c>
      <c r="E8" s="63">
        <f>'P&amp;L'!E7</f>
        <v>2222.487000000001</v>
      </c>
      <c r="F8" s="63">
        <f>'P&amp;L'!F7</f>
        <v>4042.0210000000006</v>
      </c>
      <c r="G8" s="63">
        <f>'P&amp;L'!G7</f>
        <v>4069</v>
      </c>
      <c r="H8" s="193">
        <f>'P&amp;L'!H7</f>
        <v>7415.4077036644594</v>
      </c>
      <c r="I8" s="193">
        <f>'P&amp;L'!I7</f>
        <v>9448.6620253686124</v>
      </c>
      <c r="J8" s="193">
        <f>'P&amp;L'!J7</f>
        <v>12591.288845846044</v>
      </c>
      <c r="K8" s="193">
        <f>'P&amp;L'!K7</f>
        <v>15971.186630362354</v>
      </c>
      <c r="L8" s="193">
        <f>'P&amp;L'!L7</f>
        <v>18298.342745098678</v>
      </c>
      <c r="M8" s="193">
        <f>'P&amp;L'!M7</f>
        <v>19524.471449339471</v>
      </c>
      <c r="N8" s="193">
        <f>'P&amp;L'!N7</f>
        <v>20737.931590780732</v>
      </c>
      <c r="O8" s="193">
        <f>'P&amp;L'!O7</f>
        <v>21961.654154841162</v>
      </c>
      <c r="P8" s="193">
        <f>'P&amp;L'!P7</f>
        <v>23006.610492247302</v>
      </c>
      <c r="Q8" s="193">
        <f>'P&amp;L'!Q7</f>
        <v>23926.874911937208</v>
      </c>
    </row>
    <row r="9" spans="1:17" x14ac:dyDescent="0.2">
      <c r="B9" s="8" t="s">
        <v>43</v>
      </c>
      <c r="C9" s="162">
        <f>'P&amp;L'!C9</f>
        <v>-716.62899999999991</v>
      </c>
      <c r="D9" s="162">
        <f>'P&amp;L'!D9</f>
        <v>-667.3400000000006</v>
      </c>
      <c r="E9" s="162">
        <f>'P&amp;L'!E9</f>
        <v>-1632.0859999999989</v>
      </c>
      <c r="F9" s="162">
        <f>'P&amp;L'!F9</f>
        <v>-388.07299999999941</v>
      </c>
      <c r="G9" s="8">
        <f>'P&amp;L'!G9</f>
        <v>-69</v>
      </c>
      <c r="H9" s="84">
        <f>'P&amp;L'!H9</f>
        <v>2268.1418704894595</v>
      </c>
      <c r="I9" s="84">
        <f>'P&amp;L'!I9</f>
        <v>2622.5930081597153</v>
      </c>
      <c r="J9" s="84">
        <f>'P&amp;L'!J9</f>
        <v>3320.4858781105559</v>
      </c>
      <c r="K9" s="84">
        <f>'P&amp;L'!K9</f>
        <v>4049.5059987679124</v>
      </c>
      <c r="L9" s="84">
        <f>'P&amp;L'!L9</f>
        <v>4681.2758580462669</v>
      </c>
      <c r="M9" s="84">
        <f>'P&amp;L'!M9</f>
        <v>4947.9970821004408</v>
      </c>
      <c r="N9" s="84">
        <f>'P&amp;L'!N9</f>
        <v>5219.98876417051</v>
      </c>
      <c r="O9" s="84">
        <f>'P&amp;L'!O9</f>
        <v>5487.1130391418192</v>
      </c>
      <c r="P9" s="84">
        <f>'P&amp;L'!P9</f>
        <v>5737.2890961921294</v>
      </c>
      <c r="Q9" s="84">
        <f>'P&amp;L'!Q9</f>
        <v>5945.9830342615496</v>
      </c>
    </row>
    <row r="10" spans="1:17" ht="13.2" x14ac:dyDescent="0.25">
      <c r="B10" s="1"/>
    </row>
    <row r="11" spans="1:17" ht="13.2" x14ac:dyDescent="0.25">
      <c r="B11" s="1"/>
    </row>
    <row r="18" spans="3:3" x14ac:dyDescent="0.2">
      <c r="C18" s="162"/>
    </row>
    <row r="19" spans="3:3" x14ac:dyDescent="0.2">
      <c r="C19" s="162"/>
    </row>
    <row r="20" spans="3:3" x14ac:dyDescent="0.2">
      <c r="C20" s="162"/>
    </row>
    <row r="21" spans="3:3" x14ac:dyDescent="0.2">
      <c r="C21" s="162"/>
    </row>
    <row r="22" spans="3:3" x14ac:dyDescent="0.2">
      <c r="C22" s="162"/>
    </row>
    <row r="23" spans="3:3" x14ac:dyDescent="0.2">
      <c r="C23" s="162"/>
    </row>
    <row r="24" spans="3:3" x14ac:dyDescent="0.2">
      <c r="C24" s="16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6" width="12.88671875" style="8" bestFit="1" customWidth="1"/>
    <col min="7" max="7" width="14" style="8" bestFit="1" customWidth="1"/>
    <col min="8" max="8" width="9.109375" style="8"/>
    <col min="9" max="10" width="10.33203125" style="8" bestFit="1" customWidth="1"/>
    <col min="11" max="16384" width="9.109375" style="8"/>
  </cols>
  <sheetData>
    <row r="1" spans="2:8" ht="15.6" x14ac:dyDescent="0.25">
      <c r="B1" s="2" t="s">
        <v>160</v>
      </c>
    </row>
    <row r="3" spans="2:8" ht="24" x14ac:dyDescent="0.25">
      <c r="B3" s="5" t="s">
        <v>37</v>
      </c>
      <c r="C3" s="62" t="s">
        <v>48</v>
      </c>
      <c r="D3" s="62" t="s">
        <v>49</v>
      </c>
      <c r="E3" s="62" t="s">
        <v>159</v>
      </c>
      <c r="F3" s="62" t="s">
        <v>331</v>
      </c>
      <c r="G3" s="62" t="s">
        <v>380</v>
      </c>
    </row>
    <row r="4" spans="2:8" x14ac:dyDescent="0.25">
      <c r="B4" s="8" t="s">
        <v>7</v>
      </c>
      <c r="C4" s="78">
        <v>1196908</v>
      </c>
      <c r="D4" s="78">
        <v>3393216</v>
      </c>
      <c r="E4" s="78">
        <v>3367914</v>
      </c>
      <c r="F4" s="78">
        <v>3685618</v>
      </c>
      <c r="G4" s="78">
        <v>6268000</v>
      </c>
      <c r="H4" s="83"/>
    </row>
    <row r="5" spans="2:8" x14ac:dyDescent="0.25">
      <c r="B5" s="8" t="s">
        <v>39</v>
      </c>
      <c r="C5" s="78">
        <v>22628</v>
      </c>
      <c r="D5" s="78">
        <v>105519</v>
      </c>
      <c r="E5" s="78">
        <v>155323</v>
      </c>
      <c r="F5" s="78">
        <v>192551</v>
      </c>
      <c r="G5" s="78">
        <v>246000</v>
      </c>
      <c r="H5" s="83"/>
    </row>
    <row r="6" spans="2:8" x14ac:dyDescent="0.25">
      <c r="B6" s="8" t="s">
        <v>8</v>
      </c>
      <c r="C6" s="78">
        <v>168965</v>
      </c>
      <c r="D6" s="78">
        <v>499142</v>
      </c>
      <c r="E6" s="78">
        <v>515381</v>
      </c>
      <c r="F6" s="78">
        <v>949022</v>
      </c>
      <c r="G6" s="78">
        <v>1324000</v>
      </c>
      <c r="H6" s="83"/>
    </row>
    <row r="7" spans="2:8" x14ac:dyDescent="0.25">
      <c r="B7" s="8" t="s">
        <v>9</v>
      </c>
      <c r="C7" s="78">
        <v>1277838</v>
      </c>
      <c r="D7" s="78">
        <v>2067454</v>
      </c>
      <c r="E7" s="78">
        <v>2263537</v>
      </c>
      <c r="F7" s="78">
        <v>3113446</v>
      </c>
      <c r="G7" s="78">
        <v>3552000</v>
      </c>
      <c r="H7" s="83"/>
    </row>
    <row r="8" spans="2:8" x14ac:dyDescent="0.25">
      <c r="B8" s="8" t="s">
        <v>10</v>
      </c>
      <c r="C8" s="78">
        <v>115667</v>
      </c>
      <c r="D8" s="78">
        <v>194465</v>
      </c>
      <c r="E8" s="78">
        <v>268365</v>
      </c>
      <c r="F8" s="78">
        <v>365671</v>
      </c>
      <c r="G8" s="78">
        <v>713000</v>
      </c>
      <c r="H8" s="83"/>
    </row>
    <row r="9" spans="2:8" ht="12" x14ac:dyDescent="0.25">
      <c r="B9" s="9" t="s">
        <v>11</v>
      </c>
      <c r="C9" s="79">
        <f>SUM(C4:C8)</f>
        <v>2782006</v>
      </c>
      <c r="D9" s="79">
        <f>SUM(D4:D8)</f>
        <v>6259796</v>
      </c>
      <c r="E9" s="79">
        <f>SUM(E4:E8)</f>
        <v>6570520</v>
      </c>
      <c r="F9" s="79">
        <f>SUM(F4:F8)</f>
        <v>8306308</v>
      </c>
      <c r="G9" s="79">
        <f>SUM(G4:G8)</f>
        <v>12103000</v>
      </c>
      <c r="H9" s="83"/>
    </row>
    <row r="10" spans="2:8" x14ac:dyDescent="0.25">
      <c r="B10" s="8" t="s">
        <v>12</v>
      </c>
      <c r="C10" s="78">
        <v>1791403</v>
      </c>
      <c r="D10" s="78">
        <v>3134080</v>
      </c>
      <c r="E10" s="78">
        <v>4116604</v>
      </c>
      <c r="F10" s="78">
        <v>2089758</v>
      </c>
      <c r="G10" s="78">
        <v>2447000</v>
      </c>
      <c r="H10" s="83"/>
    </row>
    <row r="11" spans="2:8" x14ac:dyDescent="0.25">
      <c r="B11" s="8" t="s">
        <v>13</v>
      </c>
      <c r="C11" s="78">
        <v>0</v>
      </c>
      <c r="D11" s="78">
        <v>5919880</v>
      </c>
      <c r="E11" s="78">
        <v>6347490</v>
      </c>
      <c r="F11" s="78">
        <v>6271396</v>
      </c>
      <c r="G11" s="78">
        <v>6138000</v>
      </c>
      <c r="H11" s="83"/>
    </row>
    <row r="12" spans="2:8" x14ac:dyDescent="0.25">
      <c r="B12" s="8" t="s">
        <v>14</v>
      </c>
      <c r="C12" s="78">
        <v>3403334</v>
      </c>
      <c r="D12" s="78">
        <v>5982957</v>
      </c>
      <c r="E12" s="78">
        <v>10027522</v>
      </c>
      <c r="F12" s="78">
        <v>11330077</v>
      </c>
      <c r="G12" s="78">
        <v>10396000</v>
      </c>
      <c r="H12" s="83"/>
    </row>
    <row r="13" spans="2:8" x14ac:dyDescent="0.25">
      <c r="B13" s="8" t="s">
        <v>332</v>
      </c>
      <c r="C13" s="78">
        <v>0</v>
      </c>
      <c r="D13" s="78">
        <v>0</v>
      </c>
      <c r="E13" s="78">
        <v>0</v>
      </c>
      <c r="F13" s="78">
        <v>0</v>
      </c>
      <c r="G13" s="78">
        <v>1218000</v>
      </c>
      <c r="H13" s="83"/>
    </row>
    <row r="14" spans="2:8" x14ac:dyDescent="0.25">
      <c r="B14" s="8" t="s">
        <v>15</v>
      </c>
      <c r="C14" s="78">
        <v>12816</v>
      </c>
      <c r="D14" s="78">
        <v>376145</v>
      </c>
      <c r="E14" s="78">
        <v>361502</v>
      </c>
      <c r="F14" s="78">
        <v>282492</v>
      </c>
      <c r="G14" s="78">
        <v>339000</v>
      </c>
      <c r="H14" s="83"/>
    </row>
    <row r="15" spans="2:8" x14ac:dyDescent="0.25">
      <c r="B15" s="8" t="s">
        <v>16</v>
      </c>
      <c r="C15" s="78">
        <v>0</v>
      </c>
      <c r="D15" s="78">
        <v>506302</v>
      </c>
      <c r="E15" s="78">
        <f>456652+60237</f>
        <v>516889</v>
      </c>
      <c r="F15" s="78">
        <v>489707</v>
      </c>
      <c r="G15" s="78">
        <v>591000</v>
      </c>
      <c r="H15" s="83"/>
    </row>
    <row r="16" spans="2:8" x14ac:dyDescent="0.25">
      <c r="B16" s="8" t="s">
        <v>17</v>
      </c>
      <c r="C16" s="78">
        <v>31522</v>
      </c>
      <c r="D16" s="78">
        <v>268165</v>
      </c>
      <c r="E16" s="78">
        <v>441722</v>
      </c>
      <c r="F16" s="78">
        <v>398219</v>
      </c>
      <c r="G16" s="78">
        <v>269000</v>
      </c>
      <c r="H16" s="83"/>
    </row>
    <row r="17" spans="2:8" x14ac:dyDescent="0.25">
      <c r="B17" s="8" t="s">
        <v>18</v>
      </c>
      <c r="C17" s="78">
        <v>46858</v>
      </c>
      <c r="D17" s="78">
        <v>216751</v>
      </c>
      <c r="E17" s="78">
        <v>273123</v>
      </c>
      <c r="F17" s="78">
        <v>571657</v>
      </c>
      <c r="G17" s="78">
        <v>808000</v>
      </c>
      <c r="H17" s="83"/>
    </row>
    <row r="18" spans="2:8" ht="12.6" thickBot="1" x14ac:dyDescent="0.3">
      <c r="B18" s="10" t="s">
        <v>19</v>
      </c>
      <c r="C18" s="80">
        <f>SUM(C9:C17)</f>
        <v>8067939</v>
      </c>
      <c r="D18" s="80">
        <f>SUM(D9:D17)</f>
        <v>22664076</v>
      </c>
      <c r="E18" s="80">
        <f>SUM(E9:E17)</f>
        <v>28655372</v>
      </c>
      <c r="F18" s="80">
        <f>SUM(F9:F17)</f>
        <v>29739614</v>
      </c>
      <c r="G18" s="80">
        <f>SUM(G9:G17)</f>
        <v>34309000</v>
      </c>
      <c r="H18" s="83"/>
    </row>
    <row r="19" spans="2:8" x14ac:dyDescent="0.25">
      <c r="B19" s="8" t="s">
        <v>20</v>
      </c>
      <c r="C19" s="78">
        <v>916148</v>
      </c>
      <c r="D19" s="78">
        <v>1860341</v>
      </c>
      <c r="E19" s="78">
        <v>2390250</v>
      </c>
      <c r="F19" s="78">
        <v>3404451</v>
      </c>
      <c r="G19" s="78">
        <v>3771000</v>
      </c>
      <c r="H19" s="83"/>
    </row>
    <row r="20" spans="2:8" x14ac:dyDescent="0.25">
      <c r="B20" s="8" t="s">
        <v>38</v>
      </c>
      <c r="C20" s="78">
        <v>422798</v>
      </c>
      <c r="D20" s="78">
        <v>1210028</v>
      </c>
      <c r="E20" s="78">
        <v>1731366</v>
      </c>
      <c r="F20" s="78">
        <v>2094253</v>
      </c>
      <c r="G20" s="78">
        <v>2905000</v>
      </c>
      <c r="H20" s="83"/>
    </row>
    <row r="21" spans="2:8" x14ac:dyDescent="0.25">
      <c r="B21" s="8" t="s">
        <v>21</v>
      </c>
      <c r="C21" s="78">
        <v>423961</v>
      </c>
      <c r="D21" s="78">
        <v>763126</v>
      </c>
      <c r="E21" s="78">
        <v>1015253</v>
      </c>
      <c r="F21" s="78">
        <v>630292</v>
      </c>
      <c r="G21" s="78">
        <v>1163000</v>
      </c>
      <c r="H21" s="83"/>
    </row>
    <row r="22" spans="2:8" x14ac:dyDescent="0.25">
      <c r="B22" s="8" t="s">
        <v>22</v>
      </c>
      <c r="C22" s="78">
        <v>136831</v>
      </c>
      <c r="D22" s="78">
        <v>179504</v>
      </c>
      <c r="E22" s="78">
        <v>787333</v>
      </c>
      <c r="F22" s="78">
        <v>502840</v>
      </c>
      <c r="G22" s="78">
        <v>317000</v>
      </c>
      <c r="H22" s="83"/>
    </row>
    <row r="23" spans="2:8" x14ac:dyDescent="0.25">
      <c r="B23" s="8" t="s">
        <v>23</v>
      </c>
      <c r="C23" s="78">
        <v>283370</v>
      </c>
      <c r="D23" s="78">
        <v>663859</v>
      </c>
      <c r="E23" s="78">
        <v>853919</v>
      </c>
      <c r="F23" s="78">
        <v>792601</v>
      </c>
      <c r="G23" s="78">
        <v>726000</v>
      </c>
      <c r="H23" s="83"/>
    </row>
    <row r="24" spans="2:8" x14ac:dyDescent="0.25">
      <c r="B24" s="8" t="s">
        <v>24</v>
      </c>
      <c r="C24" s="78">
        <v>627927</v>
      </c>
      <c r="D24" s="78">
        <v>984211</v>
      </c>
      <c r="E24" s="78">
        <v>796549</v>
      </c>
      <c r="F24" s="78">
        <v>2567699</v>
      </c>
      <c r="G24" s="78">
        <v>1785000</v>
      </c>
      <c r="H24" s="83"/>
    </row>
    <row r="25" spans="2:8" x14ac:dyDescent="0.25">
      <c r="B25" s="8" t="s">
        <v>25</v>
      </c>
      <c r="C25" s="78"/>
      <c r="D25" s="78"/>
      <c r="E25" s="72"/>
      <c r="F25" s="78"/>
      <c r="G25" s="72"/>
      <c r="H25" s="83"/>
    </row>
    <row r="26" spans="2:8" x14ac:dyDescent="0.25">
      <c r="B26" s="8" t="s">
        <v>26</v>
      </c>
      <c r="C26" s="78">
        <v>0</v>
      </c>
      <c r="D26" s="78">
        <v>165936</v>
      </c>
      <c r="E26" s="78">
        <v>100000</v>
      </c>
      <c r="F26" s="78">
        <v>0</v>
      </c>
      <c r="G26" s="78">
        <v>0</v>
      </c>
      <c r="H26" s="83"/>
    </row>
    <row r="27" spans="2:8" ht="12" x14ac:dyDescent="0.25">
      <c r="B27" s="9" t="s">
        <v>27</v>
      </c>
      <c r="C27" s="79">
        <v>2811035</v>
      </c>
      <c r="D27" s="79">
        <v>5827005</v>
      </c>
      <c r="E27" s="79">
        <f>SUM(E19:E26)</f>
        <v>7674670</v>
      </c>
      <c r="F27" s="79">
        <f>SUM(F19:F26)</f>
        <v>9992136</v>
      </c>
      <c r="G27" s="79">
        <f>SUM(G19:G26)</f>
        <v>10667000</v>
      </c>
      <c r="H27" s="83"/>
    </row>
    <row r="28" spans="2:8" x14ac:dyDescent="0.25">
      <c r="B28" s="8" t="s">
        <v>28</v>
      </c>
      <c r="C28" s="78"/>
      <c r="D28" s="78"/>
      <c r="E28" s="78"/>
      <c r="F28" s="78"/>
      <c r="G28" s="78"/>
      <c r="H28" s="83"/>
    </row>
    <row r="29" spans="2:8" x14ac:dyDescent="0.25">
      <c r="B29" s="8" t="s">
        <v>16</v>
      </c>
      <c r="C29" s="78">
        <v>2021093</v>
      </c>
      <c r="D29" s="78">
        <v>5860049</v>
      </c>
      <c r="E29" s="78">
        <v>9415700</v>
      </c>
      <c r="F29" s="78">
        <v>9403672</v>
      </c>
      <c r="G29" s="78">
        <v>11634000</v>
      </c>
      <c r="H29" s="83"/>
    </row>
    <row r="30" spans="2:8" x14ac:dyDescent="0.25">
      <c r="B30" s="8" t="s">
        <v>65</v>
      </c>
      <c r="C30" s="72">
        <v>2152107</v>
      </c>
      <c r="D30" s="72">
        <v>5438936</v>
      </c>
      <c r="E30" s="72">
        <v>6330414</v>
      </c>
      <c r="F30" s="72">
        <v>4586166</v>
      </c>
      <c r="G30" s="72">
        <v>4541000</v>
      </c>
      <c r="H30" s="83"/>
    </row>
    <row r="31" spans="2:8" ht="12" x14ac:dyDescent="0.25">
      <c r="B31" s="64" t="s">
        <v>29</v>
      </c>
      <c r="C31" s="81">
        <f>SUM(C27:C30)</f>
        <v>6984235</v>
      </c>
      <c r="D31" s="81">
        <f>SUM(D27:D30)</f>
        <v>17125990</v>
      </c>
      <c r="E31" s="81">
        <f>SUM(E27:E30)</f>
        <v>23420784</v>
      </c>
      <c r="F31" s="81">
        <f>SUM(F27:F30)</f>
        <v>23981974</v>
      </c>
      <c r="G31" s="81">
        <f>SUM(G27:G30)</f>
        <v>26842000</v>
      </c>
      <c r="H31" s="83"/>
    </row>
    <row r="32" spans="2:8" ht="12" x14ac:dyDescent="0.25">
      <c r="B32" s="64" t="s">
        <v>30</v>
      </c>
      <c r="C32" s="81">
        <v>1083704</v>
      </c>
      <c r="D32" s="81">
        <v>4752911</v>
      </c>
      <c r="E32" s="81">
        <v>4237242</v>
      </c>
      <c r="F32" s="81">
        <v>4923243</v>
      </c>
      <c r="G32" s="81">
        <v>6618000</v>
      </c>
      <c r="H32" s="83"/>
    </row>
    <row r="33" spans="2:8" x14ac:dyDescent="0.25">
      <c r="B33" s="8" t="s">
        <v>31</v>
      </c>
      <c r="C33" s="78">
        <v>0</v>
      </c>
      <c r="D33" s="78">
        <v>785175</v>
      </c>
      <c r="E33" s="78">
        <v>997346</v>
      </c>
      <c r="F33" s="78">
        <v>834397</v>
      </c>
      <c r="G33" s="78">
        <v>849000</v>
      </c>
      <c r="H33" s="83"/>
    </row>
    <row r="34" spans="2:8" ht="12.6" thickBot="1" x14ac:dyDescent="0.3">
      <c r="B34" s="10" t="s">
        <v>32</v>
      </c>
      <c r="C34" s="80">
        <f>C31+C32+C33</f>
        <v>8067939</v>
      </c>
      <c r="D34" s="80">
        <f>D31+D32+D33</f>
        <v>22664076</v>
      </c>
      <c r="E34" s="80">
        <f>E31+E32+E33</f>
        <v>28655372</v>
      </c>
      <c r="F34" s="80">
        <f>F31+F32+F33</f>
        <v>29739614</v>
      </c>
      <c r="G34" s="80">
        <f>G31+G32+G33</f>
        <v>34309000</v>
      </c>
      <c r="H34" s="83"/>
    </row>
    <row r="36" spans="2:8" x14ac:dyDescent="0.2">
      <c r="B36" s="68" t="s">
        <v>162</v>
      </c>
      <c r="C36" s="67"/>
      <c r="D36" s="67"/>
      <c r="E36" s="67"/>
      <c r="F36" s="67"/>
      <c r="G36" s="67"/>
    </row>
    <row r="37" spans="2:8" x14ac:dyDescent="0.2">
      <c r="B37" s="68" t="s">
        <v>317</v>
      </c>
      <c r="C37" s="67"/>
      <c r="D37" s="67"/>
      <c r="E37" s="67"/>
      <c r="F37" s="67"/>
      <c r="G37" s="67"/>
    </row>
    <row r="38" spans="2:8" x14ac:dyDescent="0.2">
      <c r="B38" s="66" t="s">
        <v>319</v>
      </c>
      <c r="C38" s="67">
        <f>(C4+C5)/C27</f>
        <v>0.43383878180100921</v>
      </c>
      <c r="D38" s="67">
        <f>(D4+D5)/D27</f>
        <v>0.60043452854425217</v>
      </c>
      <c r="E38" s="67">
        <f>(E4+E5)/E27</f>
        <v>0.45907341944344188</v>
      </c>
      <c r="F38" s="67">
        <f>(F4+F5)/F27</f>
        <v>0.38812211923456608</v>
      </c>
      <c r="G38" s="67">
        <f>(G4+G5)/G27</f>
        <v>0.6106684166119809</v>
      </c>
    </row>
    <row r="39" spans="2:8" x14ac:dyDescent="0.2">
      <c r="B39" s="66" t="s">
        <v>320</v>
      </c>
      <c r="C39" s="67">
        <f>C9/C27</f>
        <v>0.98967319866170289</v>
      </c>
      <c r="D39" s="67">
        <f>D9/D27</f>
        <v>1.0742733187975642</v>
      </c>
      <c r="E39" s="67">
        <f>E9/E27</f>
        <v>0.8561306219029613</v>
      </c>
      <c r="F39" s="67">
        <f>F9/F27</f>
        <v>0.83128452214821735</v>
      </c>
      <c r="G39" s="67">
        <f>G9/G27</f>
        <v>1.1346207931002157</v>
      </c>
    </row>
    <row r="40" spans="2:8" x14ac:dyDescent="0.2">
      <c r="B40" s="66" t="s">
        <v>50</v>
      </c>
      <c r="C40" s="67">
        <f>C6/'P&amp;L Input'!C7*360</f>
        <v>15.033866572747325</v>
      </c>
      <c r="D40" s="67">
        <f>D6/'P&amp;L Input'!D7*360</f>
        <v>25.66967594325364</v>
      </c>
      <c r="E40" s="67">
        <f>E6/'P&amp;L Input'!E7*360</f>
        <v>15.77864519794662</v>
      </c>
      <c r="F40" s="67">
        <f>F6/'P&amp;L Input'!F7*360</f>
        <v>15.919279326831946</v>
      </c>
      <c r="G40" s="67">
        <f>G6/'P&amp;L Input'!G7*360</f>
        <v>19.392953047440802</v>
      </c>
    </row>
    <row r="41" spans="2:8" x14ac:dyDescent="0.2">
      <c r="B41" s="66" t="s">
        <v>51</v>
      </c>
      <c r="C41" s="67">
        <f>-C7/SUM('P&amp;L Input'!C8:C10)*360</f>
        <v>147.32375944829212</v>
      </c>
      <c r="D41" s="67">
        <f>-D7/SUM('P&amp;L Input'!D8:D10)*360</f>
        <v>137.80793667692734</v>
      </c>
      <c r="E41" s="67">
        <f>-E7/SUM('P&amp;L Input'!E8:E10)*360</f>
        <v>85.449953986173199</v>
      </c>
      <c r="F41" s="67">
        <f>-F7/SUM('P&amp;L Input'!F8:F10)*360</f>
        <v>64.344949009563962</v>
      </c>
      <c r="G41" s="67">
        <f>-G7/SUM('P&amp;L Input'!G8:G10)*360</f>
        <v>62.34921254083573</v>
      </c>
    </row>
    <row r="42" spans="2:8" x14ac:dyDescent="0.2">
      <c r="B42" s="66" t="s">
        <v>52</v>
      </c>
      <c r="C42" s="67">
        <f>-C19/SUM('P&amp;L Input'!C8:C10)*360</f>
        <v>105.62400521117225</v>
      </c>
      <c r="D42" s="67">
        <f>-D19/SUM('P&amp;L Input'!D8:D10)*360</f>
        <v>124.00264031291226</v>
      </c>
      <c r="E42" s="67">
        <f>-E19/SUM('P&amp;L Input'!E8:E10)*360</f>
        <v>90.233449912879919</v>
      </c>
      <c r="F42" s="67">
        <f>-F19/SUM('P&amp;L Input'!F8:F10)*360</f>
        <v>70.359089574882319</v>
      </c>
      <c r="G42" s="67">
        <f>-G19/SUM('P&amp;L Input'!G8:G10)*360</f>
        <v>66.193378516748751</v>
      </c>
    </row>
    <row r="43" spans="2:8" x14ac:dyDescent="0.2">
      <c r="B43" s="66" t="s">
        <v>53</v>
      </c>
      <c r="C43" s="67">
        <f>C40+C41-C42</f>
        <v>56.73362080986719</v>
      </c>
      <c r="D43" s="67">
        <f>D40+D41-D42</f>
        <v>39.474972307268729</v>
      </c>
      <c r="E43" s="67">
        <f>E40+E41-E42</f>
        <v>10.995149271239896</v>
      </c>
      <c r="F43" s="67">
        <f>F40+F41-F42</f>
        <v>9.9051387615135837</v>
      </c>
      <c r="G43" s="67">
        <f>G40+G41-G42</f>
        <v>15.548787071527784</v>
      </c>
    </row>
    <row r="44" spans="2:8" x14ac:dyDescent="0.2">
      <c r="B44" s="68" t="s">
        <v>321</v>
      </c>
      <c r="C44" s="67"/>
      <c r="D44" s="67"/>
      <c r="E44" s="67"/>
      <c r="F44" s="67"/>
      <c r="G44" s="67"/>
    </row>
    <row r="45" spans="2:8" x14ac:dyDescent="0.2">
      <c r="B45" s="66" t="s">
        <v>318</v>
      </c>
      <c r="C45" s="67">
        <f>C31/C18</f>
        <v>0.86567771521326575</v>
      </c>
      <c r="D45" s="67">
        <f t="shared" ref="D45:G45" si="0">D31/D18</f>
        <v>0.75564474810268023</v>
      </c>
      <c r="E45" s="67">
        <f t="shared" si="0"/>
        <v>0.81732611951434442</v>
      </c>
      <c r="F45" s="67">
        <f t="shared" si="0"/>
        <v>0.80639829420785358</v>
      </c>
      <c r="G45" s="67">
        <f t="shared" si="0"/>
        <v>0.78236031362033287</v>
      </c>
    </row>
    <row r="46" spans="2:8" x14ac:dyDescent="0.2">
      <c r="B46" s="66" t="s">
        <v>322</v>
      </c>
      <c r="C46" s="200" t="s">
        <v>323</v>
      </c>
      <c r="D46" s="200" t="s">
        <v>323</v>
      </c>
      <c r="E46" s="200" t="s">
        <v>323</v>
      </c>
      <c r="F46" s="200" t="s">
        <v>323</v>
      </c>
      <c r="G46" s="200" t="s">
        <v>323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1805-539C-40CE-BB49-177B73BB5A1B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11E2-83A7-446D-9683-E65B805A5A2A}">
  <dimension ref="A1:C25"/>
  <sheetViews>
    <sheetView workbookViewId="0"/>
  </sheetViews>
  <sheetFormatPr defaultColWidth="9.109375" defaultRowHeight="11.4" x14ac:dyDescent="0.25"/>
  <cols>
    <col min="1" max="1" width="2" style="8" customWidth="1"/>
    <col min="2" max="2" width="23.33203125" style="8" customWidth="1"/>
    <col min="3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190"/>
      <c r="B1" s="2" t="s">
        <v>301</v>
      </c>
    </row>
    <row r="3" spans="1:3" x14ac:dyDescent="0.25">
      <c r="B3" s="8" t="s">
        <v>294</v>
      </c>
      <c r="C3" s="157">
        <f>'Revenue automotive'!F11*1000/Deliveries!F11</f>
        <v>75.596043606075455</v>
      </c>
    </row>
    <row r="4" spans="1:3" x14ac:dyDescent="0.25">
      <c r="B4" s="8" t="s">
        <v>295</v>
      </c>
      <c r="C4" s="157">
        <f>'Revenue automotive'!G11*1000/Deliveries!G11</f>
        <v>56.702069716775597</v>
      </c>
    </row>
    <row r="5" spans="1:3" x14ac:dyDescent="0.25">
      <c r="B5" s="8" t="s">
        <v>365</v>
      </c>
      <c r="C5" s="157">
        <f>'Revenue automotive'!H11*1000/Deliveries!H11</f>
        <v>60.167839711066392</v>
      </c>
    </row>
    <row r="7" spans="1:3" x14ac:dyDescent="0.2">
      <c r="B7" s="8" t="s">
        <v>296</v>
      </c>
      <c r="C7" s="162">
        <f>Deliveries!F11</f>
        <v>244920</v>
      </c>
    </row>
    <row r="8" spans="1:3" x14ac:dyDescent="0.2">
      <c r="B8" s="8" t="s">
        <v>297</v>
      </c>
      <c r="C8" s="162">
        <f>Deliveries!G11</f>
        <v>367200</v>
      </c>
    </row>
    <row r="9" spans="1:3" x14ac:dyDescent="0.2">
      <c r="B9" s="8" t="s">
        <v>364</v>
      </c>
      <c r="C9" s="162">
        <f>Deliveries!H11</f>
        <v>552108.4</v>
      </c>
    </row>
    <row r="11" spans="1:3" x14ac:dyDescent="0.2">
      <c r="B11" s="8" t="s">
        <v>293</v>
      </c>
      <c r="C11" s="162">
        <f>'Revenue automotive'!F11</f>
        <v>18514.983</v>
      </c>
    </row>
    <row r="12" spans="1:3" x14ac:dyDescent="0.2">
      <c r="B12" s="8" t="s">
        <v>298</v>
      </c>
      <c r="C12" s="162">
        <f>(C8-C7)*C3/1000</f>
        <v>9243.8842121509078</v>
      </c>
    </row>
    <row r="13" spans="1:3" x14ac:dyDescent="0.2">
      <c r="B13" s="8" t="s">
        <v>299</v>
      </c>
      <c r="C13" s="162">
        <f>C7*(C4-C3)/1000</f>
        <v>-4627.5120849673203</v>
      </c>
    </row>
    <row r="14" spans="1:3" x14ac:dyDescent="0.2">
      <c r="B14" s="8" t="s">
        <v>300</v>
      </c>
      <c r="C14" s="162">
        <f>(C8-C7)*(C4-C3)/1000</f>
        <v>-2310.3551271835868</v>
      </c>
    </row>
    <row r="15" spans="1:3" x14ac:dyDescent="0.2">
      <c r="B15" s="8" t="s">
        <v>302</v>
      </c>
      <c r="C15" s="162">
        <f>'Revenue automotive'!G11</f>
        <v>20821</v>
      </c>
    </row>
    <row r="16" spans="1:3" x14ac:dyDescent="0.2">
      <c r="C16" s="162"/>
    </row>
    <row r="17" spans="2:3" x14ac:dyDescent="0.2">
      <c r="C17" s="162"/>
    </row>
    <row r="18" spans="2:3" x14ac:dyDescent="0.2">
      <c r="C18" s="162"/>
    </row>
    <row r="19" spans="2:3" x14ac:dyDescent="0.2">
      <c r="C19" s="162"/>
    </row>
    <row r="20" spans="2:3" x14ac:dyDescent="0.2">
      <c r="C20" s="162"/>
    </row>
    <row r="21" spans="2:3" x14ac:dyDescent="0.2">
      <c r="B21" s="8" t="s">
        <v>302</v>
      </c>
      <c r="C21" s="162">
        <f>'Revenue automotive'!G11</f>
        <v>20821</v>
      </c>
    </row>
    <row r="22" spans="2:3" x14ac:dyDescent="0.2">
      <c r="B22" s="8" t="s">
        <v>298</v>
      </c>
      <c r="C22" s="162">
        <f>(C9-C8)*C4/1000</f>
        <v>10484.688988017431</v>
      </c>
    </row>
    <row r="23" spans="2:3" x14ac:dyDescent="0.2">
      <c r="B23" s="8" t="s">
        <v>299</v>
      </c>
      <c r="C23" s="162">
        <f>C8*(C5-C4)/1000</f>
        <v>1272.63074190358</v>
      </c>
    </row>
    <row r="24" spans="2:3" x14ac:dyDescent="0.2">
      <c r="B24" s="8" t="s">
        <v>300</v>
      </c>
      <c r="C24" s="162">
        <f>(C9-C8)*(C5-C4)/1000</f>
        <v>640.84998441232017</v>
      </c>
    </row>
    <row r="25" spans="2:3" x14ac:dyDescent="0.2">
      <c r="B25" s="8" t="s">
        <v>366</v>
      </c>
      <c r="C25" s="162">
        <f>'Revenue automotive'!H11</f>
        <v>33219.169714333329</v>
      </c>
    </row>
  </sheetData>
  <pageMargins left="0.7" right="0.7" top="0.75" bottom="0.75" header="0.3" footer="0.3"/>
  <pageSetup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2B7D-9280-4115-BB16-65D4204D99C2}">
  <dimension ref="A1"/>
  <sheetViews>
    <sheetView tabSelected="1" workbookViewId="0"/>
  </sheetViews>
  <sheetFormatPr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topLeftCell="A7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topLeftCell="A10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237</v>
      </c>
    </row>
    <row r="29" spans="7:7" x14ac:dyDescent="0.25">
      <c r="G29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Q2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1.4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10" style="8" bestFit="1" customWidth="1"/>
    <col min="6" max="6" width="11.44140625" style="8" bestFit="1" customWidth="1"/>
    <col min="7" max="7" width="11" style="8" bestFit="1" customWidth="1"/>
    <col min="8" max="8" width="10.33203125" style="8" bestFit="1" customWidth="1"/>
    <col min="9" max="12" width="10.44140625" style="8" bestFit="1" customWidth="1"/>
    <col min="13" max="17" width="10" style="8" bestFit="1" customWidth="1"/>
    <col min="18" max="16384" width="9.109375" style="8"/>
  </cols>
  <sheetData>
    <row r="1" spans="1:17" ht="15.6" x14ac:dyDescent="0.25">
      <c r="A1" s="1"/>
      <c r="B1" s="2" t="s">
        <v>171</v>
      </c>
    </row>
    <row r="2" spans="1:17" ht="15.6" x14ac:dyDescent="0.25">
      <c r="A2" s="1"/>
      <c r="B2" s="2"/>
    </row>
    <row r="3" spans="1:17" ht="12" x14ac:dyDescent="0.25">
      <c r="C3" s="236" t="s">
        <v>173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5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5">
      <c r="B5" s="8" t="s">
        <v>166</v>
      </c>
      <c r="C5" s="72">
        <v>0</v>
      </c>
      <c r="D5" s="72">
        <v>0</v>
      </c>
      <c r="E5" s="72">
        <v>1764</v>
      </c>
      <c r="F5" s="72">
        <v>146055</v>
      </c>
      <c r="G5" s="72">
        <v>300815</v>
      </c>
      <c r="H5" s="73">
        <f t="shared" ref="H5" si="0">G5*(1+H15)</f>
        <v>481304</v>
      </c>
      <c r="I5" s="73">
        <f t="shared" ref="I5" si="1">H5*(1+I15)</f>
        <v>529434.4</v>
      </c>
      <c r="J5" s="73">
        <f t="shared" ref="J5:Q5" si="2">I5*(1+J15)</f>
        <v>582377.84000000008</v>
      </c>
      <c r="K5" s="73">
        <f t="shared" si="2"/>
        <v>628968.06720000017</v>
      </c>
      <c r="L5" s="73">
        <f t="shared" si="2"/>
        <v>679285.51257600018</v>
      </c>
      <c r="M5" s="73">
        <f t="shared" si="2"/>
        <v>706456.93307904026</v>
      </c>
      <c r="N5" s="73">
        <f t="shared" si="2"/>
        <v>734715.21040220186</v>
      </c>
      <c r="O5" s="73">
        <f t="shared" si="2"/>
        <v>764103.81881829002</v>
      </c>
      <c r="P5" s="73">
        <f t="shared" si="2"/>
        <v>794667.9715710216</v>
      </c>
      <c r="Q5" s="73">
        <f t="shared" si="2"/>
        <v>826454.6904338625</v>
      </c>
    </row>
    <row r="6" spans="1:17" x14ac:dyDescent="0.25">
      <c r="B6" s="8" t="s">
        <v>172</v>
      </c>
      <c r="C6" s="72">
        <v>50580</v>
      </c>
      <c r="D6" s="72">
        <v>76230</v>
      </c>
      <c r="E6" s="72">
        <v>101312</v>
      </c>
      <c r="F6" s="72">
        <v>98865</v>
      </c>
      <c r="G6" s="72">
        <v>66385</v>
      </c>
      <c r="H6" s="73">
        <f>G6*(1+H16)</f>
        <v>69040.400000000009</v>
      </c>
      <c r="I6" s="73">
        <f>H6*(1+I16)</f>
        <v>71802.016000000018</v>
      </c>
      <c r="J6" s="73">
        <f>I6*(1+J16)</f>
        <v>74674.096640000018</v>
      </c>
      <c r="K6" s="73">
        <f t="shared" ref="K6:Q6" si="3">J6*(1+K16)</f>
        <v>77661.06050560002</v>
      </c>
      <c r="L6" s="73">
        <f t="shared" si="3"/>
        <v>80767.502925824025</v>
      </c>
      <c r="M6" s="73">
        <f t="shared" si="3"/>
        <v>83998.203042856985</v>
      </c>
      <c r="N6" s="73">
        <f t="shared" si="3"/>
        <v>87358.13116457127</v>
      </c>
      <c r="O6" s="73">
        <f t="shared" si="3"/>
        <v>90852.456411154126</v>
      </c>
      <c r="P6" s="73">
        <f t="shared" si="3"/>
        <v>94486.5546676003</v>
      </c>
      <c r="Q6" s="73">
        <f t="shared" si="3"/>
        <v>98266.016854304311</v>
      </c>
    </row>
    <row r="7" spans="1:17" x14ac:dyDescent="0.25">
      <c r="B7" s="8" t="s">
        <v>167</v>
      </c>
      <c r="C7" s="72">
        <v>0</v>
      </c>
      <c r="D7" s="72">
        <v>0</v>
      </c>
      <c r="E7" s="72">
        <v>0</v>
      </c>
      <c r="F7" s="72">
        <v>0</v>
      </c>
      <c r="G7" s="72">
        <v>0</v>
      </c>
      <c r="H7" s="73">
        <f>E5</f>
        <v>1764</v>
      </c>
      <c r="I7" s="73">
        <f>H7*(1+I17)</f>
        <v>146055</v>
      </c>
      <c r="J7" s="73">
        <f>I7*(1+J17)</f>
        <v>300815</v>
      </c>
      <c r="K7" s="73">
        <f t="shared" ref="K7:Q7" si="4">J7*(1+K17)</f>
        <v>481304</v>
      </c>
      <c r="L7" s="73">
        <f t="shared" si="4"/>
        <v>529434.4</v>
      </c>
      <c r="M7" s="73">
        <f t="shared" si="4"/>
        <v>582377.84000000008</v>
      </c>
      <c r="N7" s="73">
        <f t="shared" si="4"/>
        <v>628968.06720000017</v>
      </c>
      <c r="O7" s="73">
        <f t="shared" si="4"/>
        <v>679285.51257600018</v>
      </c>
      <c r="P7" s="73">
        <f t="shared" si="4"/>
        <v>706456.93307904026</v>
      </c>
      <c r="Q7" s="73">
        <f t="shared" si="4"/>
        <v>734715.21040220186</v>
      </c>
    </row>
    <row r="8" spans="1:17" x14ac:dyDescent="0.25">
      <c r="B8" s="8" t="s">
        <v>169</v>
      </c>
      <c r="C8" s="72">
        <v>0</v>
      </c>
      <c r="D8" s="72">
        <v>0</v>
      </c>
      <c r="E8" s="72">
        <v>0</v>
      </c>
      <c r="F8" s="72">
        <v>0</v>
      </c>
      <c r="G8" s="72">
        <v>0</v>
      </c>
      <c r="H8" s="73">
        <v>0</v>
      </c>
      <c r="I8" s="73">
        <v>0</v>
      </c>
      <c r="J8" s="73">
        <v>500</v>
      </c>
      <c r="K8" s="73">
        <f t="shared" ref="K8:Q8" si="5">J8*(1+K18)</f>
        <v>1000</v>
      </c>
      <c r="L8" s="73">
        <f t="shared" si="5"/>
        <v>1500</v>
      </c>
      <c r="M8" s="73">
        <f t="shared" si="5"/>
        <v>1650.0000000000002</v>
      </c>
      <c r="N8" s="73">
        <f t="shared" si="5"/>
        <v>1815.0000000000005</v>
      </c>
      <c r="O8" s="73">
        <f t="shared" si="5"/>
        <v>1960.2000000000007</v>
      </c>
      <c r="P8" s="73">
        <f t="shared" si="5"/>
        <v>2117.016000000001</v>
      </c>
      <c r="Q8" s="73">
        <f t="shared" si="5"/>
        <v>2201.696640000001</v>
      </c>
    </row>
    <row r="9" spans="1:17" x14ac:dyDescent="0.25">
      <c r="B9" s="8" t="s">
        <v>168</v>
      </c>
      <c r="C9" s="72">
        <v>0</v>
      </c>
      <c r="D9" s="72">
        <v>0</v>
      </c>
      <c r="E9" s="72">
        <v>0</v>
      </c>
      <c r="F9" s="72">
        <v>0</v>
      </c>
      <c r="G9" s="72">
        <v>0</v>
      </c>
      <c r="H9" s="73">
        <v>0</v>
      </c>
      <c r="I9" s="73">
        <v>250</v>
      </c>
      <c r="J9" s="73">
        <f t="shared" ref="J9:Q9" si="6">I9*(1+J19)</f>
        <v>20699.404761904763</v>
      </c>
      <c r="K9" s="73">
        <f t="shared" si="6"/>
        <v>42632.511337868491</v>
      </c>
      <c r="L9" s="73">
        <f t="shared" si="6"/>
        <v>68212.018140589586</v>
      </c>
      <c r="M9" s="73">
        <f t="shared" si="6"/>
        <v>75033.21995464855</v>
      </c>
      <c r="N9" s="73">
        <f t="shared" si="6"/>
        <v>82536.541950113417</v>
      </c>
      <c r="O9" s="73">
        <f t="shared" si="6"/>
        <v>89139.465306122496</v>
      </c>
      <c r="P9" s="73">
        <f t="shared" si="6"/>
        <v>96270.622530612309</v>
      </c>
      <c r="Q9" s="73">
        <f t="shared" si="6"/>
        <v>100121.4474318368</v>
      </c>
    </row>
    <row r="10" spans="1:17" x14ac:dyDescent="0.25">
      <c r="B10" s="8" t="s">
        <v>165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  <c r="H10" s="73">
        <v>0</v>
      </c>
      <c r="I10" s="73">
        <v>250</v>
      </c>
      <c r="J10" s="73">
        <f t="shared" ref="J10:Q10" si="7">I10*(1+J20)</f>
        <v>20699.404761904763</v>
      </c>
      <c r="K10" s="73">
        <f t="shared" si="7"/>
        <v>42632.511337868491</v>
      </c>
      <c r="L10" s="73">
        <f t="shared" si="7"/>
        <v>68212.018140589586</v>
      </c>
      <c r="M10" s="73">
        <f t="shared" si="7"/>
        <v>75033.21995464855</v>
      </c>
      <c r="N10" s="73">
        <f t="shared" si="7"/>
        <v>82536.541950113417</v>
      </c>
      <c r="O10" s="73">
        <f t="shared" si="7"/>
        <v>89139.465306122496</v>
      </c>
      <c r="P10" s="73">
        <f t="shared" si="7"/>
        <v>96270.622530612309</v>
      </c>
      <c r="Q10" s="73">
        <f t="shared" si="7"/>
        <v>100121.4474318368</v>
      </c>
    </row>
    <row r="11" spans="1:17" ht="12.6" thickBot="1" x14ac:dyDescent="0.3">
      <c r="B11" s="108" t="s">
        <v>68</v>
      </c>
      <c r="C11" s="114">
        <f>SUM(C5:C10)</f>
        <v>50580</v>
      </c>
      <c r="D11" s="114">
        <f>SUM(D5:D10)</f>
        <v>76230</v>
      </c>
      <c r="E11" s="114">
        <f>SUM(E5:E10)</f>
        <v>103076</v>
      </c>
      <c r="F11" s="114">
        <f>SUM(F5:F10)</f>
        <v>244920</v>
      </c>
      <c r="G11" s="114">
        <f>SUM(G5:G10)</f>
        <v>367200</v>
      </c>
      <c r="H11" s="114">
        <f t="shared" ref="H11:Q11" si="8">SUM(H5:H10)</f>
        <v>552108.4</v>
      </c>
      <c r="I11" s="114">
        <f t="shared" si="8"/>
        <v>747791.41600000008</v>
      </c>
      <c r="J11" s="114">
        <f t="shared" si="8"/>
        <v>999765.74616380956</v>
      </c>
      <c r="K11" s="114">
        <f t="shared" si="8"/>
        <v>1274198.1503813369</v>
      </c>
      <c r="L11" s="114">
        <f>SUM(L5:L10)</f>
        <v>1427411.4517830033</v>
      </c>
      <c r="M11" s="114">
        <f t="shared" si="8"/>
        <v>1524549.4160311944</v>
      </c>
      <c r="N11" s="114">
        <f t="shared" si="8"/>
        <v>1617929.492667</v>
      </c>
      <c r="O11" s="114">
        <f t="shared" si="8"/>
        <v>1714480.9184176894</v>
      </c>
      <c r="P11" s="114">
        <f t="shared" si="8"/>
        <v>1790269.7203788871</v>
      </c>
      <c r="Q11" s="114">
        <f t="shared" si="8"/>
        <v>1861880.5091940423</v>
      </c>
    </row>
    <row r="12" spans="1:17" ht="3" customHeight="1" x14ac:dyDescent="0.25"/>
    <row r="13" spans="1:17" x14ac:dyDescent="0.25">
      <c r="B13" s="85" t="s">
        <v>179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</row>
    <row r="14" spans="1:17" ht="3" customHeight="1" x14ac:dyDescent="0.25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</row>
    <row r="15" spans="1:17" x14ac:dyDescent="0.25">
      <c r="B15" s="86" t="s">
        <v>166</v>
      </c>
      <c r="C15" s="89" t="s">
        <v>64</v>
      </c>
      <c r="D15" s="89" t="s">
        <v>64</v>
      </c>
      <c r="E15" s="89" t="s">
        <v>64</v>
      </c>
      <c r="F15" s="77">
        <f t="shared" ref="F15:G16" si="9">F5/E5-1</f>
        <v>81.797619047619051</v>
      </c>
      <c r="G15" s="77">
        <f t="shared" si="9"/>
        <v>1.0596008353017701</v>
      </c>
      <c r="H15" s="88">
        <v>0.6</v>
      </c>
      <c r="I15" s="88">
        <f>$C$25</f>
        <v>0.1</v>
      </c>
      <c r="J15" s="88">
        <f>$C$25</f>
        <v>0.1</v>
      </c>
      <c r="K15" s="88">
        <f>$C$26</f>
        <v>0.08</v>
      </c>
      <c r="L15" s="88">
        <f>$C$26</f>
        <v>0.08</v>
      </c>
      <c r="M15" s="88">
        <f>$C$27</f>
        <v>0.04</v>
      </c>
      <c r="N15" s="88">
        <f t="shared" ref="N15:Q16" si="10">$C$27</f>
        <v>0.04</v>
      </c>
      <c r="O15" s="88">
        <f t="shared" si="10"/>
        <v>0.04</v>
      </c>
      <c r="P15" s="88">
        <f t="shared" si="10"/>
        <v>0.04</v>
      </c>
      <c r="Q15" s="88">
        <f t="shared" si="10"/>
        <v>0.04</v>
      </c>
    </row>
    <row r="16" spans="1:17" x14ac:dyDescent="0.25">
      <c r="B16" s="86" t="s">
        <v>172</v>
      </c>
      <c r="C16" s="89" t="s">
        <v>64</v>
      </c>
      <c r="D16" s="77">
        <f>D6/C6-1</f>
        <v>0.50711743772241991</v>
      </c>
      <c r="E16" s="77">
        <f>E6/D6-1</f>
        <v>0.32903056539420183</v>
      </c>
      <c r="F16" s="77">
        <f t="shared" si="9"/>
        <v>-2.4153111181301368E-2</v>
      </c>
      <c r="G16" s="77">
        <f t="shared" si="9"/>
        <v>-0.32852880190158296</v>
      </c>
      <c r="H16" s="91">
        <f t="shared" ref="H16:M16" si="11">$C$27</f>
        <v>0.04</v>
      </c>
      <c r="I16" s="91">
        <f t="shared" si="11"/>
        <v>0.04</v>
      </c>
      <c r="J16" s="91">
        <f t="shared" si="11"/>
        <v>0.04</v>
      </c>
      <c r="K16" s="91">
        <f t="shared" si="11"/>
        <v>0.04</v>
      </c>
      <c r="L16" s="91">
        <f t="shared" si="11"/>
        <v>0.04</v>
      </c>
      <c r="M16" s="91">
        <f t="shared" si="11"/>
        <v>0.04</v>
      </c>
      <c r="N16" s="91">
        <f t="shared" si="10"/>
        <v>0.04</v>
      </c>
      <c r="O16" s="91">
        <f t="shared" si="10"/>
        <v>0.04</v>
      </c>
      <c r="P16" s="91">
        <f t="shared" si="10"/>
        <v>0.04</v>
      </c>
      <c r="Q16" s="91">
        <f t="shared" si="10"/>
        <v>0.04</v>
      </c>
    </row>
    <row r="17" spans="2:17" x14ac:dyDescent="0.25">
      <c r="B17" s="86" t="s">
        <v>167</v>
      </c>
      <c r="C17" s="89" t="s">
        <v>64</v>
      </c>
      <c r="D17" s="89" t="s">
        <v>64</v>
      </c>
      <c r="E17" s="89" t="s">
        <v>64</v>
      </c>
      <c r="F17" s="89" t="s">
        <v>64</v>
      </c>
      <c r="G17" s="89" t="s">
        <v>64</v>
      </c>
      <c r="H17" s="88" t="s">
        <v>64</v>
      </c>
      <c r="I17" s="91">
        <f>F15</f>
        <v>81.797619047619051</v>
      </c>
      <c r="J17" s="91">
        <f t="shared" ref="J17:Q17" si="12">G15</f>
        <v>1.0596008353017701</v>
      </c>
      <c r="K17" s="91">
        <f t="shared" si="12"/>
        <v>0.6</v>
      </c>
      <c r="L17" s="91">
        <f t="shared" si="12"/>
        <v>0.1</v>
      </c>
      <c r="M17" s="91">
        <f t="shared" si="12"/>
        <v>0.1</v>
      </c>
      <c r="N17" s="91">
        <f t="shared" si="12"/>
        <v>0.08</v>
      </c>
      <c r="O17" s="91">
        <f t="shared" si="12"/>
        <v>0.08</v>
      </c>
      <c r="P17" s="91">
        <f t="shared" si="12"/>
        <v>0.04</v>
      </c>
      <c r="Q17" s="91">
        <f t="shared" si="12"/>
        <v>0.04</v>
      </c>
    </row>
    <row r="18" spans="2:17" x14ac:dyDescent="0.25">
      <c r="B18" s="86" t="s">
        <v>169</v>
      </c>
      <c r="C18" s="89" t="s">
        <v>64</v>
      </c>
      <c r="D18" s="89" t="s">
        <v>64</v>
      </c>
      <c r="E18" s="89" t="s">
        <v>64</v>
      </c>
      <c r="F18" s="89" t="s">
        <v>64</v>
      </c>
      <c r="G18" s="89" t="s">
        <v>64</v>
      </c>
      <c r="H18" s="88" t="s">
        <v>64</v>
      </c>
      <c r="I18" s="88" t="s">
        <v>64</v>
      </c>
      <c r="J18" s="88" t="s">
        <v>64</v>
      </c>
      <c r="K18" s="91">
        <v>1</v>
      </c>
      <c r="L18" s="91">
        <v>0.5</v>
      </c>
      <c r="M18" s="91">
        <f t="shared" ref="M18:N20" si="13">$C$25</f>
        <v>0.1</v>
      </c>
      <c r="N18" s="91">
        <f t="shared" si="13"/>
        <v>0.1</v>
      </c>
      <c r="O18" s="91">
        <f t="shared" ref="O18:P20" si="14">$C$26</f>
        <v>0.08</v>
      </c>
      <c r="P18" s="91">
        <f t="shared" si="14"/>
        <v>0.08</v>
      </c>
      <c r="Q18" s="91">
        <f t="shared" ref="Q18:Q20" si="15">$C$27</f>
        <v>0.04</v>
      </c>
    </row>
    <row r="19" spans="2:17" x14ac:dyDescent="0.25">
      <c r="B19" s="86" t="s">
        <v>168</v>
      </c>
      <c r="C19" s="89" t="s">
        <v>64</v>
      </c>
      <c r="D19" s="89" t="s">
        <v>64</v>
      </c>
      <c r="E19" s="89" t="s">
        <v>64</v>
      </c>
      <c r="F19" s="89" t="s">
        <v>64</v>
      </c>
      <c r="G19" s="89" t="s">
        <v>64</v>
      </c>
      <c r="H19" s="89" t="s">
        <v>64</v>
      </c>
      <c r="I19" s="89" t="s">
        <v>64</v>
      </c>
      <c r="J19" s="91">
        <f t="shared" ref="J19:L20" si="16">F$15</f>
        <v>81.797619047619051</v>
      </c>
      <c r="K19" s="91">
        <f t="shared" si="16"/>
        <v>1.0596008353017701</v>
      </c>
      <c r="L19" s="91">
        <f t="shared" si="16"/>
        <v>0.6</v>
      </c>
      <c r="M19" s="91">
        <f t="shared" si="13"/>
        <v>0.1</v>
      </c>
      <c r="N19" s="91">
        <f t="shared" si="13"/>
        <v>0.1</v>
      </c>
      <c r="O19" s="91">
        <f t="shared" si="14"/>
        <v>0.08</v>
      </c>
      <c r="P19" s="91">
        <f t="shared" si="14"/>
        <v>0.08</v>
      </c>
      <c r="Q19" s="91">
        <f t="shared" si="15"/>
        <v>0.04</v>
      </c>
    </row>
    <row r="20" spans="2:17" x14ac:dyDescent="0.25">
      <c r="B20" s="86" t="s">
        <v>165</v>
      </c>
      <c r="C20" s="89" t="s">
        <v>64</v>
      </c>
      <c r="D20" s="89" t="s">
        <v>64</v>
      </c>
      <c r="E20" s="89" t="s">
        <v>64</v>
      </c>
      <c r="F20" s="89" t="s">
        <v>64</v>
      </c>
      <c r="G20" s="89" t="s">
        <v>64</v>
      </c>
      <c r="H20" s="89" t="s">
        <v>64</v>
      </c>
      <c r="I20" s="89" t="s">
        <v>64</v>
      </c>
      <c r="J20" s="91">
        <f t="shared" si="16"/>
        <v>81.797619047619051</v>
      </c>
      <c r="K20" s="91">
        <f t="shared" si="16"/>
        <v>1.0596008353017701</v>
      </c>
      <c r="L20" s="91">
        <f t="shared" si="16"/>
        <v>0.6</v>
      </c>
      <c r="M20" s="91">
        <f t="shared" si="13"/>
        <v>0.1</v>
      </c>
      <c r="N20" s="91">
        <f t="shared" si="13"/>
        <v>0.1</v>
      </c>
      <c r="O20" s="91">
        <f t="shared" si="14"/>
        <v>0.08</v>
      </c>
      <c r="P20" s="91">
        <f t="shared" si="14"/>
        <v>0.08</v>
      </c>
      <c r="Q20" s="91">
        <f t="shared" si="15"/>
        <v>0.04</v>
      </c>
    </row>
    <row r="21" spans="2:17" x14ac:dyDescent="0.25">
      <c r="B21" s="86"/>
      <c r="C21" s="89"/>
      <c r="D21" s="89"/>
      <c r="E21" s="89"/>
      <c r="F21" s="86"/>
      <c r="G21" s="86"/>
      <c r="H21" s="89"/>
      <c r="I21" s="87"/>
      <c r="J21" s="87"/>
      <c r="K21" s="87"/>
      <c r="L21" s="87"/>
      <c r="M21" s="87"/>
      <c r="N21" s="87"/>
      <c r="O21" s="87"/>
      <c r="P21" s="87"/>
      <c r="Q21" s="87"/>
    </row>
    <row r="24" spans="2:17" x14ac:dyDescent="0.25">
      <c r="B24" s="8" t="s">
        <v>250</v>
      </c>
    </row>
    <row r="25" spans="2:17" x14ac:dyDescent="0.25">
      <c r="B25" s="8" t="s">
        <v>251</v>
      </c>
      <c r="C25" s="34">
        <v>0.1</v>
      </c>
    </row>
    <row r="26" spans="2:17" x14ac:dyDescent="0.25">
      <c r="B26" s="8" t="s">
        <v>251</v>
      </c>
      <c r="C26" s="34">
        <v>0.08</v>
      </c>
    </row>
    <row r="27" spans="2:17" x14ac:dyDescent="0.25">
      <c r="B27" s="8" t="s">
        <v>252</v>
      </c>
      <c r="C27" s="34">
        <v>0.04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Average Prices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  <vt:lpstr>Bridge charts --&gt;</vt:lpstr>
      <vt:lpstr>Revenue bridge</vt:lpstr>
      <vt:lpstr>Cash flow bridge</vt:lpstr>
      <vt:lpstr>Expenses bridge</vt:lpstr>
      <vt:lpstr>Net Income bridge</vt:lpstr>
      <vt:lpstr>Other charts --&gt;</vt:lpstr>
      <vt:lpstr>Revenue by type of car</vt:lpstr>
      <vt:lpstr>Types of vehicles</vt:lpstr>
      <vt:lpstr>Profitability</vt:lpstr>
      <vt:lpstr>Price - Volume - Mix --&gt;</vt:lpstr>
      <vt:lpstr>Price-Volume-Mix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Shyam K M</cp:lastModifiedBy>
  <dcterms:created xsi:type="dcterms:W3CDTF">2017-12-26T16:16:22Z</dcterms:created>
  <dcterms:modified xsi:type="dcterms:W3CDTF">2024-10-15T11:34:43Z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9ddfd792-6523-4e72-b799-7ce7d130e454</vt:lpwstr>
  </property>
</Properties>
</file>