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8" i="1" l="1"/>
  <c r="I8" i="1"/>
  <c r="G4" i="1" l="1"/>
  <c r="E4" i="1"/>
  <c r="F4" i="1"/>
  <c r="I4" i="1" s="1"/>
  <c r="N4" i="1" s="1"/>
  <c r="Q4" i="1" s="1"/>
  <c r="H4" i="1" l="1"/>
  <c r="J4" i="1"/>
  <c r="K4" i="1" l="1"/>
  <c r="L4" i="1" s="1"/>
  <c r="F12" i="1" s="1"/>
  <c r="M4" i="1" l="1"/>
  <c r="P4" i="1" s="1"/>
  <c r="O4" i="1"/>
  <c r="G8" i="1"/>
  <c r="E8" i="1"/>
  <c r="F8" i="1" s="1"/>
  <c r="K8" i="1" l="1"/>
  <c r="L8" i="1" s="1"/>
  <c r="H8" i="1"/>
  <c r="N8" i="1" l="1"/>
  <c r="M8" i="1"/>
  <c r="F13" i="1" s="1"/>
  <c r="O8" i="1" l="1"/>
  <c r="F14" i="1" s="1"/>
</calcChain>
</file>

<file path=xl/sharedStrings.xml><?xml version="1.0" encoding="utf-8"?>
<sst xmlns="http://schemas.openxmlformats.org/spreadsheetml/2006/main" count="42" uniqueCount="36">
  <si>
    <t>dest_point_x</t>
  </si>
  <si>
    <t>dest_point_y</t>
  </si>
  <si>
    <t>dest_point_z</t>
  </si>
  <si>
    <t>coxa_zero_rotate</t>
  </si>
  <si>
    <t>femur_zero_rotate</t>
  </si>
  <si>
    <t>tibia_zero_rotate</t>
  </si>
  <si>
    <t>COXA</t>
  </si>
  <si>
    <t>coxa_length</t>
  </si>
  <si>
    <t>femur_length</t>
  </si>
  <si>
    <t>tibia_length</t>
  </si>
  <si>
    <t>X*</t>
  </si>
  <si>
    <t>Y*</t>
  </si>
  <si>
    <t>Z*</t>
  </si>
  <si>
    <t>Переход в (X*, Y*, Z*) - сдвиг</t>
  </si>
  <si>
    <t>Переход в (X*, Y*, Z*) - поворот</t>
  </si>
  <si>
    <t>Переход в (X*, Y*) - поворот</t>
  </si>
  <si>
    <t>Переход в (X**, Y**)</t>
  </si>
  <si>
    <t>X**</t>
  </si>
  <si>
    <t>Y**</t>
  </si>
  <si>
    <t>R1 + R2 &gt; d</t>
  </si>
  <si>
    <t>FEMUR^2</t>
  </si>
  <si>
    <t>TIBIA^2</t>
  </si>
  <si>
    <t>FEMUR</t>
  </si>
  <si>
    <t>TIBIA</t>
  </si>
  <si>
    <t>ϕ</t>
  </si>
  <si>
    <t>Расчет треугольника</t>
  </si>
  <si>
    <t>coxa_zero_x</t>
  </si>
  <si>
    <t>coxa_zero_y</t>
  </si>
  <si>
    <t>coxa_zero_z</t>
  </si>
  <si>
    <t>D</t>
  </si>
  <si>
    <t>D^2</t>
  </si>
  <si>
    <t>α</t>
  </si>
  <si>
    <t>ϒ</t>
  </si>
  <si>
    <t>COXA angle</t>
  </si>
  <si>
    <t>rad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</si>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</sst>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/>
    </xf>
    <xf numFmtId="2" fontId="1" fillId="6" borderId="6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0" fontId="1" fillId="0" borderId="0" xfId="0" applyFont="1" applyFill="1" applyBorder="1" applyAlignment="1"/>
    <xf numFmtId="0" fontId="1" fillId="4" borderId="16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tabSelected="1" zoomScale="115" zoomScaleNormal="115" workbookViewId="0">
      <selection activeCell="H15" sqref="H15"/>
    </sheetView>
  </sheetViews>
  <sheetFormatPr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1" spans="2:18" ht="15.75" thickBot="1" x14ac:dyDescent="0.3"/>
    <row r="2" spans="2:18" x14ac:dyDescent="0.25">
      <c r="B2" s="1" t="s">
        <v>26</v>
      </c>
      <c r="C2" s="2">
        <v>0</v>
      </c>
      <c r="E2" s="41" t="s">
        <v>13</v>
      </c>
      <c r="F2" s="42"/>
      <c r="G2" s="43"/>
      <c r="H2" s="41" t="s">
        <v>14</v>
      </c>
      <c r="I2" s="42"/>
      <c r="J2" s="42"/>
      <c r="K2" s="39" t="s">
        <v>33</v>
      </c>
      <c r="L2" s="40"/>
      <c r="M2" s="42" t="s">
        <v>15</v>
      </c>
      <c r="N2" s="42"/>
      <c r="O2" s="43"/>
      <c r="P2" s="41" t="s">
        <v>16</v>
      </c>
      <c r="Q2" s="43"/>
    </row>
    <row r="3" spans="2:18" x14ac:dyDescent="0.25">
      <c r="B3" s="3" t="s">
        <v>27</v>
      </c>
      <c r="C3" s="4">
        <v>0</v>
      </c>
      <c r="E3" s="20" t="s">
        <v>10</v>
      </c>
      <c r="F3" s="21" t="s">
        <v>11</v>
      </c>
      <c r="G3" s="22" t="s">
        <v>12</v>
      </c>
      <c r="H3" s="20" t="s">
        <v>10</v>
      </c>
      <c r="I3" s="21" t="s">
        <v>11</v>
      </c>
      <c r="J3" s="52" t="s">
        <v>12</v>
      </c>
      <c r="K3" s="56" t="s">
        <v>34</v>
      </c>
      <c r="L3" s="57" t="s">
        <v>35</v>
      </c>
      <c r="M3" s="54" t="s">
        <v>10</v>
      </c>
      <c r="N3" s="21" t="s">
        <v>11</v>
      </c>
      <c r="O3" s="22" t="s">
        <v>12</v>
      </c>
      <c r="P3" s="23" t="s">
        <v>17</v>
      </c>
      <c r="Q3" s="24" t="s">
        <v>18</v>
      </c>
    </row>
    <row r="4" spans="2:18" ht="15.75" thickBot="1" x14ac:dyDescent="0.3">
      <c r="B4" s="3" t="s">
        <v>28</v>
      </c>
      <c r="C4" s="4">
        <v>0</v>
      </c>
      <c r="E4" s="13">
        <f>C12-C2</f>
        <v>150</v>
      </c>
      <c r="F4" s="14">
        <f>C13-C3</f>
        <v>150</v>
      </c>
      <c r="G4" s="15">
        <f>C14-C4</f>
        <v>0</v>
      </c>
      <c r="H4" s="13">
        <f>E4*COS(RADIANS(C5)) + G4*SIN(RADIANS(C5))</f>
        <v>150</v>
      </c>
      <c r="I4" s="14">
        <f>F4</f>
        <v>150</v>
      </c>
      <c r="J4" s="53">
        <f>-E4*SIN(RADIANS(C5)) + G4 * COS(RADIANS(C5))</f>
        <v>0</v>
      </c>
      <c r="K4" s="58">
        <f>ATAN2(H4, J4)</f>
        <v>0</v>
      </c>
      <c r="L4" s="59">
        <f>DEGREES(K4)</f>
        <v>0</v>
      </c>
      <c r="M4" s="55">
        <f>H4*COS(K4) + J4*SIN(K4)</f>
        <v>150</v>
      </c>
      <c r="N4" s="14">
        <f>I4</f>
        <v>150</v>
      </c>
      <c r="O4" s="15">
        <f xml:space="preserve"> -H4*SIN(K4) + J4*COS(K4)</f>
        <v>0</v>
      </c>
      <c r="P4" s="18">
        <f>M4-C8</f>
        <v>150</v>
      </c>
      <c r="Q4" s="19">
        <f>N4</f>
        <v>150</v>
      </c>
    </row>
    <row r="5" spans="2:18" ht="15.75" thickBot="1" x14ac:dyDescent="0.3">
      <c r="B5" s="3" t="s">
        <v>3</v>
      </c>
      <c r="C5" s="4">
        <v>0</v>
      </c>
    </row>
    <row r="6" spans="2:18" x14ac:dyDescent="0.25">
      <c r="B6" s="3" t="s">
        <v>4</v>
      </c>
      <c r="C6" s="4">
        <v>135</v>
      </c>
      <c r="E6" s="44" t="s">
        <v>25</v>
      </c>
      <c r="F6" s="45"/>
      <c r="G6" s="45"/>
      <c r="H6" s="45"/>
      <c r="I6" s="45"/>
      <c r="J6" s="45"/>
      <c r="K6" s="45"/>
      <c r="L6" s="45"/>
      <c r="M6" s="45"/>
      <c r="N6" s="45"/>
      <c r="O6" s="46"/>
      <c r="P6" s="51"/>
      <c r="Q6" s="51"/>
      <c r="R6" s="51"/>
    </row>
    <row r="7" spans="2:18" x14ac:dyDescent="0.25">
      <c r="B7" s="3" t="s">
        <v>5</v>
      </c>
      <c r="C7" s="4">
        <v>45</v>
      </c>
      <c r="E7" s="34" t="s">
        <v>24</v>
      </c>
      <c r="F7" s="35"/>
      <c r="G7" s="33" t="s">
        <v>29</v>
      </c>
      <c r="H7" s="33" t="s">
        <v>19</v>
      </c>
      <c r="I7" s="33" t="s">
        <v>20</v>
      </c>
      <c r="J7" s="33" t="s">
        <v>21</v>
      </c>
      <c r="K7" s="47" t="s">
        <v>30</v>
      </c>
      <c r="L7" s="35" t="s">
        <v>31</v>
      </c>
      <c r="M7" s="36"/>
      <c r="N7" s="37" t="s">
        <v>32</v>
      </c>
      <c r="O7" s="38"/>
      <c r="P7" s="49"/>
      <c r="Q7" s="49"/>
      <c r="R7" s="49"/>
    </row>
    <row r="8" spans="2:18" ht="15.75" thickBot="1" x14ac:dyDescent="0.3">
      <c r="B8" s="3" t="s">
        <v>7</v>
      </c>
      <c r="C8" s="4">
        <v>0</v>
      </c>
      <c r="E8" s="16">
        <f>ATAN2(P4, Q4)</f>
        <v>0.78539816339744828</v>
      </c>
      <c r="F8" s="29">
        <f>DEGREES(E8)</f>
        <v>45</v>
      </c>
      <c r="G8" s="29">
        <f>SQRT(P4*P4+Q4*Q4)</f>
        <v>212.13203435596427</v>
      </c>
      <c r="H8" s="60" t="str">
        <f>IF(C9 + C10 &gt;G8, "TRUE", "FALSE")</f>
        <v>TRUE</v>
      </c>
      <c r="I8" s="17">
        <f>C9*C9</f>
        <v>7225</v>
      </c>
      <c r="J8" s="17">
        <f>C10*C10</f>
        <v>19881</v>
      </c>
      <c r="K8" s="48">
        <f>G8*G8</f>
        <v>45000</v>
      </c>
      <c r="L8" s="29">
        <f>ACOS((I8 + K8 - J8) / (2 * C9 * G8))</f>
        <v>0.45811285634402665</v>
      </c>
      <c r="M8" s="29">
        <f>DEGREES(L8)</f>
        <v>26.247933209195708</v>
      </c>
      <c r="N8" s="14">
        <f>ACOS(( J8 + I8 - K8) / (2 * C10 * C9))</f>
        <v>2.4136074250981969</v>
      </c>
      <c r="O8" s="30">
        <f>DEGREES(N8)</f>
        <v>138.28951885956465</v>
      </c>
      <c r="P8" s="50"/>
      <c r="Q8" s="50"/>
      <c r="R8" s="50"/>
    </row>
    <row r="9" spans="2:18" x14ac:dyDescent="0.25">
      <c r="B9" s="3" t="s">
        <v>8</v>
      </c>
      <c r="C9" s="4">
        <v>85</v>
      </c>
    </row>
    <row r="10" spans="2:18" ht="15.75" thickBot="1" x14ac:dyDescent="0.3">
      <c r="B10" s="5" t="s">
        <v>9</v>
      </c>
      <c r="C10" s="6">
        <v>141</v>
      </c>
    </row>
    <row r="11" spans="2:18" ht="15.75" thickBot="1" x14ac:dyDescent="0.3"/>
    <row r="12" spans="2:18" x14ac:dyDescent="0.25">
      <c r="B12" s="7" t="s">
        <v>0</v>
      </c>
      <c r="C12" s="8">
        <v>150</v>
      </c>
      <c r="E12" s="25" t="s">
        <v>6</v>
      </c>
      <c r="F12" s="26">
        <f>L4</f>
        <v>0</v>
      </c>
    </row>
    <row r="13" spans="2:18" x14ac:dyDescent="0.25">
      <c r="B13" s="9" t="s">
        <v>1</v>
      </c>
      <c r="C13" s="10">
        <v>150</v>
      </c>
      <c r="E13" s="28" t="s">
        <v>22</v>
      </c>
      <c r="F13" s="31">
        <f>C6 - M8 - F8</f>
        <v>63.752066790804292</v>
      </c>
    </row>
    <row r="14" spans="2:18" ht="15.75" thickBot="1" x14ac:dyDescent="0.3">
      <c r="B14" s="11" t="s">
        <v>2</v>
      </c>
      <c r="C14" s="12">
        <v>0</v>
      </c>
      <c r="E14" s="27" t="s">
        <v>23</v>
      </c>
      <c r="F14" s="32">
        <f>O8-C7</f>
        <v>93.289518859564652</v>
      </c>
    </row>
  </sheetData>
  <mergeCells count="9">
    <mergeCell ref="E7:F7"/>
    <mergeCell ref="L7:M7"/>
    <mergeCell ref="N7:O7"/>
    <mergeCell ref="E2:G2"/>
    <mergeCell ref="H2:J2"/>
    <mergeCell ref="M2:O2"/>
    <mergeCell ref="P2:Q2"/>
    <mergeCell ref="E6:O6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2018-10-28T08:55:01Z</dcterms:modified>
</cp:coreProperties>
</file>